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xcportalaus-my.sharepoint.com/personal/pherathmudiy_dxc_com/Documents/ADHA/Testing GSUPOC/"/>
    </mc:Choice>
  </mc:AlternateContent>
  <xr:revisionPtr revIDLastSave="165" documentId="13_ncr:1_{152E32B5-36D4-4479-8A79-27AF1F0DFE91}" xr6:coauthVersionLast="47" xr6:coauthVersionMax="47" xr10:uidLastSave="{F17248E4-2CDD-4512-BFFB-4BD030428060}"/>
  <bookViews>
    <workbookView xWindow="-13920" yWindow="-16320" windowWidth="29040" windowHeight="15840" activeTab="6" xr2:uid="{00000000-000D-0000-FFFF-FFFF00000000}"/>
  </bookViews>
  <sheets>
    <sheet name="LAW" sheetId="6" r:id="rId1"/>
    <sheet name="VM Specs" sheetId="1" r:id="rId2"/>
    <sheet name="As Built" sheetId="37" r:id="rId3"/>
    <sheet name="Quotas" sheetId="34" r:id="rId4"/>
    <sheet name="FG Specs" sheetId="10" r:id="rId5"/>
    <sheet name="StorageAccounts" sheetId="2" r:id="rId6"/>
    <sheet name="NfsExports" sheetId="11" r:id="rId7"/>
    <sheet name="NfsExportsServices" sheetId="12" r:id="rId8"/>
    <sheet name="NfsExportsVNets" sheetId="13" r:id="rId9"/>
    <sheet name="NfsExportsSubnets" sheetId="15" r:id="rId10"/>
    <sheet name="Key Vault" sheetId="3" r:id="rId11"/>
    <sheet name="NSG" sheetId="4" r:id="rId12"/>
    <sheet name="DefaultTagReference" sheetId="8" r:id="rId13"/>
    <sheet name="NetworkReference" sheetId="7" r:id="rId14"/>
    <sheet name="Data" sheetId="9" r:id="rId15"/>
    <sheet name="Naming" sheetId="14" r:id="rId16"/>
    <sheet name="SSOT Data" sheetId="32" r:id="rId17"/>
    <sheet name="Removed" sheetId="36" r:id="rId18"/>
  </sheets>
  <externalReferences>
    <externalReference r:id="rId19"/>
  </externalReferences>
  <definedNames>
    <definedName name="_xlnm._FilterDatabase" localSheetId="4" hidden="1">'FG Specs'!$A$1:$W$10</definedName>
    <definedName name="_xlnm._FilterDatabase" localSheetId="3" hidden="1">Quotas!$I$1:$J$355</definedName>
    <definedName name="_xlnm._FilterDatabase" localSheetId="16" hidden="1">'SSOT Data'!$A$1:$M$294</definedName>
    <definedName name="_xlnm._FilterDatabase" localSheetId="1" hidden="1">'VM Specs'!$B$1:$BD$289</definedName>
    <definedName name="DiskTypes">Data!$B$1:$B$3</definedName>
    <definedName name="Region">Data!$A$1:$A$2</definedName>
    <definedName name="SNETs">NetworkReference[[#All],[Subnet]]</definedName>
    <definedName name="Yes_No">Data!$E$1:$E$2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12" l="1"/>
  <c r="E29" i="12"/>
  <c r="C30" i="12"/>
  <c r="E30" i="12"/>
  <c r="C31" i="12"/>
  <c r="E31" i="12"/>
  <c r="C32" i="12"/>
  <c r="E32" i="12"/>
  <c r="C28" i="12"/>
  <c r="E28" i="12"/>
  <c r="W12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I192" i="1" s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J10" i="10" l="1"/>
  <c r="J9" i="10"/>
  <c r="J8" i="10"/>
  <c r="J7" i="10"/>
  <c r="J6" i="10"/>
  <c r="J5" i="10"/>
  <c r="J4" i="10"/>
  <c r="J3" i="10"/>
  <c r="J2" i="10"/>
  <c r="BA3" i="32" l="1"/>
  <c r="BA4" i="32"/>
  <c r="BA5" i="32"/>
  <c r="BA6" i="32"/>
  <c r="BA7" i="32"/>
  <c r="BA8" i="32"/>
  <c r="BA9" i="32"/>
  <c r="BA10" i="32"/>
  <c r="BA11" i="32"/>
  <c r="BA12" i="32"/>
  <c r="BA13" i="32"/>
  <c r="BA14" i="32"/>
  <c r="BA15" i="32"/>
  <c r="BA16" i="32"/>
  <c r="BA17" i="32"/>
  <c r="BA18" i="32"/>
  <c r="BA19" i="32"/>
  <c r="BA20" i="32"/>
  <c r="BA21" i="32"/>
  <c r="BA22" i="32"/>
  <c r="BA23" i="32"/>
  <c r="BA24" i="32"/>
  <c r="BA25" i="32"/>
  <c r="BA26" i="32"/>
  <c r="BA27" i="32"/>
  <c r="BA28" i="32"/>
  <c r="BA29" i="32"/>
  <c r="BA30" i="32"/>
  <c r="BA31" i="32"/>
  <c r="BA32" i="32"/>
  <c r="BA33" i="32"/>
  <c r="BA34" i="32"/>
  <c r="BA35" i="32"/>
  <c r="BA36" i="32"/>
  <c r="BA37" i="32"/>
  <c r="BA38" i="32"/>
  <c r="BA39" i="32"/>
  <c r="BA40" i="32"/>
  <c r="BA41" i="32"/>
  <c r="BA42" i="32"/>
  <c r="BA43" i="32"/>
  <c r="BA44" i="32"/>
  <c r="BA45" i="32"/>
  <c r="BA46" i="32"/>
  <c r="BA47" i="32"/>
  <c r="BA48" i="32"/>
  <c r="BA49" i="32"/>
  <c r="BA50" i="32"/>
  <c r="BA51" i="32"/>
  <c r="BA52" i="32"/>
  <c r="BA53" i="32"/>
  <c r="BA54" i="32"/>
  <c r="BA55" i="32"/>
  <c r="BA56" i="32"/>
  <c r="BA57" i="32"/>
  <c r="BA58" i="32"/>
  <c r="BA59" i="32"/>
  <c r="BA60" i="32"/>
  <c r="BA61" i="32"/>
  <c r="BA62" i="32"/>
  <c r="BA63" i="32"/>
  <c r="BA64" i="32"/>
  <c r="BA65" i="32"/>
  <c r="BA66" i="32"/>
  <c r="BA67" i="32"/>
  <c r="BA68" i="32"/>
  <c r="BA69" i="32"/>
  <c r="BA70" i="32"/>
  <c r="BA71" i="32"/>
  <c r="BA72" i="32"/>
  <c r="BA73" i="32"/>
  <c r="BA74" i="32"/>
  <c r="BA75" i="32"/>
  <c r="BA76" i="32"/>
  <c r="BA77" i="32"/>
  <c r="BA78" i="32"/>
  <c r="BA79" i="32"/>
  <c r="BA80" i="32"/>
  <c r="BA81" i="32"/>
  <c r="BA82" i="32"/>
  <c r="BA83" i="32"/>
  <c r="BA84" i="32"/>
  <c r="BA85" i="32"/>
  <c r="BA86" i="32"/>
  <c r="BA87" i="32"/>
  <c r="BA88" i="32"/>
  <c r="BA89" i="32"/>
  <c r="BA90" i="32"/>
  <c r="BA91" i="32"/>
  <c r="BA92" i="32"/>
  <c r="BA93" i="32"/>
  <c r="BA94" i="32"/>
  <c r="BA95" i="32"/>
  <c r="BA96" i="32"/>
  <c r="BA97" i="32"/>
  <c r="BA98" i="32"/>
  <c r="BA99" i="32"/>
  <c r="BA100" i="32"/>
  <c r="BA101" i="32"/>
  <c r="BA102" i="32"/>
  <c r="BA103" i="32"/>
  <c r="BA104" i="32"/>
  <c r="BA105" i="32"/>
  <c r="BA106" i="32"/>
  <c r="BA107" i="32"/>
  <c r="BA108" i="32"/>
  <c r="BA109" i="32"/>
  <c r="BA110" i="32"/>
  <c r="BA111" i="32"/>
  <c r="BA112" i="32"/>
  <c r="BA113" i="32"/>
  <c r="BA114" i="32"/>
  <c r="BA115" i="32"/>
  <c r="BA116" i="32"/>
  <c r="BA117" i="32"/>
  <c r="BA118" i="32"/>
  <c r="BA119" i="32"/>
  <c r="BA120" i="32"/>
  <c r="BA121" i="32"/>
  <c r="BA122" i="32"/>
  <c r="BA123" i="32"/>
  <c r="BA124" i="32"/>
  <c r="BA125" i="32"/>
  <c r="BA126" i="32"/>
  <c r="BA127" i="32"/>
  <c r="BA128" i="32"/>
  <c r="BA129" i="32"/>
  <c r="BA130" i="32"/>
  <c r="BA131" i="32"/>
  <c r="BA132" i="32"/>
  <c r="BA133" i="32"/>
  <c r="BA134" i="32"/>
  <c r="BA135" i="32"/>
  <c r="BA136" i="32"/>
  <c r="BA137" i="32"/>
  <c r="BA138" i="32"/>
  <c r="BA139" i="32"/>
  <c r="BA140" i="32"/>
  <c r="BA141" i="32"/>
  <c r="BA142" i="32"/>
  <c r="BA143" i="32"/>
  <c r="BA144" i="32"/>
  <c r="BA145" i="32"/>
  <c r="BA146" i="32"/>
  <c r="BA147" i="32"/>
  <c r="BA148" i="32"/>
  <c r="BA149" i="32"/>
  <c r="BA150" i="32"/>
  <c r="BA151" i="32"/>
  <c r="BA152" i="32"/>
  <c r="BA153" i="32"/>
  <c r="BA154" i="32"/>
  <c r="BA155" i="32"/>
  <c r="BA156" i="32"/>
  <c r="BA157" i="32"/>
  <c r="BA158" i="32"/>
  <c r="BA159" i="32"/>
  <c r="BA160" i="32"/>
  <c r="BA161" i="32"/>
  <c r="BA162" i="32"/>
  <c r="BA163" i="32"/>
  <c r="BA164" i="32"/>
  <c r="BA165" i="32"/>
  <c r="BA166" i="32"/>
  <c r="BA167" i="32"/>
  <c r="BA168" i="32"/>
  <c r="BA169" i="32"/>
  <c r="BA170" i="32"/>
  <c r="BA171" i="32"/>
  <c r="BA172" i="32"/>
  <c r="BA173" i="32"/>
  <c r="BA174" i="32"/>
  <c r="BA175" i="32"/>
  <c r="BA176" i="32"/>
  <c r="BA177" i="32"/>
  <c r="BA178" i="32"/>
  <c r="BA179" i="32"/>
  <c r="BA180" i="32"/>
  <c r="BA181" i="32"/>
  <c r="BA182" i="32"/>
  <c r="BA183" i="32"/>
  <c r="BA184" i="32"/>
  <c r="BA185" i="32"/>
  <c r="BA186" i="32"/>
  <c r="BA187" i="32"/>
  <c r="BA188" i="32"/>
  <c r="BA189" i="32"/>
  <c r="BA190" i="32"/>
  <c r="BA191" i="32"/>
  <c r="BA192" i="32"/>
  <c r="BA193" i="32"/>
  <c r="BA194" i="32"/>
  <c r="BA195" i="32"/>
  <c r="BA196" i="32"/>
  <c r="BA197" i="32"/>
  <c r="BA198" i="32"/>
  <c r="BA199" i="32"/>
  <c r="BA200" i="32"/>
  <c r="BA201" i="32"/>
  <c r="BA202" i="32"/>
  <c r="BA203" i="32"/>
  <c r="BA204" i="32"/>
  <c r="BA205" i="32"/>
  <c r="BA206" i="32"/>
  <c r="BA207" i="32"/>
  <c r="BA208" i="32"/>
  <c r="BA209" i="32"/>
  <c r="BA210" i="32"/>
  <c r="BA211" i="32"/>
  <c r="BA212" i="32"/>
  <c r="BA213" i="32"/>
  <c r="BA214" i="32"/>
  <c r="BA215" i="32"/>
  <c r="BA216" i="32"/>
  <c r="BA217" i="32"/>
  <c r="BA218" i="32"/>
  <c r="BA219" i="32"/>
  <c r="BA220" i="32"/>
  <c r="BA221" i="32"/>
  <c r="BA222" i="32"/>
  <c r="BA223" i="32"/>
  <c r="BA224" i="32"/>
  <c r="BA225" i="32"/>
  <c r="BA226" i="32"/>
  <c r="BA227" i="32"/>
  <c r="BA228" i="32"/>
  <c r="BA229" i="32"/>
  <c r="BA230" i="32"/>
  <c r="BA231" i="32"/>
  <c r="BA232" i="32"/>
  <c r="BA233" i="32"/>
  <c r="BA234" i="32"/>
  <c r="BA235" i="32"/>
  <c r="BA236" i="32"/>
  <c r="BA237" i="32"/>
  <c r="BA238" i="32"/>
  <c r="BA239" i="32"/>
  <c r="BA240" i="32"/>
  <c r="BA241" i="32"/>
  <c r="BA242" i="32"/>
  <c r="BA243" i="32"/>
  <c r="BA244" i="32"/>
  <c r="BA245" i="32"/>
  <c r="BA246" i="32"/>
  <c r="BA247" i="32"/>
  <c r="BA248" i="32"/>
  <c r="BA249" i="32"/>
  <c r="BA250" i="32"/>
  <c r="BA251" i="32"/>
  <c r="BA252" i="32"/>
  <c r="BA253" i="32"/>
  <c r="BA254" i="32"/>
  <c r="BA255" i="32"/>
  <c r="BA256" i="32"/>
  <c r="BA257" i="32"/>
  <c r="BA258" i="32"/>
  <c r="BA259" i="32"/>
  <c r="BA260" i="32"/>
  <c r="BA261" i="32"/>
  <c r="BA262" i="32"/>
  <c r="BA263" i="32"/>
  <c r="BA264" i="32"/>
  <c r="BA265" i="32"/>
  <c r="BA266" i="32"/>
  <c r="BA267" i="32"/>
  <c r="BA268" i="32"/>
  <c r="BA269" i="32"/>
  <c r="BA270" i="32"/>
  <c r="BA271" i="32"/>
  <c r="BA272" i="32"/>
  <c r="BA273" i="32"/>
  <c r="BA274" i="32"/>
  <c r="BA275" i="32"/>
  <c r="BA276" i="32"/>
  <c r="BA277" i="32"/>
  <c r="BA278" i="32"/>
  <c r="BA279" i="32"/>
  <c r="BA280" i="32"/>
  <c r="BA281" i="32"/>
  <c r="BA282" i="32"/>
  <c r="BA283" i="32"/>
  <c r="BA284" i="32"/>
  <c r="BA285" i="32"/>
  <c r="BA286" i="32"/>
  <c r="BA287" i="32"/>
  <c r="BA288" i="32"/>
  <c r="BA289" i="32"/>
  <c r="BA290" i="32"/>
  <c r="BA291" i="32"/>
  <c r="BA292" i="32"/>
  <c r="BA293" i="32"/>
  <c r="BA294" i="32"/>
  <c r="BA2" i="32"/>
  <c r="AY3" i="32"/>
  <c r="AY4" i="32"/>
  <c r="AY5" i="32"/>
  <c r="AY6" i="32"/>
  <c r="AY7" i="32"/>
  <c r="AY8" i="32"/>
  <c r="AY9" i="32"/>
  <c r="AY10" i="32"/>
  <c r="AY11" i="32"/>
  <c r="AY12" i="32"/>
  <c r="AY13" i="32"/>
  <c r="AY14" i="32"/>
  <c r="AY15" i="32"/>
  <c r="AY16" i="32"/>
  <c r="AY17" i="32"/>
  <c r="AY18" i="32"/>
  <c r="AY19" i="32"/>
  <c r="AY20" i="32"/>
  <c r="AY21" i="32"/>
  <c r="AY22" i="32"/>
  <c r="AY23" i="32"/>
  <c r="AY24" i="32"/>
  <c r="AY25" i="32"/>
  <c r="AY26" i="32"/>
  <c r="AY27" i="32"/>
  <c r="AY28" i="32"/>
  <c r="AY29" i="32"/>
  <c r="AY30" i="32"/>
  <c r="AY31" i="32"/>
  <c r="AY32" i="32"/>
  <c r="AY33" i="32"/>
  <c r="AY34" i="32"/>
  <c r="AY35" i="32"/>
  <c r="AY36" i="32"/>
  <c r="AY37" i="32"/>
  <c r="AY38" i="32"/>
  <c r="AY39" i="32"/>
  <c r="AY40" i="32"/>
  <c r="AY41" i="32"/>
  <c r="AY42" i="32"/>
  <c r="AY43" i="32"/>
  <c r="AY44" i="32"/>
  <c r="AY45" i="32"/>
  <c r="AY46" i="32"/>
  <c r="AY47" i="32"/>
  <c r="AY48" i="32"/>
  <c r="AY49" i="32"/>
  <c r="AY50" i="32"/>
  <c r="AY51" i="32"/>
  <c r="AY52" i="32"/>
  <c r="AY53" i="32"/>
  <c r="AY54" i="32"/>
  <c r="AY55" i="32"/>
  <c r="AY56" i="32"/>
  <c r="AY57" i="32"/>
  <c r="AY58" i="32"/>
  <c r="AY59" i="32"/>
  <c r="AY60" i="32"/>
  <c r="AY61" i="32"/>
  <c r="AY62" i="32"/>
  <c r="AY63" i="32"/>
  <c r="AY64" i="32"/>
  <c r="AY65" i="32"/>
  <c r="AY66" i="32"/>
  <c r="AY67" i="32"/>
  <c r="AY68" i="32"/>
  <c r="AY69" i="32"/>
  <c r="AY70" i="32"/>
  <c r="AY71" i="32"/>
  <c r="AY72" i="32"/>
  <c r="AY73" i="32"/>
  <c r="AY74" i="32"/>
  <c r="AY75" i="32"/>
  <c r="AY76" i="32"/>
  <c r="AY77" i="32"/>
  <c r="AY78" i="32"/>
  <c r="AY79" i="32"/>
  <c r="AY80" i="32"/>
  <c r="AY81" i="32"/>
  <c r="AY82" i="32"/>
  <c r="AY83" i="32"/>
  <c r="AY84" i="32"/>
  <c r="AY85" i="32"/>
  <c r="AY86" i="32"/>
  <c r="AY87" i="32"/>
  <c r="AY88" i="32"/>
  <c r="AY89" i="32"/>
  <c r="AY90" i="32"/>
  <c r="AY91" i="32"/>
  <c r="AY92" i="32"/>
  <c r="AY93" i="32"/>
  <c r="AY94" i="32"/>
  <c r="AY95" i="32"/>
  <c r="AY96" i="32"/>
  <c r="AY97" i="32"/>
  <c r="AY98" i="32"/>
  <c r="AY99" i="32"/>
  <c r="AY100" i="32"/>
  <c r="AY101" i="32"/>
  <c r="AY102" i="32"/>
  <c r="AY103" i="32"/>
  <c r="AY104" i="32"/>
  <c r="AY105" i="32"/>
  <c r="AY106" i="32"/>
  <c r="AY107" i="32"/>
  <c r="AY108" i="32"/>
  <c r="AY109" i="32"/>
  <c r="AY110" i="32"/>
  <c r="AY111" i="32"/>
  <c r="AY112" i="32"/>
  <c r="AY113" i="32"/>
  <c r="AY114" i="32"/>
  <c r="AY115" i="32"/>
  <c r="AY116" i="32"/>
  <c r="AY117" i="32"/>
  <c r="AY118" i="32"/>
  <c r="AY119" i="32"/>
  <c r="AY120" i="32"/>
  <c r="AY121" i="32"/>
  <c r="AY122" i="32"/>
  <c r="AY123" i="32"/>
  <c r="AY124" i="32"/>
  <c r="AY125" i="32"/>
  <c r="AY126" i="32"/>
  <c r="AY127" i="32"/>
  <c r="AY128" i="32"/>
  <c r="AY129" i="32"/>
  <c r="AY130" i="32"/>
  <c r="AY131" i="32"/>
  <c r="AY132" i="32"/>
  <c r="AY133" i="32"/>
  <c r="AY136" i="32"/>
  <c r="AY137" i="32"/>
  <c r="AY138" i="32"/>
  <c r="AY139" i="32"/>
  <c r="AY140" i="32"/>
  <c r="AY141" i="32"/>
  <c r="AY142" i="32"/>
  <c r="AY143" i="32"/>
  <c r="AY144" i="32"/>
  <c r="AY145" i="32"/>
  <c r="AY146" i="32"/>
  <c r="AY147" i="32"/>
  <c r="AY148" i="32"/>
  <c r="AY149" i="32"/>
  <c r="AY151" i="32"/>
  <c r="AY152" i="32"/>
  <c r="AY153" i="32"/>
  <c r="AY154" i="32"/>
  <c r="AY155" i="32"/>
  <c r="AY156" i="32"/>
  <c r="AY157" i="32"/>
  <c r="AY158" i="32"/>
  <c r="AY159" i="32"/>
  <c r="AY160" i="32"/>
  <c r="AY161" i="32"/>
  <c r="AY162" i="32"/>
  <c r="AY163" i="32"/>
  <c r="AY164" i="32"/>
  <c r="AY165" i="32"/>
  <c r="AY166" i="32"/>
  <c r="AY167" i="32"/>
  <c r="AY168" i="32"/>
  <c r="AY169" i="32"/>
  <c r="AY170" i="32"/>
  <c r="AY171" i="32"/>
  <c r="AY172" i="32"/>
  <c r="AY173" i="32"/>
  <c r="AY174" i="32"/>
  <c r="AY175" i="32"/>
  <c r="AY176" i="32"/>
  <c r="AY177" i="32"/>
  <c r="AY178" i="32"/>
  <c r="AY179" i="32"/>
  <c r="AY180" i="32"/>
  <c r="AY181" i="32"/>
  <c r="AY182" i="32"/>
  <c r="AY183" i="32"/>
  <c r="AY184" i="32"/>
  <c r="AY185" i="32"/>
  <c r="AY186" i="32"/>
  <c r="AY187" i="32"/>
  <c r="AY188" i="32"/>
  <c r="AY189" i="32"/>
  <c r="AY190" i="32"/>
  <c r="AY191" i="32"/>
  <c r="AY192" i="32"/>
  <c r="AY193" i="32"/>
  <c r="AY194" i="32"/>
  <c r="AY195" i="32"/>
  <c r="AY196" i="32"/>
  <c r="AY197" i="32"/>
  <c r="AY198" i="32"/>
  <c r="AY199" i="32"/>
  <c r="AY200" i="32"/>
  <c r="AY201" i="32"/>
  <c r="AY202" i="32"/>
  <c r="AY203" i="32"/>
  <c r="AY204" i="32"/>
  <c r="AY205" i="32"/>
  <c r="AY206" i="32"/>
  <c r="AY207" i="32"/>
  <c r="AY208" i="32"/>
  <c r="AY209" i="32"/>
  <c r="AY210" i="32"/>
  <c r="AY211" i="32"/>
  <c r="AY212" i="32"/>
  <c r="AY213" i="32"/>
  <c r="AY214" i="32"/>
  <c r="AY215" i="32"/>
  <c r="AY216" i="32"/>
  <c r="AY217" i="32"/>
  <c r="AY218" i="32"/>
  <c r="AY219" i="32"/>
  <c r="AY220" i="32"/>
  <c r="AY221" i="32"/>
  <c r="AY222" i="32"/>
  <c r="AY223" i="32"/>
  <c r="AY224" i="32"/>
  <c r="AY225" i="32"/>
  <c r="AY226" i="32"/>
  <c r="AY227" i="32"/>
  <c r="AY228" i="32"/>
  <c r="AY229" i="32"/>
  <c r="AY230" i="32"/>
  <c r="AY231" i="32"/>
  <c r="AY232" i="32"/>
  <c r="AY233" i="32"/>
  <c r="AY234" i="32"/>
  <c r="AY235" i="32"/>
  <c r="AY236" i="32"/>
  <c r="AY237" i="32"/>
  <c r="AY238" i="32"/>
  <c r="AY239" i="32"/>
  <c r="AY240" i="32"/>
  <c r="AY241" i="32"/>
  <c r="AY242" i="32"/>
  <c r="AY243" i="32"/>
  <c r="AY244" i="32"/>
  <c r="AY245" i="32"/>
  <c r="AY246" i="32"/>
  <c r="AY247" i="32"/>
  <c r="AY248" i="32"/>
  <c r="AY249" i="32"/>
  <c r="AY250" i="32"/>
  <c r="AY251" i="32"/>
  <c r="AY252" i="32"/>
  <c r="AY253" i="32"/>
  <c r="AY255" i="32"/>
  <c r="AY256" i="32"/>
  <c r="AY258" i="32"/>
  <c r="AY259" i="32"/>
  <c r="AY260" i="32"/>
  <c r="AY261" i="32"/>
  <c r="AY262" i="32"/>
  <c r="AY263" i="32"/>
  <c r="AY264" i="32"/>
  <c r="AY265" i="32"/>
  <c r="AY266" i="32"/>
  <c r="AY267" i="32"/>
  <c r="AY268" i="32"/>
  <c r="AY269" i="32"/>
  <c r="AY270" i="32"/>
  <c r="AY271" i="32"/>
  <c r="AY272" i="32"/>
  <c r="AY273" i="32"/>
  <c r="AY274" i="32"/>
  <c r="AY275" i="32"/>
  <c r="AY276" i="32"/>
  <c r="AY277" i="32"/>
  <c r="AY278" i="32"/>
  <c r="AY279" i="32"/>
  <c r="AY280" i="32"/>
  <c r="AY281" i="32"/>
  <c r="AY282" i="32"/>
  <c r="AY283" i="32"/>
  <c r="AY284" i="32"/>
  <c r="AY286" i="32"/>
  <c r="AY287" i="32"/>
  <c r="AY288" i="32"/>
  <c r="AY289" i="32"/>
  <c r="AY290" i="32"/>
  <c r="AY291" i="32"/>
  <c r="AY292" i="32"/>
  <c r="AY293" i="32"/>
  <c r="AY294" i="32"/>
  <c r="AY2" i="32"/>
  <c r="W5" i="1"/>
  <c r="W6" i="1"/>
  <c r="W3" i="1"/>
  <c r="W4" i="1"/>
  <c r="V3" i="10"/>
  <c r="V4" i="10"/>
  <c r="V5" i="10"/>
  <c r="V6" i="10"/>
  <c r="V7" i="10"/>
  <c r="V8" i="10"/>
  <c r="V9" i="10"/>
  <c r="V10" i="10"/>
  <c r="V2" i="10"/>
  <c r="A2" i="10"/>
  <c r="B2" i="10" s="1"/>
  <c r="L4" i="10"/>
  <c r="Q192" i="1"/>
  <c r="W192" i="1"/>
  <c r="E280" i="11"/>
  <c r="O280" i="11" a="1"/>
  <c r="O280" i="11" s="1"/>
  <c r="P280" i="11" a="1"/>
  <c r="P280" i="11" s="1"/>
  <c r="R280" i="11"/>
  <c r="H280" i="11"/>
  <c r="W280" i="11" s="1"/>
  <c r="Q181" i="1"/>
  <c r="Q180" i="1"/>
  <c r="Q170" i="1"/>
  <c r="Q168" i="1"/>
  <c r="Q169" i="1"/>
  <c r="Q166" i="1"/>
  <c r="Q167" i="1"/>
  <c r="Q164" i="1"/>
  <c r="Q165" i="1"/>
  <c r="Q162" i="1"/>
  <c r="Q163" i="1"/>
  <c r="Q160" i="1"/>
  <c r="Q161" i="1"/>
  <c r="Q158" i="1"/>
  <c r="Q159" i="1"/>
  <c r="Q156" i="1"/>
  <c r="Q157" i="1"/>
  <c r="Q154" i="1"/>
  <c r="Q155" i="1"/>
  <c r="Q152" i="1"/>
  <c r="Q153" i="1"/>
  <c r="Q150" i="1"/>
  <c r="Q151" i="1"/>
  <c r="BC192" i="1"/>
  <c r="Q206" i="1"/>
  <c r="Q207" i="1"/>
  <c r="Q204" i="1"/>
  <c r="Q205" i="1"/>
  <c r="H3" i="1"/>
  <c r="K3" i="1" s="1"/>
  <c r="H4" i="1"/>
  <c r="K4" i="1" s="1"/>
  <c r="H5" i="1"/>
  <c r="K5" i="1" s="1"/>
  <c r="H6" i="1"/>
  <c r="K6" i="1" s="1"/>
  <c r="H7" i="1"/>
  <c r="K7" i="1" s="1"/>
  <c r="H8" i="1"/>
  <c r="K8" i="1" s="1"/>
  <c r="H193" i="1"/>
  <c r="K193" i="1" s="1"/>
  <c r="H194" i="1"/>
  <c r="K194" i="1" s="1"/>
  <c r="H195" i="1"/>
  <c r="K195" i="1" s="1"/>
  <c r="H196" i="1"/>
  <c r="K196" i="1" s="1"/>
  <c r="H197" i="1"/>
  <c r="K197" i="1" s="1"/>
  <c r="H198" i="1"/>
  <c r="K198" i="1" s="1"/>
  <c r="H199" i="1"/>
  <c r="K199" i="1" s="1"/>
  <c r="H9" i="1"/>
  <c r="K9" i="1" s="1"/>
  <c r="H10" i="1"/>
  <c r="K10" i="1" s="1"/>
  <c r="H11" i="1"/>
  <c r="K11" i="1" s="1"/>
  <c r="H12" i="1"/>
  <c r="K12" i="1" s="1"/>
  <c r="H13" i="1"/>
  <c r="K13" i="1" s="1"/>
  <c r="H14" i="1"/>
  <c r="K14" i="1" s="1"/>
  <c r="H15" i="1"/>
  <c r="K15" i="1" s="1"/>
  <c r="H16" i="1"/>
  <c r="K16" i="1" s="1"/>
  <c r="H17" i="1"/>
  <c r="K17" i="1" s="1"/>
  <c r="H18" i="1"/>
  <c r="K18" i="1" s="1"/>
  <c r="H19" i="1"/>
  <c r="K19" i="1" s="1"/>
  <c r="H20" i="1"/>
  <c r="K20" i="1" s="1"/>
  <c r="H21" i="1"/>
  <c r="K21" i="1" s="1"/>
  <c r="H22" i="1"/>
  <c r="K22" i="1" s="1"/>
  <c r="H23" i="1"/>
  <c r="K23" i="1" s="1"/>
  <c r="H24" i="1"/>
  <c r="K24" i="1" s="1"/>
  <c r="H25" i="1"/>
  <c r="K25" i="1" s="1"/>
  <c r="H26" i="1"/>
  <c r="K26" i="1" s="1"/>
  <c r="H27" i="1"/>
  <c r="K27" i="1" s="1"/>
  <c r="H28" i="1"/>
  <c r="K28" i="1" s="1"/>
  <c r="H29" i="1"/>
  <c r="K29" i="1" s="1"/>
  <c r="H30" i="1"/>
  <c r="K30" i="1" s="1"/>
  <c r="H31" i="1"/>
  <c r="K31" i="1" s="1"/>
  <c r="H32" i="1"/>
  <c r="K32" i="1" s="1"/>
  <c r="H33" i="1"/>
  <c r="K33" i="1" s="1"/>
  <c r="H34" i="1"/>
  <c r="K34" i="1" s="1"/>
  <c r="H35" i="1"/>
  <c r="K35" i="1" s="1"/>
  <c r="H36" i="1"/>
  <c r="K36" i="1" s="1"/>
  <c r="H37" i="1"/>
  <c r="K37" i="1" s="1"/>
  <c r="H38" i="1"/>
  <c r="K38" i="1" s="1"/>
  <c r="H39" i="1"/>
  <c r="K39" i="1" s="1"/>
  <c r="H40" i="1"/>
  <c r="K40" i="1" s="1"/>
  <c r="H41" i="1"/>
  <c r="K41" i="1" s="1"/>
  <c r="H42" i="1"/>
  <c r="K42" i="1" s="1"/>
  <c r="H43" i="1"/>
  <c r="K43" i="1" s="1"/>
  <c r="H44" i="1"/>
  <c r="K44" i="1" s="1"/>
  <c r="H45" i="1"/>
  <c r="K45" i="1" s="1"/>
  <c r="H200" i="1"/>
  <c r="K200" i="1" s="1"/>
  <c r="H201" i="1"/>
  <c r="K201" i="1" s="1"/>
  <c r="H202" i="1"/>
  <c r="K202" i="1" s="1"/>
  <c r="H203" i="1"/>
  <c r="K203" i="1" s="1"/>
  <c r="H204" i="1"/>
  <c r="K204" i="1" s="1"/>
  <c r="H205" i="1"/>
  <c r="K205" i="1" s="1"/>
  <c r="H206" i="1"/>
  <c r="K206" i="1" s="1"/>
  <c r="H207" i="1"/>
  <c r="K207" i="1" s="1"/>
  <c r="H46" i="1"/>
  <c r="K46" i="1" s="1"/>
  <c r="H47" i="1"/>
  <c r="K47" i="1" s="1"/>
  <c r="H48" i="1"/>
  <c r="K48" i="1" s="1"/>
  <c r="H49" i="1"/>
  <c r="K49" i="1" s="1"/>
  <c r="H50" i="1"/>
  <c r="K50" i="1" s="1"/>
  <c r="H51" i="1"/>
  <c r="K51" i="1" s="1"/>
  <c r="H52" i="1"/>
  <c r="K52" i="1" s="1"/>
  <c r="H53" i="1"/>
  <c r="K53" i="1" s="1"/>
  <c r="H54" i="1"/>
  <c r="K54" i="1" s="1"/>
  <c r="H55" i="1"/>
  <c r="K55" i="1" s="1"/>
  <c r="H56" i="1"/>
  <c r="K56" i="1" s="1"/>
  <c r="H57" i="1"/>
  <c r="K57" i="1" s="1"/>
  <c r="H58" i="1"/>
  <c r="K58" i="1" s="1"/>
  <c r="H59" i="1"/>
  <c r="K59" i="1" s="1"/>
  <c r="H60" i="1"/>
  <c r="K60" i="1" s="1"/>
  <c r="H61" i="1"/>
  <c r="K61" i="1" s="1"/>
  <c r="H62" i="1"/>
  <c r="K62" i="1" s="1"/>
  <c r="H63" i="1"/>
  <c r="K63" i="1" s="1"/>
  <c r="H64" i="1"/>
  <c r="K64" i="1" s="1"/>
  <c r="H65" i="1"/>
  <c r="K65" i="1" s="1"/>
  <c r="H66" i="1"/>
  <c r="K66" i="1" s="1"/>
  <c r="H67" i="1"/>
  <c r="K67" i="1" s="1"/>
  <c r="H68" i="1"/>
  <c r="K68" i="1" s="1"/>
  <c r="H69" i="1"/>
  <c r="K69" i="1" s="1"/>
  <c r="H70" i="1"/>
  <c r="K70" i="1" s="1"/>
  <c r="H71" i="1"/>
  <c r="K71" i="1" s="1"/>
  <c r="H72" i="1"/>
  <c r="K72" i="1" s="1"/>
  <c r="H73" i="1"/>
  <c r="K73" i="1" s="1"/>
  <c r="H74" i="1"/>
  <c r="K74" i="1" s="1"/>
  <c r="H75" i="1"/>
  <c r="K75" i="1" s="1"/>
  <c r="H76" i="1"/>
  <c r="K76" i="1" s="1"/>
  <c r="H77" i="1"/>
  <c r="K77" i="1" s="1"/>
  <c r="H78" i="1"/>
  <c r="K78" i="1" s="1"/>
  <c r="H79" i="1"/>
  <c r="K79" i="1" s="1"/>
  <c r="H80" i="1"/>
  <c r="K80" i="1" s="1"/>
  <c r="H81" i="1"/>
  <c r="K81" i="1" s="1"/>
  <c r="H82" i="1"/>
  <c r="K82" i="1" s="1"/>
  <c r="H83" i="1"/>
  <c r="K83" i="1" s="1"/>
  <c r="H84" i="1"/>
  <c r="K84" i="1" s="1"/>
  <c r="H85" i="1"/>
  <c r="K85" i="1" s="1"/>
  <c r="H86" i="1"/>
  <c r="K86" i="1" s="1"/>
  <c r="H87" i="1"/>
  <c r="K87" i="1" s="1"/>
  <c r="H88" i="1"/>
  <c r="K88" i="1" s="1"/>
  <c r="H89" i="1"/>
  <c r="K89" i="1" s="1"/>
  <c r="H90" i="1"/>
  <c r="K90" i="1" s="1"/>
  <c r="H91" i="1"/>
  <c r="K91" i="1" s="1"/>
  <c r="H92" i="1"/>
  <c r="K92" i="1" s="1"/>
  <c r="H209" i="1"/>
  <c r="K209" i="1" s="1"/>
  <c r="H210" i="1"/>
  <c r="K210" i="1" s="1"/>
  <c r="H211" i="1"/>
  <c r="K211" i="1" s="1"/>
  <c r="H212" i="1"/>
  <c r="K212" i="1" s="1"/>
  <c r="H213" i="1"/>
  <c r="K213" i="1" s="1"/>
  <c r="H214" i="1"/>
  <c r="K214" i="1" s="1"/>
  <c r="H215" i="1"/>
  <c r="K215" i="1" s="1"/>
  <c r="H216" i="1"/>
  <c r="K216" i="1" s="1"/>
  <c r="H217" i="1"/>
  <c r="K217" i="1" s="1"/>
  <c r="H218" i="1"/>
  <c r="K218" i="1" s="1"/>
  <c r="H219" i="1"/>
  <c r="K219" i="1" s="1"/>
  <c r="H220" i="1"/>
  <c r="K220" i="1" s="1"/>
  <c r="H221" i="1"/>
  <c r="K221" i="1" s="1"/>
  <c r="H208" i="1"/>
  <c r="K208" i="1" s="1"/>
  <c r="H222" i="1"/>
  <c r="K222" i="1" s="1"/>
  <c r="H223" i="1"/>
  <c r="K223" i="1" s="1"/>
  <c r="H224" i="1"/>
  <c r="K224" i="1" s="1"/>
  <c r="H225" i="1"/>
  <c r="K225" i="1" s="1"/>
  <c r="H226" i="1"/>
  <c r="K226" i="1" s="1"/>
  <c r="H227" i="1"/>
  <c r="K227" i="1" s="1"/>
  <c r="H228" i="1"/>
  <c r="K228" i="1" s="1"/>
  <c r="H229" i="1"/>
  <c r="K229" i="1" s="1"/>
  <c r="H230" i="1"/>
  <c r="K230" i="1" s="1"/>
  <c r="H231" i="1"/>
  <c r="K231" i="1" s="1"/>
  <c r="H232" i="1"/>
  <c r="K232" i="1" s="1"/>
  <c r="H233" i="1"/>
  <c r="K233" i="1" s="1"/>
  <c r="H234" i="1"/>
  <c r="K234" i="1" s="1"/>
  <c r="H235" i="1"/>
  <c r="K235" i="1" s="1"/>
  <c r="H236" i="1"/>
  <c r="K236" i="1" s="1"/>
  <c r="H237" i="1"/>
  <c r="K237" i="1" s="1"/>
  <c r="H238" i="1"/>
  <c r="K238" i="1" s="1"/>
  <c r="H239" i="1"/>
  <c r="K239" i="1" s="1"/>
  <c r="H93" i="1"/>
  <c r="K93" i="1" s="1"/>
  <c r="H240" i="1"/>
  <c r="K240" i="1" s="1"/>
  <c r="H192" i="1"/>
  <c r="K192" i="1" s="1"/>
  <c r="H241" i="1"/>
  <c r="K241" i="1" s="1"/>
  <c r="H242" i="1"/>
  <c r="K242" i="1" s="1"/>
  <c r="H243" i="1"/>
  <c r="K243" i="1" s="1"/>
  <c r="H244" i="1"/>
  <c r="K244" i="1" s="1"/>
  <c r="H245" i="1"/>
  <c r="K245" i="1" s="1"/>
  <c r="H246" i="1"/>
  <c r="K246" i="1" s="1"/>
  <c r="H94" i="1"/>
  <c r="K94" i="1" s="1"/>
  <c r="H95" i="1"/>
  <c r="K95" i="1" s="1"/>
  <c r="H96" i="1"/>
  <c r="K96" i="1" s="1"/>
  <c r="H97" i="1"/>
  <c r="K97" i="1" s="1"/>
  <c r="H98" i="1"/>
  <c r="K98" i="1" s="1"/>
  <c r="H99" i="1"/>
  <c r="K99" i="1" s="1"/>
  <c r="H100" i="1"/>
  <c r="K100" i="1" s="1"/>
  <c r="H101" i="1"/>
  <c r="K101" i="1" s="1"/>
  <c r="H247" i="1"/>
  <c r="K247" i="1" s="1"/>
  <c r="H248" i="1"/>
  <c r="K248" i="1" s="1"/>
  <c r="H249" i="1"/>
  <c r="K249" i="1" s="1"/>
  <c r="H250" i="1"/>
  <c r="K250" i="1" s="1"/>
  <c r="H251" i="1"/>
  <c r="K251" i="1" s="1"/>
  <c r="H252" i="1"/>
  <c r="K252" i="1" s="1"/>
  <c r="H102" i="1"/>
  <c r="K102" i="1" s="1"/>
  <c r="H103" i="1"/>
  <c r="K103" i="1" s="1"/>
  <c r="H104" i="1"/>
  <c r="K104" i="1" s="1"/>
  <c r="H105" i="1"/>
  <c r="K105" i="1" s="1"/>
  <c r="H106" i="1"/>
  <c r="K106" i="1" s="1"/>
  <c r="H107" i="1"/>
  <c r="K107" i="1" s="1"/>
  <c r="H108" i="1"/>
  <c r="K108" i="1" s="1"/>
  <c r="H109" i="1"/>
  <c r="K109" i="1" s="1"/>
  <c r="H110" i="1"/>
  <c r="K110" i="1" s="1"/>
  <c r="H111" i="1"/>
  <c r="K111" i="1" s="1"/>
  <c r="H112" i="1"/>
  <c r="K112" i="1" s="1"/>
  <c r="H113" i="1"/>
  <c r="K113" i="1" s="1"/>
  <c r="H114" i="1"/>
  <c r="K114" i="1" s="1"/>
  <c r="H115" i="1"/>
  <c r="K115" i="1" s="1"/>
  <c r="H116" i="1"/>
  <c r="K116" i="1" s="1"/>
  <c r="H117" i="1"/>
  <c r="K117" i="1" s="1"/>
  <c r="H118" i="1"/>
  <c r="K118" i="1" s="1"/>
  <c r="H119" i="1"/>
  <c r="K119" i="1" s="1"/>
  <c r="H120" i="1"/>
  <c r="K120" i="1" s="1"/>
  <c r="H253" i="1"/>
  <c r="K253" i="1" s="1"/>
  <c r="H254" i="1"/>
  <c r="K254" i="1" s="1"/>
  <c r="H255" i="1"/>
  <c r="K255" i="1" s="1"/>
  <c r="H256" i="1"/>
  <c r="K256" i="1" s="1"/>
  <c r="H257" i="1"/>
  <c r="K257" i="1" s="1"/>
  <c r="H258" i="1"/>
  <c r="K258" i="1" s="1"/>
  <c r="H259" i="1"/>
  <c r="K259" i="1" s="1"/>
  <c r="H260" i="1"/>
  <c r="K260" i="1" s="1"/>
  <c r="H261" i="1"/>
  <c r="K261" i="1" s="1"/>
  <c r="H262" i="1"/>
  <c r="K262" i="1" s="1"/>
  <c r="H263" i="1"/>
  <c r="K263" i="1" s="1"/>
  <c r="H264" i="1"/>
  <c r="K264" i="1" s="1"/>
  <c r="H265" i="1"/>
  <c r="K265" i="1" s="1"/>
  <c r="H266" i="1"/>
  <c r="K266" i="1" s="1"/>
  <c r="H267" i="1"/>
  <c r="K267" i="1" s="1"/>
  <c r="H268" i="1"/>
  <c r="K268" i="1" s="1"/>
  <c r="H269" i="1"/>
  <c r="K269" i="1" s="1"/>
  <c r="H270" i="1"/>
  <c r="K270" i="1" s="1"/>
  <c r="H271" i="1"/>
  <c r="K271" i="1" s="1"/>
  <c r="H272" i="1"/>
  <c r="K272" i="1" s="1"/>
  <c r="H273" i="1"/>
  <c r="K273" i="1" s="1"/>
  <c r="H274" i="1"/>
  <c r="K274" i="1" s="1"/>
  <c r="H275" i="1"/>
  <c r="K275" i="1" s="1"/>
  <c r="H276" i="1"/>
  <c r="K276" i="1" s="1"/>
  <c r="H277" i="1"/>
  <c r="K277" i="1" s="1"/>
  <c r="H278" i="1"/>
  <c r="K278" i="1" s="1"/>
  <c r="H279" i="1"/>
  <c r="K279" i="1" s="1"/>
  <c r="H280" i="1"/>
  <c r="K280" i="1" s="1"/>
  <c r="H281" i="1"/>
  <c r="K281" i="1" s="1"/>
  <c r="H282" i="1"/>
  <c r="K282" i="1" s="1"/>
  <c r="H121" i="1"/>
  <c r="K121" i="1" s="1"/>
  <c r="H122" i="1"/>
  <c r="K122" i="1" s="1"/>
  <c r="H123" i="1"/>
  <c r="K123" i="1" s="1"/>
  <c r="H124" i="1"/>
  <c r="K124" i="1" s="1"/>
  <c r="H125" i="1"/>
  <c r="K125" i="1" s="1"/>
  <c r="H126" i="1"/>
  <c r="K126" i="1" s="1"/>
  <c r="H127" i="1"/>
  <c r="K127" i="1" s="1"/>
  <c r="H128" i="1"/>
  <c r="K128" i="1" s="1"/>
  <c r="H129" i="1"/>
  <c r="K129" i="1" s="1"/>
  <c r="H130" i="1"/>
  <c r="K130" i="1" s="1"/>
  <c r="H131" i="1"/>
  <c r="K131" i="1" s="1"/>
  <c r="H132" i="1"/>
  <c r="K132" i="1" s="1"/>
  <c r="H133" i="1"/>
  <c r="K133" i="1" s="1"/>
  <c r="H134" i="1"/>
  <c r="K134" i="1" s="1"/>
  <c r="H135" i="1"/>
  <c r="K135" i="1" s="1"/>
  <c r="H136" i="1"/>
  <c r="K136" i="1" s="1"/>
  <c r="H137" i="1"/>
  <c r="K137" i="1" s="1"/>
  <c r="H138" i="1"/>
  <c r="K138" i="1" s="1"/>
  <c r="H139" i="1"/>
  <c r="K139" i="1" s="1"/>
  <c r="H140" i="1"/>
  <c r="K140" i="1" s="1"/>
  <c r="H141" i="1"/>
  <c r="K141" i="1" s="1"/>
  <c r="H142" i="1"/>
  <c r="K142" i="1" s="1"/>
  <c r="H143" i="1"/>
  <c r="K143" i="1" s="1"/>
  <c r="H144" i="1"/>
  <c r="K144" i="1" s="1"/>
  <c r="H145" i="1"/>
  <c r="K145" i="1" s="1"/>
  <c r="H146" i="1"/>
  <c r="K146" i="1" s="1"/>
  <c r="H147" i="1"/>
  <c r="K147" i="1" s="1"/>
  <c r="H148" i="1"/>
  <c r="K148" i="1" s="1"/>
  <c r="H149" i="1"/>
  <c r="K149" i="1" s="1"/>
  <c r="H171" i="1"/>
  <c r="K171" i="1" s="1"/>
  <c r="H150" i="1"/>
  <c r="K150" i="1" s="1"/>
  <c r="H151" i="1"/>
  <c r="K151" i="1" s="1"/>
  <c r="H152" i="1"/>
  <c r="K152" i="1" s="1"/>
  <c r="H153" i="1"/>
  <c r="K153" i="1" s="1"/>
  <c r="H154" i="1"/>
  <c r="K154" i="1" s="1"/>
  <c r="H155" i="1"/>
  <c r="K155" i="1" s="1"/>
  <c r="H156" i="1"/>
  <c r="K156" i="1" s="1"/>
  <c r="H157" i="1"/>
  <c r="K157" i="1" s="1"/>
  <c r="H158" i="1"/>
  <c r="K158" i="1" s="1"/>
  <c r="H159" i="1"/>
  <c r="K159" i="1" s="1"/>
  <c r="H160" i="1"/>
  <c r="K160" i="1" s="1"/>
  <c r="H161" i="1"/>
  <c r="K161" i="1" s="1"/>
  <c r="H162" i="1"/>
  <c r="K162" i="1" s="1"/>
  <c r="H163" i="1"/>
  <c r="K163" i="1" s="1"/>
  <c r="H164" i="1"/>
  <c r="K164" i="1" s="1"/>
  <c r="H165" i="1"/>
  <c r="K165" i="1" s="1"/>
  <c r="H166" i="1"/>
  <c r="K166" i="1" s="1"/>
  <c r="H167" i="1"/>
  <c r="K167" i="1" s="1"/>
  <c r="H168" i="1"/>
  <c r="K168" i="1" s="1"/>
  <c r="H169" i="1"/>
  <c r="K169" i="1" s="1"/>
  <c r="H170" i="1"/>
  <c r="K170" i="1" s="1"/>
  <c r="H172" i="1"/>
  <c r="K172" i="1" s="1"/>
  <c r="H173" i="1"/>
  <c r="K173" i="1" s="1"/>
  <c r="H174" i="1"/>
  <c r="K174" i="1" s="1"/>
  <c r="H175" i="1"/>
  <c r="K175" i="1" s="1"/>
  <c r="H176" i="1"/>
  <c r="K176" i="1" s="1"/>
  <c r="H177" i="1"/>
  <c r="K177" i="1" s="1"/>
  <c r="H178" i="1"/>
  <c r="K178" i="1" s="1"/>
  <c r="H179" i="1"/>
  <c r="K179" i="1" s="1"/>
  <c r="H180" i="1"/>
  <c r="K180" i="1" s="1"/>
  <c r="H181" i="1"/>
  <c r="K181" i="1" s="1"/>
  <c r="H283" i="1"/>
  <c r="K283" i="1" s="1"/>
  <c r="H284" i="1"/>
  <c r="K284" i="1" s="1"/>
  <c r="H285" i="1"/>
  <c r="K285" i="1" s="1"/>
  <c r="H182" i="1"/>
  <c r="K182" i="1" s="1"/>
  <c r="H183" i="1"/>
  <c r="K183" i="1" s="1"/>
  <c r="H184" i="1"/>
  <c r="K184" i="1" s="1"/>
  <c r="H185" i="1"/>
  <c r="K185" i="1" s="1"/>
  <c r="H186" i="1"/>
  <c r="K186" i="1" s="1"/>
  <c r="H187" i="1"/>
  <c r="K187" i="1" s="1"/>
  <c r="H188" i="1"/>
  <c r="K188" i="1" s="1"/>
  <c r="H189" i="1"/>
  <c r="K189" i="1" s="1"/>
  <c r="H190" i="1"/>
  <c r="K190" i="1" s="1"/>
  <c r="H191" i="1"/>
  <c r="K191" i="1" s="1"/>
  <c r="H286" i="1"/>
  <c r="K286" i="1" s="1"/>
  <c r="H287" i="1"/>
  <c r="K287" i="1" s="1"/>
  <c r="H288" i="1"/>
  <c r="K288" i="1" s="1"/>
  <c r="H289" i="1"/>
  <c r="K289" i="1" s="1"/>
  <c r="Q130" i="1"/>
  <c r="Q131" i="1"/>
  <c r="Q132" i="1"/>
  <c r="Q133" i="1"/>
  <c r="Q134" i="1"/>
  <c r="Q135" i="1"/>
  <c r="Q136" i="1"/>
  <c r="Q137" i="1"/>
  <c r="Q138" i="1"/>
  <c r="Q139" i="1"/>
  <c r="Q273" i="1"/>
  <c r="Q274" i="1"/>
  <c r="Q275" i="1"/>
  <c r="Q276" i="1"/>
  <c r="Q111" i="1"/>
  <c r="Q112" i="1"/>
  <c r="Q113" i="1"/>
  <c r="Q114" i="1"/>
  <c r="Q115" i="1"/>
  <c r="Q116" i="1"/>
  <c r="Q117" i="1"/>
  <c r="Q118" i="1"/>
  <c r="Q119" i="1"/>
  <c r="Q120" i="1"/>
  <c r="Q238" i="1"/>
  <c r="Q239" i="1"/>
  <c r="Q92" i="1"/>
  <c r="Q91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20" i="1"/>
  <c r="Q77" i="1"/>
  <c r="Q78" i="1"/>
  <c r="Q79" i="1"/>
  <c r="Q80" i="1"/>
  <c r="Q71" i="1"/>
  <c r="Q72" i="1"/>
  <c r="Q73" i="1"/>
  <c r="Q74" i="1"/>
  <c r="Q75" i="1"/>
  <c r="Q76" i="1"/>
  <c r="Q68" i="1"/>
  <c r="Q69" i="1"/>
  <c r="Q70" i="1"/>
  <c r="BD170" i="1"/>
  <c r="BD204" i="1"/>
  <c r="BD205" i="1"/>
  <c r="BD206" i="1"/>
  <c r="BD207" i="1"/>
  <c r="BD139" i="1"/>
  <c r="BD111" i="1"/>
  <c r="BD150" i="1"/>
  <c r="BD180" i="1"/>
  <c r="BD181" i="1"/>
  <c r="I170" i="1"/>
  <c r="I204" i="1"/>
  <c r="I205" i="1"/>
  <c r="W170" i="1"/>
  <c r="W204" i="1"/>
  <c r="W205" i="1"/>
  <c r="BC170" i="1"/>
  <c r="AP170" i="1" s="1"/>
  <c r="BC204" i="1"/>
  <c r="AP204" i="1" s="1"/>
  <c r="BC205" i="1"/>
  <c r="AP205" i="1" s="1"/>
  <c r="I206" i="1"/>
  <c r="I207" i="1"/>
  <c r="W206" i="1"/>
  <c r="W207" i="1"/>
  <c r="W139" i="1"/>
  <c r="BC206" i="1"/>
  <c r="AP206" i="1" s="1"/>
  <c r="BC207" i="1"/>
  <c r="AP207" i="1" s="1"/>
  <c r="BC139" i="1"/>
  <c r="AP139" i="1" s="1"/>
  <c r="I111" i="1"/>
  <c r="I150" i="1"/>
  <c r="I180" i="1"/>
  <c r="W111" i="1"/>
  <c r="W150" i="1"/>
  <c r="W180" i="1"/>
  <c r="BC111" i="1"/>
  <c r="AP111" i="1" s="1"/>
  <c r="BC150" i="1"/>
  <c r="AP150" i="1" s="1"/>
  <c r="BC180" i="1"/>
  <c r="AP180" i="1" s="1"/>
  <c r="BD161" i="1"/>
  <c r="BD162" i="1"/>
  <c r="BD163" i="1"/>
  <c r="BD164" i="1"/>
  <c r="BD165" i="1"/>
  <c r="BD166" i="1"/>
  <c r="BD167" i="1"/>
  <c r="BD168" i="1"/>
  <c r="BD169" i="1"/>
  <c r="BD136" i="1"/>
  <c r="BD137" i="1"/>
  <c r="BD138" i="1"/>
  <c r="BD275" i="1"/>
  <c r="BD276" i="1"/>
  <c r="BD151" i="1"/>
  <c r="BD152" i="1"/>
  <c r="BD153" i="1"/>
  <c r="BD154" i="1"/>
  <c r="BD155" i="1"/>
  <c r="BD156" i="1"/>
  <c r="BD157" i="1"/>
  <c r="BD158" i="1"/>
  <c r="BD159" i="1"/>
  <c r="BD160" i="1"/>
  <c r="I137" i="1"/>
  <c r="I138" i="1"/>
  <c r="I275" i="1"/>
  <c r="I276" i="1"/>
  <c r="I151" i="1"/>
  <c r="I152" i="1"/>
  <c r="I153" i="1"/>
  <c r="W136" i="1"/>
  <c r="W137" i="1"/>
  <c r="W138" i="1"/>
  <c r="W275" i="1"/>
  <c r="W276" i="1"/>
  <c r="W151" i="1"/>
  <c r="W152" i="1"/>
  <c r="W153" i="1"/>
  <c r="W154" i="1"/>
  <c r="BC136" i="1"/>
  <c r="AP136" i="1" s="1"/>
  <c r="BC137" i="1"/>
  <c r="AP137" i="1" s="1"/>
  <c r="BC138" i="1"/>
  <c r="AP138" i="1" s="1"/>
  <c r="BC275" i="1"/>
  <c r="AP275" i="1" s="1"/>
  <c r="BC276" i="1"/>
  <c r="AP276" i="1" s="1"/>
  <c r="BC151" i="1"/>
  <c r="AP151" i="1" s="1"/>
  <c r="BC152" i="1"/>
  <c r="AP152" i="1" s="1"/>
  <c r="BC153" i="1"/>
  <c r="AP153" i="1" s="1"/>
  <c r="BC154" i="1"/>
  <c r="AP154" i="1" s="1"/>
  <c r="I155" i="1"/>
  <c r="I157" i="1"/>
  <c r="I158" i="1"/>
  <c r="I159" i="1"/>
  <c r="I160" i="1"/>
  <c r="I161" i="1"/>
  <c r="I162" i="1"/>
  <c r="I163" i="1"/>
  <c r="W155" i="1"/>
  <c r="W156" i="1"/>
  <c r="W157" i="1"/>
  <c r="W158" i="1"/>
  <c r="W159" i="1"/>
  <c r="W160" i="1"/>
  <c r="W161" i="1"/>
  <c r="W162" i="1"/>
  <c r="W163" i="1"/>
  <c r="BC155" i="1"/>
  <c r="AP155" i="1" s="1"/>
  <c r="BC156" i="1"/>
  <c r="AP156" i="1" s="1"/>
  <c r="BC157" i="1"/>
  <c r="AP157" i="1" s="1"/>
  <c r="BC158" i="1"/>
  <c r="AP158" i="1" s="1"/>
  <c r="BC159" i="1"/>
  <c r="AP159" i="1" s="1"/>
  <c r="BC160" i="1"/>
  <c r="AP160" i="1" s="1"/>
  <c r="BC161" i="1"/>
  <c r="AP161" i="1" s="1"/>
  <c r="BC162" i="1"/>
  <c r="AP162" i="1" s="1"/>
  <c r="BC163" i="1"/>
  <c r="AP163" i="1" s="1"/>
  <c r="BD273" i="1"/>
  <c r="BD274" i="1"/>
  <c r="BD131" i="1"/>
  <c r="BD132" i="1"/>
  <c r="BD133" i="1"/>
  <c r="BD134" i="1"/>
  <c r="BD135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I70" i="1"/>
  <c r="I71" i="1"/>
  <c r="I72" i="1"/>
  <c r="I73" i="1"/>
  <c r="W70" i="1"/>
  <c r="W71" i="1"/>
  <c r="W72" i="1"/>
  <c r="W73" i="1"/>
  <c r="BC70" i="1"/>
  <c r="AP70" i="1" s="1"/>
  <c r="BA70" i="1" s="1"/>
  <c r="BC71" i="1"/>
  <c r="AP71" i="1" s="1"/>
  <c r="BC72" i="1"/>
  <c r="AP72" i="1" s="1"/>
  <c r="BC73" i="1"/>
  <c r="AP73" i="1" s="1"/>
  <c r="I74" i="1"/>
  <c r="I75" i="1"/>
  <c r="I76" i="1"/>
  <c r="I77" i="1"/>
  <c r="I78" i="1"/>
  <c r="W74" i="1"/>
  <c r="W75" i="1"/>
  <c r="W76" i="1"/>
  <c r="W77" i="1"/>
  <c r="W78" i="1"/>
  <c r="BC74" i="1"/>
  <c r="AP74" i="1" s="1"/>
  <c r="BC75" i="1"/>
  <c r="AP75" i="1" s="1"/>
  <c r="BC76" i="1"/>
  <c r="AP76" i="1" s="1"/>
  <c r="BC77" i="1"/>
  <c r="AP77" i="1" s="1"/>
  <c r="BC78" i="1"/>
  <c r="AP78" i="1" s="1"/>
  <c r="I79" i="1"/>
  <c r="I80" i="1"/>
  <c r="I273" i="1"/>
  <c r="I274" i="1"/>
  <c r="I131" i="1"/>
  <c r="W79" i="1"/>
  <c r="W80" i="1"/>
  <c r="W273" i="1"/>
  <c r="W274" i="1"/>
  <c r="W131" i="1"/>
  <c r="BC79" i="1"/>
  <c r="AP79" i="1" s="1"/>
  <c r="BA79" i="1" s="1"/>
  <c r="BC80" i="1"/>
  <c r="AP80" i="1" s="1"/>
  <c r="BC273" i="1"/>
  <c r="AP273" i="1" s="1"/>
  <c r="BC274" i="1"/>
  <c r="AP274" i="1" s="1"/>
  <c r="BC131" i="1"/>
  <c r="AP131" i="1" s="1"/>
  <c r="I132" i="1"/>
  <c r="I133" i="1"/>
  <c r="I134" i="1"/>
  <c r="I135" i="1"/>
  <c r="I164" i="1"/>
  <c r="W132" i="1"/>
  <c r="W133" i="1"/>
  <c r="W134" i="1"/>
  <c r="W135" i="1"/>
  <c r="W164" i="1"/>
  <c r="BC132" i="1"/>
  <c r="AP132" i="1" s="1"/>
  <c r="BC133" i="1"/>
  <c r="AP133" i="1" s="1"/>
  <c r="BC134" i="1"/>
  <c r="AP134" i="1" s="1"/>
  <c r="BC135" i="1"/>
  <c r="AP135" i="1" s="1"/>
  <c r="BC164" i="1"/>
  <c r="AP164" i="1" s="1"/>
  <c r="I165" i="1"/>
  <c r="W165" i="1"/>
  <c r="BC165" i="1"/>
  <c r="AP165" i="1" s="1"/>
  <c r="I166" i="1"/>
  <c r="W166" i="1"/>
  <c r="BC166" i="1"/>
  <c r="AP166" i="1" s="1"/>
  <c r="I167" i="1"/>
  <c r="I168" i="1"/>
  <c r="W167" i="1"/>
  <c r="W168" i="1"/>
  <c r="BC167" i="1"/>
  <c r="AP167" i="1" s="1"/>
  <c r="BC168" i="1"/>
  <c r="AP168" i="1" s="1"/>
  <c r="I169" i="1"/>
  <c r="I181" i="1"/>
  <c r="W169" i="1"/>
  <c r="W181" i="1"/>
  <c r="BC169" i="1"/>
  <c r="AP169" i="1" s="1"/>
  <c r="BC181" i="1"/>
  <c r="AP181" i="1" s="1"/>
  <c r="I68" i="1"/>
  <c r="W68" i="1"/>
  <c r="BC68" i="1"/>
  <c r="AP68" i="1" s="1"/>
  <c r="I69" i="1"/>
  <c r="W69" i="1"/>
  <c r="BC69" i="1"/>
  <c r="AP69" i="1" s="1"/>
  <c r="BD44" i="1"/>
  <c r="BD38" i="1"/>
  <c r="BD39" i="1"/>
  <c r="BD40" i="1"/>
  <c r="BD41" i="1"/>
  <c r="BD42" i="1"/>
  <c r="BD43" i="1"/>
  <c r="BD118" i="1"/>
  <c r="BD119" i="1"/>
  <c r="BD120" i="1"/>
  <c r="BD20" i="1"/>
  <c r="BD31" i="1"/>
  <c r="BD32" i="1"/>
  <c r="BD33" i="1"/>
  <c r="BD34" i="1"/>
  <c r="BD35" i="1"/>
  <c r="BD36" i="1"/>
  <c r="BD37" i="1"/>
  <c r="BD92" i="1"/>
  <c r="BD238" i="1"/>
  <c r="BD239" i="1"/>
  <c r="BD112" i="1"/>
  <c r="BD113" i="1"/>
  <c r="BD114" i="1"/>
  <c r="BD115" i="1"/>
  <c r="BD116" i="1"/>
  <c r="BD117" i="1"/>
  <c r="BD91" i="1"/>
  <c r="I43" i="1"/>
  <c r="I44" i="1"/>
  <c r="W43" i="1"/>
  <c r="W44" i="1"/>
  <c r="BC43" i="1"/>
  <c r="AP43" i="1" s="1"/>
  <c r="BC44" i="1"/>
  <c r="AP44" i="1" s="1"/>
  <c r="I41" i="1"/>
  <c r="I42" i="1"/>
  <c r="W41" i="1"/>
  <c r="W42" i="1"/>
  <c r="BC41" i="1"/>
  <c r="AP41" i="1" s="1"/>
  <c r="BC42" i="1"/>
  <c r="AP42" i="1" s="1"/>
  <c r="I119" i="1"/>
  <c r="I120" i="1"/>
  <c r="I20" i="1"/>
  <c r="I31" i="1"/>
  <c r="I33" i="1"/>
  <c r="I34" i="1"/>
  <c r="I35" i="1"/>
  <c r="I36" i="1"/>
  <c r="I37" i="1"/>
  <c r="I38" i="1"/>
  <c r="I39" i="1"/>
  <c r="W119" i="1"/>
  <c r="W120" i="1"/>
  <c r="W20" i="1"/>
  <c r="W31" i="1"/>
  <c r="W32" i="1"/>
  <c r="W33" i="1"/>
  <c r="W34" i="1"/>
  <c r="W35" i="1"/>
  <c r="W36" i="1"/>
  <c r="W37" i="1"/>
  <c r="W38" i="1"/>
  <c r="W39" i="1"/>
  <c r="W40" i="1"/>
  <c r="BC119" i="1"/>
  <c r="AP119" i="1" s="1"/>
  <c r="BC120" i="1"/>
  <c r="AP120" i="1" s="1"/>
  <c r="BC20" i="1"/>
  <c r="AP20" i="1" s="1"/>
  <c r="BC31" i="1"/>
  <c r="AP31" i="1" s="1"/>
  <c r="BC32" i="1"/>
  <c r="AP32" i="1" s="1"/>
  <c r="BC33" i="1"/>
  <c r="AP33" i="1" s="1"/>
  <c r="BC34" i="1"/>
  <c r="AP34" i="1" s="1"/>
  <c r="BC35" i="1"/>
  <c r="AP35" i="1" s="1"/>
  <c r="BC36" i="1"/>
  <c r="AP36" i="1" s="1"/>
  <c r="BC37" i="1"/>
  <c r="AP37" i="1" s="1"/>
  <c r="BC38" i="1"/>
  <c r="AP38" i="1" s="1"/>
  <c r="BC39" i="1"/>
  <c r="AP39" i="1" s="1"/>
  <c r="BA39" i="1" s="1"/>
  <c r="BC40" i="1"/>
  <c r="AP40" i="1" s="1"/>
  <c r="I115" i="1"/>
  <c r="I116" i="1"/>
  <c r="I117" i="1"/>
  <c r="I118" i="1"/>
  <c r="W115" i="1"/>
  <c r="W116" i="1"/>
  <c r="W117" i="1"/>
  <c r="W118" i="1"/>
  <c r="BC115" i="1"/>
  <c r="AP115" i="1" s="1"/>
  <c r="BC116" i="1"/>
  <c r="AP116" i="1" s="1"/>
  <c r="BC117" i="1"/>
  <c r="AP117" i="1" s="1"/>
  <c r="BC118" i="1"/>
  <c r="AP118" i="1" s="1"/>
  <c r="I92" i="1"/>
  <c r="I238" i="1"/>
  <c r="I239" i="1"/>
  <c r="I112" i="1"/>
  <c r="I113" i="1"/>
  <c r="I114" i="1"/>
  <c r="W92" i="1"/>
  <c r="W238" i="1"/>
  <c r="W239" i="1"/>
  <c r="W112" i="1"/>
  <c r="W113" i="1"/>
  <c r="W114" i="1"/>
  <c r="BC92" i="1"/>
  <c r="AP92" i="1" s="1"/>
  <c r="BA92" i="1" s="1"/>
  <c r="BC238" i="1"/>
  <c r="AP238" i="1" s="1"/>
  <c r="BC239" i="1"/>
  <c r="AP239" i="1" s="1"/>
  <c r="BC112" i="1"/>
  <c r="AP112" i="1" s="1"/>
  <c r="BC113" i="1"/>
  <c r="AP113" i="1" s="1"/>
  <c r="BC114" i="1"/>
  <c r="AP114" i="1" s="1"/>
  <c r="I91" i="1"/>
  <c r="W91" i="1"/>
  <c r="BC91" i="1"/>
  <c r="AP91" i="1" s="1"/>
  <c r="BA205" i="1" l="1"/>
  <c r="BA91" i="1"/>
  <c r="BA80" i="1"/>
  <c r="BA43" i="1"/>
  <c r="BA31" i="1"/>
  <c r="BA41" i="1"/>
  <c r="BA150" i="1"/>
  <c r="BA71" i="1"/>
  <c r="BA135" i="1"/>
  <c r="BA158" i="1"/>
  <c r="BA75" i="1"/>
  <c r="BA33" i="1"/>
  <c r="BA139" i="1"/>
  <c r="BA162" i="1"/>
  <c r="BA73" i="1"/>
  <c r="BA74" i="1"/>
  <c r="BA72" i="1"/>
  <c r="BA34" i="1"/>
  <c r="BA32" i="1"/>
  <c r="BA274" i="1"/>
  <c r="BA20" i="1"/>
  <c r="BA163" i="1"/>
  <c r="BA35" i="1"/>
  <c r="BA113" i="1"/>
  <c r="BA238" i="1"/>
  <c r="BA154" i="1"/>
  <c r="BA111" i="1"/>
  <c r="BA151" i="1"/>
  <c r="BA69" i="1"/>
  <c r="BA207" i="1"/>
  <c r="BA181" i="1"/>
  <c r="BA77" i="1"/>
  <c r="BA118" i="1"/>
  <c r="BA40" i="1"/>
  <c r="BA119" i="1"/>
  <c r="BA169" i="1"/>
  <c r="BA161" i="1"/>
  <c r="BA37" i="1"/>
  <c r="BA115" i="1"/>
  <c r="BA157" i="1"/>
  <c r="BA159" i="1"/>
  <c r="BA275" i="1"/>
  <c r="BA138" i="1"/>
  <c r="BA120" i="1"/>
  <c r="BA168" i="1"/>
  <c r="BA134" i="1"/>
  <c r="BA137" i="1"/>
  <c r="BA204" i="1"/>
  <c r="BA160" i="1"/>
  <c r="BA156" i="1"/>
  <c r="BA112" i="1"/>
  <c r="BA68" i="1"/>
  <c r="BA133" i="1"/>
  <c r="BA136" i="1"/>
  <c r="BA152" i="1"/>
  <c r="BA164" i="1"/>
  <c r="BA131" i="1"/>
  <c r="BA170" i="1"/>
  <c r="BA273" i="1"/>
  <c r="BA166" i="1"/>
  <c r="BA117" i="1"/>
  <c r="M258" i="1"/>
  <c r="T258" i="1"/>
  <c r="AL258" i="1"/>
  <c r="M190" i="1"/>
  <c r="T190" i="1"/>
  <c r="AL190" i="1"/>
  <c r="AL181" i="1"/>
  <c r="T181" i="1"/>
  <c r="M181" i="1"/>
  <c r="AL168" i="1"/>
  <c r="M168" i="1"/>
  <c r="T168" i="1"/>
  <c r="M156" i="1"/>
  <c r="T156" i="1"/>
  <c r="AL156" i="1"/>
  <c r="M145" i="1"/>
  <c r="AL145" i="1"/>
  <c r="T145" i="1"/>
  <c r="AL133" i="1"/>
  <c r="M133" i="1"/>
  <c r="T133" i="1"/>
  <c r="T121" i="1"/>
  <c r="M121" i="1"/>
  <c r="AL121" i="1"/>
  <c r="M271" i="1"/>
  <c r="T271" i="1"/>
  <c r="AL271" i="1"/>
  <c r="M259" i="1"/>
  <c r="T259" i="1"/>
  <c r="AL259" i="1"/>
  <c r="T115" i="1"/>
  <c r="AL115" i="1"/>
  <c r="M115" i="1"/>
  <c r="AL103" i="1"/>
  <c r="M103" i="1"/>
  <c r="T103" i="1"/>
  <c r="T97" i="1"/>
  <c r="AL97" i="1"/>
  <c r="M97" i="1"/>
  <c r="M93" i="1"/>
  <c r="T93" i="1"/>
  <c r="AL93" i="1"/>
  <c r="AL228" i="1"/>
  <c r="T228" i="1"/>
  <c r="M228" i="1"/>
  <c r="M217" i="1"/>
  <c r="T217" i="1"/>
  <c r="AL217" i="1"/>
  <c r="AL89" i="1"/>
  <c r="M89" i="1"/>
  <c r="T89" i="1"/>
  <c r="AL77" i="1"/>
  <c r="M77" i="1"/>
  <c r="T77" i="1"/>
  <c r="T65" i="1"/>
  <c r="AL65" i="1"/>
  <c r="M65" i="1"/>
  <c r="M53" i="1"/>
  <c r="AL53" i="1"/>
  <c r="T53" i="1"/>
  <c r="T203" i="1"/>
  <c r="AL203" i="1"/>
  <c r="M203" i="1"/>
  <c r="M37" i="1"/>
  <c r="AL37" i="1"/>
  <c r="T37" i="1"/>
  <c r="M25" i="1"/>
  <c r="AL25" i="1"/>
  <c r="T25" i="1"/>
  <c r="T13" i="1"/>
  <c r="M13" i="1"/>
  <c r="AL13" i="1"/>
  <c r="M8" i="1"/>
  <c r="T8" i="1"/>
  <c r="AL8" i="1"/>
  <c r="T180" i="1"/>
  <c r="AL180" i="1"/>
  <c r="M180" i="1"/>
  <c r="M216" i="1"/>
  <c r="AL216" i="1"/>
  <c r="T216" i="1"/>
  <c r="AL114" i="1"/>
  <c r="M114" i="1"/>
  <c r="T114" i="1"/>
  <c r="T52" i="1"/>
  <c r="AL52" i="1"/>
  <c r="M52" i="1"/>
  <c r="T7" i="1"/>
  <c r="M7" i="1"/>
  <c r="AL7" i="1"/>
  <c r="BA36" i="1"/>
  <c r="M188" i="1"/>
  <c r="T188" i="1"/>
  <c r="AL188" i="1"/>
  <c r="AL179" i="1"/>
  <c r="M179" i="1"/>
  <c r="T179" i="1"/>
  <c r="T166" i="1"/>
  <c r="M166" i="1"/>
  <c r="AL166" i="1"/>
  <c r="M154" i="1"/>
  <c r="T154" i="1"/>
  <c r="AL154" i="1"/>
  <c r="M143" i="1"/>
  <c r="AL143" i="1"/>
  <c r="T143" i="1"/>
  <c r="M131" i="1"/>
  <c r="AL131" i="1"/>
  <c r="T131" i="1"/>
  <c r="AL281" i="1"/>
  <c r="T281" i="1"/>
  <c r="M281" i="1"/>
  <c r="T269" i="1"/>
  <c r="M269" i="1"/>
  <c r="AL269" i="1"/>
  <c r="AL257" i="1"/>
  <c r="T257" i="1"/>
  <c r="M257" i="1"/>
  <c r="T113" i="1"/>
  <c r="AL113" i="1"/>
  <c r="M113" i="1"/>
  <c r="AL252" i="1"/>
  <c r="M252" i="1"/>
  <c r="T252" i="1"/>
  <c r="M95" i="1"/>
  <c r="T95" i="1"/>
  <c r="AL95" i="1"/>
  <c r="M238" i="1"/>
  <c r="T238" i="1"/>
  <c r="AL238" i="1"/>
  <c r="T226" i="1"/>
  <c r="M226" i="1"/>
  <c r="AL226" i="1"/>
  <c r="M215" i="1"/>
  <c r="T215" i="1"/>
  <c r="AL215" i="1"/>
  <c r="AL87" i="1"/>
  <c r="M87" i="1"/>
  <c r="T87" i="1"/>
  <c r="AL75" i="1"/>
  <c r="T75" i="1"/>
  <c r="M75" i="1"/>
  <c r="M63" i="1"/>
  <c r="T63" i="1"/>
  <c r="AL63" i="1"/>
  <c r="AL51" i="1"/>
  <c r="M51" i="1"/>
  <c r="T51" i="1"/>
  <c r="T201" i="1"/>
  <c r="M201" i="1"/>
  <c r="AL201" i="1"/>
  <c r="M35" i="1"/>
  <c r="T35" i="1"/>
  <c r="AL35" i="1"/>
  <c r="AL23" i="1"/>
  <c r="T23" i="1"/>
  <c r="M23" i="1"/>
  <c r="M11" i="1"/>
  <c r="T11" i="1"/>
  <c r="AL11" i="1"/>
  <c r="T6" i="1"/>
  <c r="AL6" i="1"/>
  <c r="M6" i="1"/>
  <c r="BA155" i="1"/>
  <c r="T155" i="1"/>
  <c r="AL155" i="1"/>
  <c r="M155" i="1"/>
  <c r="AL239" i="1"/>
  <c r="M239" i="1"/>
  <c r="T239" i="1"/>
  <c r="M36" i="1"/>
  <c r="AL36" i="1"/>
  <c r="T36" i="1"/>
  <c r="T187" i="1"/>
  <c r="AL187" i="1"/>
  <c r="M187" i="1"/>
  <c r="T178" i="1"/>
  <c r="AL178" i="1"/>
  <c r="M178" i="1"/>
  <c r="BA165" i="1"/>
  <c r="M165" i="1"/>
  <c r="T165" i="1"/>
  <c r="AL165" i="1"/>
  <c r="BA153" i="1"/>
  <c r="M153" i="1"/>
  <c r="T153" i="1"/>
  <c r="AL153" i="1"/>
  <c r="T142" i="1"/>
  <c r="AL142" i="1"/>
  <c r="M142" i="1"/>
  <c r="AL130" i="1"/>
  <c r="M130" i="1"/>
  <c r="T130" i="1"/>
  <c r="AL280" i="1"/>
  <c r="M280" i="1"/>
  <c r="T280" i="1"/>
  <c r="T268" i="1"/>
  <c r="M268" i="1"/>
  <c r="AL268" i="1"/>
  <c r="M256" i="1"/>
  <c r="T256" i="1"/>
  <c r="AL256" i="1"/>
  <c r="AL112" i="1"/>
  <c r="M112" i="1"/>
  <c r="T112" i="1"/>
  <c r="AL251" i="1"/>
  <c r="M251" i="1"/>
  <c r="T251" i="1"/>
  <c r="T94" i="1"/>
  <c r="M94" i="1"/>
  <c r="AL94" i="1"/>
  <c r="T237" i="1"/>
  <c r="M237" i="1"/>
  <c r="AL237" i="1"/>
  <c r="T225" i="1"/>
  <c r="AL225" i="1"/>
  <c r="M225" i="1"/>
  <c r="T214" i="1"/>
  <c r="AL214" i="1"/>
  <c r="M214" i="1"/>
  <c r="T86" i="1"/>
  <c r="AL86" i="1"/>
  <c r="M86" i="1"/>
  <c r="AL74" i="1"/>
  <c r="M74" i="1"/>
  <c r="T74" i="1"/>
  <c r="AL62" i="1"/>
  <c r="M62" i="1"/>
  <c r="T62" i="1"/>
  <c r="AL50" i="1"/>
  <c r="T50" i="1"/>
  <c r="M50" i="1"/>
  <c r="M200" i="1"/>
  <c r="T200" i="1"/>
  <c r="AL200" i="1"/>
  <c r="T34" i="1"/>
  <c r="AL34" i="1"/>
  <c r="M34" i="1"/>
  <c r="T22" i="1"/>
  <c r="AL22" i="1"/>
  <c r="M22" i="1"/>
  <c r="M10" i="1"/>
  <c r="T10" i="1"/>
  <c r="AL10" i="1"/>
  <c r="M5" i="1"/>
  <c r="T5" i="1"/>
  <c r="AL5" i="1"/>
  <c r="M144" i="1"/>
  <c r="AL144" i="1"/>
  <c r="T144" i="1"/>
  <c r="AL88" i="1"/>
  <c r="T88" i="1"/>
  <c r="M88" i="1"/>
  <c r="M24" i="1"/>
  <c r="T24" i="1"/>
  <c r="AL24" i="1"/>
  <c r="BA167" i="1"/>
  <c r="T186" i="1"/>
  <c r="AL186" i="1"/>
  <c r="M186" i="1"/>
  <c r="M177" i="1"/>
  <c r="T177" i="1"/>
  <c r="AL177" i="1"/>
  <c r="M164" i="1"/>
  <c r="T164" i="1"/>
  <c r="AL164" i="1"/>
  <c r="AL152" i="1"/>
  <c r="M152" i="1"/>
  <c r="T152" i="1"/>
  <c r="M141" i="1"/>
  <c r="T141" i="1"/>
  <c r="AL141" i="1"/>
  <c r="M129" i="1"/>
  <c r="T129" i="1"/>
  <c r="AL129" i="1"/>
  <c r="M279" i="1"/>
  <c r="AL279" i="1"/>
  <c r="T279" i="1"/>
  <c r="T267" i="1"/>
  <c r="M267" i="1"/>
  <c r="AL267" i="1"/>
  <c r="M255" i="1"/>
  <c r="AL255" i="1"/>
  <c r="T255" i="1"/>
  <c r="M111" i="1"/>
  <c r="AL111" i="1"/>
  <c r="T111" i="1"/>
  <c r="T250" i="1"/>
  <c r="M250" i="1"/>
  <c r="AL250" i="1"/>
  <c r="AL246" i="1"/>
  <c r="T246" i="1"/>
  <c r="M246" i="1"/>
  <c r="M236" i="1"/>
  <c r="T236" i="1"/>
  <c r="AL236" i="1"/>
  <c r="M224" i="1"/>
  <c r="T224" i="1"/>
  <c r="AL224" i="1"/>
  <c r="T213" i="1"/>
  <c r="M213" i="1"/>
  <c r="AL213" i="1"/>
  <c r="M85" i="1"/>
  <c r="T85" i="1"/>
  <c r="AL85" i="1"/>
  <c r="M73" i="1"/>
  <c r="T73" i="1"/>
  <c r="AL73" i="1"/>
  <c r="M61" i="1"/>
  <c r="AL61" i="1"/>
  <c r="T61" i="1"/>
  <c r="M49" i="1"/>
  <c r="T49" i="1"/>
  <c r="AL49" i="1"/>
  <c r="M45" i="1"/>
  <c r="T45" i="1"/>
  <c r="AL45" i="1"/>
  <c r="M33" i="1"/>
  <c r="T33" i="1"/>
  <c r="AL33" i="1"/>
  <c r="M21" i="1"/>
  <c r="AL21" i="1"/>
  <c r="T21" i="1"/>
  <c r="M9" i="1"/>
  <c r="T9" i="1"/>
  <c r="AL9" i="1"/>
  <c r="AL4" i="1"/>
  <c r="M4" i="1"/>
  <c r="T4" i="1"/>
  <c r="M132" i="1"/>
  <c r="T132" i="1"/>
  <c r="AL132" i="1"/>
  <c r="M64" i="1"/>
  <c r="T64" i="1"/>
  <c r="AL64" i="1"/>
  <c r="BA114" i="1"/>
  <c r="T185" i="1"/>
  <c r="M185" i="1"/>
  <c r="AL185" i="1"/>
  <c r="M176" i="1"/>
  <c r="T176" i="1"/>
  <c r="AL176" i="1"/>
  <c r="AL163" i="1"/>
  <c r="M163" i="1"/>
  <c r="T163" i="1"/>
  <c r="T151" i="1"/>
  <c r="M151" i="1"/>
  <c r="AL151" i="1"/>
  <c r="M140" i="1"/>
  <c r="T140" i="1"/>
  <c r="AL140" i="1"/>
  <c r="M128" i="1"/>
  <c r="T128" i="1"/>
  <c r="AL128" i="1"/>
  <c r="M278" i="1"/>
  <c r="T278" i="1"/>
  <c r="AL278" i="1"/>
  <c r="M266" i="1"/>
  <c r="AL266" i="1"/>
  <c r="T266" i="1"/>
  <c r="T254" i="1"/>
  <c r="M254" i="1"/>
  <c r="AL254" i="1"/>
  <c r="AL110" i="1"/>
  <c r="M110" i="1"/>
  <c r="T110" i="1"/>
  <c r="AL249" i="1"/>
  <c r="T249" i="1"/>
  <c r="M249" i="1"/>
  <c r="T245" i="1"/>
  <c r="M245" i="1"/>
  <c r="AL245" i="1"/>
  <c r="M235" i="1"/>
  <c r="T235" i="1"/>
  <c r="AL235" i="1"/>
  <c r="M223" i="1"/>
  <c r="T223" i="1"/>
  <c r="AL223" i="1"/>
  <c r="M212" i="1"/>
  <c r="AL212" i="1"/>
  <c r="T212" i="1"/>
  <c r="AL84" i="1"/>
  <c r="M84" i="1"/>
  <c r="T84" i="1"/>
  <c r="M72" i="1"/>
  <c r="AL72" i="1"/>
  <c r="T72" i="1"/>
  <c r="T60" i="1"/>
  <c r="AL60" i="1"/>
  <c r="M60" i="1"/>
  <c r="AL48" i="1"/>
  <c r="M48" i="1"/>
  <c r="T48" i="1"/>
  <c r="BA44" i="1"/>
  <c r="T44" i="1"/>
  <c r="AL44" i="1"/>
  <c r="M44" i="1"/>
  <c r="M32" i="1"/>
  <c r="T32" i="1"/>
  <c r="AL32" i="1"/>
  <c r="AL20" i="1"/>
  <c r="M20" i="1"/>
  <c r="T20" i="1"/>
  <c r="AL199" i="1"/>
  <c r="M199" i="1"/>
  <c r="T199" i="1"/>
  <c r="M3" i="1"/>
  <c r="T3" i="1"/>
  <c r="AL3" i="1"/>
  <c r="AL167" i="1"/>
  <c r="M167" i="1"/>
  <c r="T167" i="1"/>
  <c r="M76" i="1"/>
  <c r="T76" i="1"/>
  <c r="AL76" i="1"/>
  <c r="T12" i="1"/>
  <c r="M12" i="1"/>
  <c r="AL12" i="1"/>
  <c r="M184" i="1"/>
  <c r="T184" i="1"/>
  <c r="AL184" i="1"/>
  <c r="M175" i="1"/>
  <c r="T175" i="1"/>
  <c r="AL175" i="1"/>
  <c r="M162" i="1"/>
  <c r="T162" i="1"/>
  <c r="AL162" i="1"/>
  <c r="T150" i="1"/>
  <c r="AL150" i="1"/>
  <c r="M150" i="1"/>
  <c r="M139" i="1"/>
  <c r="T139" i="1"/>
  <c r="AL139" i="1"/>
  <c r="AL127" i="1"/>
  <c r="M127" i="1"/>
  <c r="T127" i="1"/>
  <c r="M277" i="1"/>
  <c r="AL277" i="1"/>
  <c r="T277" i="1"/>
  <c r="AL265" i="1"/>
  <c r="M265" i="1"/>
  <c r="T265" i="1"/>
  <c r="M253" i="1"/>
  <c r="T253" i="1"/>
  <c r="AL253" i="1"/>
  <c r="AL109" i="1"/>
  <c r="M109" i="1"/>
  <c r="T109" i="1"/>
  <c r="T248" i="1"/>
  <c r="M248" i="1"/>
  <c r="AL248" i="1"/>
  <c r="M244" i="1"/>
  <c r="T244" i="1"/>
  <c r="AL244" i="1"/>
  <c r="M234" i="1"/>
  <c r="T234" i="1"/>
  <c r="AL234" i="1"/>
  <c r="M222" i="1"/>
  <c r="T222" i="1"/>
  <c r="AL222" i="1"/>
  <c r="M211" i="1"/>
  <c r="T211" i="1"/>
  <c r="AL211" i="1"/>
  <c r="T83" i="1"/>
  <c r="AL83" i="1"/>
  <c r="M83" i="1"/>
  <c r="M71" i="1"/>
  <c r="T71" i="1"/>
  <c r="AL71" i="1"/>
  <c r="AL59" i="1"/>
  <c r="T59" i="1"/>
  <c r="M59" i="1"/>
  <c r="M47" i="1"/>
  <c r="T47" i="1"/>
  <c r="AL47" i="1"/>
  <c r="T43" i="1"/>
  <c r="M43" i="1"/>
  <c r="AL43" i="1"/>
  <c r="AL31" i="1"/>
  <c r="T31" i="1"/>
  <c r="M31" i="1"/>
  <c r="AL19" i="1"/>
  <c r="T19" i="1"/>
  <c r="M19" i="1"/>
  <c r="AL198" i="1"/>
  <c r="T198" i="1"/>
  <c r="M198" i="1"/>
  <c r="AL102" i="1"/>
  <c r="M102" i="1"/>
  <c r="T102" i="1"/>
  <c r="AL202" i="1"/>
  <c r="M202" i="1"/>
  <c r="T202" i="1"/>
  <c r="BA239" i="1"/>
  <c r="BA132" i="1"/>
  <c r="T289" i="1"/>
  <c r="AL289" i="1"/>
  <c r="M289" i="1"/>
  <c r="M183" i="1"/>
  <c r="T183" i="1"/>
  <c r="AL183" i="1"/>
  <c r="T174" i="1"/>
  <c r="AL174" i="1"/>
  <c r="M174" i="1"/>
  <c r="M161" i="1"/>
  <c r="T161" i="1"/>
  <c r="AL161" i="1"/>
  <c r="M171" i="1"/>
  <c r="T171" i="1"/>
  <c r="AL171" i="1"/>
  <c r="T138" i="1"/>
  <c r="AL138" i="1"/>
  <c r="M138" i="1"/>
  <c r="T126" i="1"/>
  <c r="AL126" i="1"/>
  <c r="M126" i="1"/>
  <c r="BA276" i="1"/>
  <c r="M276" i="1"/>
  <c r="T276" i="1"/>
  <c r="AL276" i="1"/>
  <c r="M264" i="1"/>
  <c r="T264" i="1"/>
  <c r="AL264" i="1"/>
  <c r="AL120" i="1"/>
  <c r="T120" i="1"/>
  <c r="M120" i="1"/>
  <c r="AL108" i="1"/>
  <c r="M108" i="1"/>
  <c r="T108" i="1"/>
  <c r="AL247" i="1"/>
  <c r="M247" i="1"/>
  <c r="T247" i="1"/>
  <c r="T243" i="1"/>
  <c r="M243" i="1"/>
  <c r="AL243" i="1"/>
  <c r="T233" i="1"/>
  <c r="AL233" i="1"/>
  <c r="M233" i="1"/>
  <c r="M208" i="1"/>
  <c r="T208" i="1"/>
  <c r="AL208" i="1"/>
  <c r="AL210" i="1"/>
  <c r="M210" i="1"/>
  <c r="T210" i="1"/>
  <c r="T82" i="1"/>
  <c r="M82" i="1"/>
  <c r="AL82" i="1"/>
  <c r="T70" i="1"/>
  <c r="M70" i="1"/>
  <c r="AL70" i="1"/>
  <c r="T58" i="1"/>
  <c r="M58" i="1"/>
  <c r="AL58" i="1"/>
  <c r="M46" i="1"/>
  <c r="T46" i="1"/>
  <c r="AL46" i="1"/>
  <c r="BA42" i="1"/>
  <c r="M42" i="1"/>
  <c r="T42" i="1"/>
  <c r="AL42" i="1"/>
  <c r="AL30" i="1"/>
  <c r="T30" i="1"/>
  <c r="M30" i="1"/>
  <c r="T18" i="1"/>
  <c r="AL18" i="1"/>
  <c r="M18" i="1"/>
  <c r="T197" i="1"/>
  <c r="AL197" i="1"/>
  <c r="M197" i="1"/>
  <c r="M96" i="1"/>
  <c r="T96" i="1"/>
  <c r="AL96" i="1"/>
  <c r="M288" i="1"/>
  <c r="T288" i="1"/>
  <c r="AL288" i="1"/>
  <c r="M182" i="1"/>
  <c r="T182" i="1"/>
  <c r="AL182" i="1"/>
  <c r="M173" i="1"/>
  <c r="AL173" i="1"/>
  <c r="T173" i="1"/>
  <c r="AL160" i="1"/>
  <c r="T160" i="1"/>
  <c r="M160" i="1"/>
  <c r="M149" i="1"/>
  <c r="T149" i="1"/>
  <c r="AL149" i="1"/>
  <c r="T137" i="1"/>
  <c r="M137" i="1"/>
  <c r="AL137" i="1"/>
  <c r="M125" i="1"/>
  <c r="T125" i="1"/>
  <c r="AL125" i="1"/>
  <c r="M275" i="1"/>
  <c r="T275" i="1"/>
  <c r="AL275" i="1"/>
  <c r="M263" i="1"/>
  <c r="AL263" i="1"/>
  <c r="T263" i="1"/>
  <c r="M119" i="1"/>
  <c r="T119" i="1"/>
  <c r="AL119" i="1"/>
  <c r="T107" i="1"/>
  <c r="AL107" i="1"/>
  <c r="M107" i="1"/>
  <c r="T101" i="1"/>
  <c r="AL101" i="1"/>
  <c r="M101" i="1"/>
  <c r="AL242" i="1"/>
  <c r="M242" i="1"/>
  <c r="T242" i="1"/>
  <c r="M232" i="1"/>
  <c r="T232" i="1"/>
  <c r="AL232" i="1"/>
  <c r="T221" i="1"/>
  <c r="AL221" i="1"/>
  <c r="M221" i="1"/>
  <c r="M209" i="1"/>
  <c r="T209" i="1"/>
  <c r="AL209" i="1"/>
  <c r="M81" i="1"/>
  <c r="T81" i="1"/>
  <c r="AL81" i="1"/>
  <c r="M69" i="1"/>
  <c r="T69" i="1"/>
  <c r="AL69" i="1"/>
  <c r="M57" i="1"/>
  <c r="T57" i="1"/>
  <c r="AL57" i="1"/>
  <c r="M207" i="1"/>
  <c r="T207" i="1"/>
  <c r="AL207" i="1"/>
  <c r="T41" i="1"/>
  <c r="AL41" i="1"/>
  <c r="M41" i="1"/>
  <c r="T29" i="1"/>
  <c r="AL29" i="1"/>
  <c r="M29" i="1"/>
  <c r="M17" i="1"/>
  <c r="T17" i="1"/>
  <c r="AL17" i="1"/>
  <c r="M196" i="1"/>
  <c r="T196" i="1"/>
  <c r="AL196" i="1"/>
  <c r="T282" i="1"/>
  <c r="AL282" i="1"/>
  <c r="M282" i="1"/>
  <c r="T287" i="1"/>
  <c r="AL287" i="1"/>
  <c r="M287" i="1"/>
  <c r="T285" i="1"/>
  <c r="AL285" i="1"/>
  <c r="M285" i="1"/>
  <c r="AL172" i="1"/>
  <c r="M172" i="1"/>
  <c r="T172" i="1"/>
  <c r="M159" i="1"/>
  <c r="AL159" i="1"/>
  <c r="T159" i="1"/>
  <c r="AL148" i="1"/>
  <c r="M148" i="1"/>
  <c r="T148" i="1"/>
  <c r="M136" i="1"/>
  <c r="T136" i="1"/>
  <c r="AL136" i="1"/>
  <c r="AL124" i="1"/>
  <c r="M124" i="1"/>
  <c r="T124" i="1"/>
  <c r="M274" i="1"/>
  <c r="T274" i="1"/>
  <c r="AL274" i="1"/>
  <c r="M262" i="1"/>
  <c r="T262" i="1"/>
  <c r="AL262" i="1"/>
  <c r="T118" i="1"/>
  <c r="AL118" i="1"/>
  <c r="M118" i="1"/>
  <c r="T106" i="1"/>
  <c r="AL106" i="1"/>
  <c r="M106" i="1"/>
  <c r="M100" i="1"/>
  <c r="T100" i="1"/>
  <c r="AL100" i="1"/>
  <c r="M241" i="1"/>
  <c r="T241" i="1"/>
  <c r="AL241" i="1"/>
  <c r="AL231" i="1"/>
  <c r="M231" i="1"/>
  <c r="T231" i="1"/>
  <c r="T220" i="1"/>
  <c r="AL220" i="1"/>
  <c r="M220" i="1"/>
  <c r="M92" i="1"/>
  <c r="AL92" i="1"/>
  <c r="T92" i="1"/>
  <c r="T80" i="1"/>
  <c r="AL80" i="1"/>
  <c r="M80" i="1"/>
  <c r="T68" i="1"/>
  <c r="M68" i="1"/>
  <c r="AL68" i="1"/>
  <c r="M56" i="1"/>
  <c r="T56" i="1"/>
  <c r="AL56" i="1"/>
  <c r="BA206" i="1"/>
  <c r="AL206" i="1"/>
  <c r="M206" i="1"/>
  <c r="T206" i="1"/>
  <c r="M40" i="1"/>
  <c r="AL40" i="1"/>
  <c r="T40" i="1"/>
  <c r="T28" i="1"/>
  <c r="AL28" i="1"/>
  <c r="M28" i="1"/>
  <c r="AL16" i="1"/>
  <c r="T16" i="1"/>
  <c r="M16" i="1"/>
  <c r="T195" i="1"/>
  <c r="M195" i="1"/>
  <c r="AL195" i="1"/>
  <c r="AL270" i="1"/>
  <c r="T270" i="1"/>
  <c r="M270" i="1"/>
  <c r="AL286" i="1"/>
  <c r="M286" i="1"/>
  <c r="T286" i="1"/>
  <c r="M284" i="1"/>
  <c r="T284" i="1"/>
  <c r="AL284" i="1"/>
  <c r="T170" i="1"/>
  <c r="M170" i="1"/>
  <c r="AL170" i="1"/>
  <c r="T158" i="1"/>
  <c r="M158" i="1"/>
  <c r="AL158" i="1"/>
  <c r="AL147" i="1"/>
  <c r="T147" i="1"/>
  <c r="M147" i="1"/>
  <c r="M135" i="1"/>
  <c r="AL135" i="1"/>
  <c r="T135" i="1"/>
  <c r="AL123" i="1"/>
  <c r="M123" i="1"/>
  <c r="T123" i="1"/>
  <c r="T273" i="1"/>
  <c r="M273" i="1"/>
  <c r="AL273" i="1"/>
  <c r="M261" i="1"/>
  <c r="T261" i="1"/>
  <c r="AL261" i="1"/>
  <c r="M117" i="1"/>
  <c r="T117" i="1"/>
  <c r="AL117" i="1"/>
  <c r="M105" i="1"/>
  <c r="AL105" i="1"/>
  <c r="T105" i="1"/>
  <c r="AL99" i="1"/>
  <c r="M99" i="1"/>
  <c r="T99" i="1"/>
  <c r="M192" i="1"/>
  <c r="AL192" i="1"/>
  <c r="T192" i="1"/>
  <c r="T230" i="1"/>
  <c r="AL230" i="1"/>
  <c r="M230" i="1"/>
  <c r="AL219" i="1"/>
  <c r="M219" i="1"/>
  <c r="T219" i="1"/>
  <c r="AL91" i="1"/>
  <c r="M91" i="1"/>
  <c r="T91" i="1"/>
  <c r="T79" i="1"/>
  <c r="AL79" i="1"/>
  <c r="M79" i="1"/>
  <c r="M67" i="1"/>
  <c r="T67" i="1"/>
  <c r="AL67" i="1"/>
  <c r="AL55" i="1"/>
  <c r="M55" i="1"/>
  <c r="T55" i="1"/>
  <c r="T205" i="1"/>
  <c r="M205" i="1"/>
  <c r="AL205" i="1"/>
  <c r="M39" i="1"/>
  <c r="T39" i="1"/>
  <c r="AL39" i="1"/>
  <c r="M27" i="1"/>
  <c r="T27" i="1"/>
  <c r="AL27" i="1"/>
  <c r="AL15" i="1"/>
  <c r="M15" i="1"/>
  <c r="T15" i="1"/>
  <c r="AL194" i="1"/>
  <c r="M194" i="1"/>
  <c r="T194" i="1"/>
  <c r="AL189" i="1"/>
  <c r="M189" i="1"/>
  <c r="T189" i="1"/>
  <c r="M227" i="1"/>
  <c r="T227" i="1"/>
  <c r="AL227" i="1"/>
  <c r="BA76" i="1"/>
  <c r="BA180" i="1"/>
  <c r="M191" i="1"/>
  <c r="T191" i="1"/>
  <c r="AL191" i="1"/>
  <c r="M283" i="1"/>
  <c r="T283" i="1"/>
  <c r="AL283" i="1"/>
  <c r="AL169" i="1"/>
  <c r="T169" i="1"/>
  <c r="M169" i="1"/>
  <c r="M157" i="1"/>
  <c r="AL157" i="1"/>
  <c r="T157" i="1"/>
  <c r="AL146" i="1"/>
  <c r="T146" i="1"/>
  <c r="M146" i="1"/>
  <c r="T134" i="1"/>
  <c r="AL134" i="1"/>
  <c r="M134" i="1"/>
  <c r="AL122" i="1"/>
  <c r="M122" i="1"/>
  <c r="T122" i="1"/>
  <c r="M272" i="1"/>
  <c r="T272" i="1"/>
  <c r="AL272" i="1"/>
  <c r="T260" i="1"/>
  <c r="M260" i="1"/>
  <c r="AL260" i="1"/>
  <c r="BA116" i="1"/>
  <c r="M116" i="1"/>
  <c r="T116" i="1"/>
  <c r="AL116" i="1"/>
  <c r="T104" i="1"/>
  <c r="AL104" i="1"/>
  <c r="M104" i="1"/>
  <c r="T98" i="1"/>
  <c r="AL98" i="1"/>
  <c r="M98" i="1"/>
  <c r="T240" i="1"/>
  <c r="AL240" i="1"/>
  <c r="M240" i="1"/>
  <c r="T229" i="1"/>
  <c r="M229" i="1"/>
  <c r="AL229" i="1"/>
  <c r="AL218" i="1"/>
  <c r="M218" i="1"/>
  <c r="T218" i="1"/>
  <c r="T90" i="1"/>
  <c r="AL90" i="1"/>
  <c r="M90" i="1"/>
  <c r="BA78" i="1"/>
  <c r="AL78" i="1"/>
  <c r="M78" i="1"/>
  <c r="T78" i="1"/>
  <c r="AL66" i="1"/>
  <c r="T66" i="1"/>
  <c r="M66" i="1"/>
  <c r="T54" i="1"/>
  <c r="AL54" i="1"/>
  <c r="M54" i="1"/>
  <c r="T204" i="1"/>
  <c r="AL204" i="1"/>
  <c r="M204" i="1"/>
  <c r="BA38" i="1"/>
  <c r="AL38" i="1"/>
  <c r="M38" i="1"/>
  <c r="T38" i="1"/>
  <c r="T26" i="1"/>
  <c r="M26" i="1"/>
  <c r="AL26" i="1"/>
  <c r="T14" i="1"/>
  <c r="AL14" i="1"/>
  <c r="M14" i="1"/>
  <c r="AL193" i="1"/>
  <c r="M193" i="1"/>
  <c r="T193" i="1"/>
  <c r="BD212" i="32" a="1"/>
  <c r="BD212" i="32" s="1"/>
  <c r="BD268" i="32" a="1"/>
  <c r="BD268" i="32" s="1"/>
  <c r="BD172" i="32" a="1"/>
  <c r="BD172" i="32" s="1"/>
  <c r="BD249" i="32" a="1"/>
  <c r="BD249" i="32" s="1"/>
  <c r="BD89" i="32" a="1"/>
  <c r="BD89" i="32" s="1"/>
  <c r="BD247" i="32" a="1"/>
  <c r="BD247" i="32" s="1"/>
  <c r="BD239" i="32" a="1"/>
  <c r="BD239" i="32" s="1"/>
  <c r="BD215" i="32" a="1"/>
  <c r="BD215" i="32" s="1"/>
  <c r="BD175" i="32" a="1"/>
  <c r="BD175" i="32" s="1"/>
  <c r="BD167" i="32" a="1"/>
  <c r="BD167" i="32" s="1"/>
  <c r="BD151" i="32" a="1"/>
  <c r="BD151" i="32" s="1"/>
  <c r="BD95" i="32" a="1"/>
  <c r="BD95" i="32" s="1"/>
  <c r="BD87" i="32" a="1"/>
  <c r="BD87" i="32" s="1"/>
  <c r="BD222" i="32" a="1"/>
  <c r="BD222" i="32" s="1"/>
  <c r="BD86" i="32" a="1"/>
  <c r="BD86" i="32" s="1"/>
  <c r="BD47" i="32" a="1"/>
  <c r="BD47" i="32" s="1"/>
  <c r="BD246" i="32" a="1"/>
  <c r="BD246" i="32" s="1"/>
  <c r="BD94" i="32" a="1"/>
  <c r="BD94" i="32" s="1"/>
  <c r="BD46" i="32" a="1"/>
  <c r="BD46" i="32" s="1"/>
  <c r="BD253" i="32" a="1"/>
  <c r="BD253" i="32" s="1"/>
  <c r="BD237" i="32" a="1"/>
  <c r="BD237" i="32" s="1"/>
  <c r="BD221" i="32" a="1"/>
  <c r="BD221" i="32" s="1"/>
  <c r="BD213" i="32" a="1"/>
  <c r="BD213" i="32" s="1"/>
  <c r="BD197" i="32" a="1"/>
  <c r="BD197" i="32" s="1"/>
  <c r="BD173" i="32" a="1"/>
  <c r="BD173" i="32" s="1"/>
  <c r="BD93" i="32" a="1"/>
  <c r="BD93" i="32" s="1"/>
  <c r="BD85" i="32" a="1"/>
  <c r="BD85" i="32" s="1"/>
  <c r="BD45" i="32" a="1"/>
  <c r="BD45" i="32" s="1"/>
  <c r="BD255" i="32" a="1"/>
  <c r="BD255" i="32" s="1"/>
  <c r="BD199" i="32" a="1"/>
  <c r="BD199" i="32" s="1"/>
  <c r="BD252" i="32" a="1"/>
  <c r="BD252" i="32" s="1"/>
  <c r="BD244" i="32" a="1"/>
  <c r="BD244" i="32" s="1"/>
  <c r="BD236" i="32" a="1"/>
  <c r="BD236" i="32" s="1"/>
  <c r="BD220" i="32" a="1"/>
  <c r="BD220" i="32" s="1"/>
  <c r="BD92" i="32" a="1"/>
  <c r="BD92" i="32" s="1"/>
  <c r="BD84" i="32" a="1"/>
  <c r="BD84" i="32" s="1"/>
  <c r="BD60" i="32" a="1"/>
  <c r="BD60" i="32" s="1"/>
  <c r="BD214" i="32" a="1"/>
  <c r="BD214" i="32" s="1"/>
  <c r="BD267" i="32" a="1"/>
  <c r="BD267" i="32" s="1"/>
  <c r="BD251" i="32" a="1"/>
  <c r="BD251" i="32" s="1"/>
  <c r="BD243" i="32" a="1"/>
  <c r="BD243" i="32" s="1"/>
  <c r="BD219" i="32" a="1"/>
  <c r="BD219" i="32" s="1"/>
  <c r="BD211" i="32" a="1"/>
  <c r="BD211" i="32" s="1"/>
  <c r="BD171" i="32" a="1"/>
  <c r="BD171" i="32" s="1"/>
  <c r="BD131" i="32" a="1"/>
  <c r="BD131" i="32" s="1"/>
  <c r="BD107" i="32" a="1"/>
  <c r="BD107" i="32" s="1"/>
  <c r="BD91" i="32" a="1"/>
  <c r="BD91" i="32" s="1"/>
  <c r="BD83" i="32" a="1"/>
  <c r="BD83" i="32" s="1"/>
  <c r="BD59" i="32" a="1"/>
  <c r="BD59" i="32" s="1"/>
  <c r="BD51" i="32" a="1"/>
  <c r="BD51" i="32" s="1"/>
  <c r="BD223" i="32" a="1"/>
  <c r="BD223" i="32" s="1"/>
  <c r="BD238" i="32" a="1"/>
  <c r="BD238" i="32" s="1"/>
  <c r="BD198" i="32" a="1"/>
  <c r="BD198" i="32" s="1"/>
  <c r="BD174" i="32" a="1"/>
  <c r="BD174" i="32" s="1"/>
  <c r="BD250" i="32" a="1"/>
  <c r="BD250" i="32" s="1"/>
  <c r="BD242" i="32" a="1"/>
  <c r="BD242" i="32" s="1"/>
  <c r="BD218" i="32" a="1"/>
  <c r="BD218" i="32" s="1"/>
  <c r="BD210" i="32" a="1"/>
  <c r="BD210" i="32" s="1"/>
  <c r="BD170" i="32" a="1"/>
  <c r="BD170" i="32" s="1"/>
  <c r="BD130" i="32" a="1"/>
  <c r="BD130" i="32" s="1"/>
  <c r="BD106" i="32" a="1"/>
  <c r="BD106" i="32" s="1"/>
  <c r="BD90" i="32" a="1"/>
  <c r="BD90" i="32" s="1"/>
  <c r="BD58" i="32" a="1"/>
  <c r="BD58" i="32" s="1"/>
  <c r="BD50" i="32" a="1"/>
  <c r="BD50" i="32" s="1"/>
  <c r="BD241" i="32" a="1"/>
  <c r="BD241" i="32" s="1"/>
  <c r="BD225" i="32" a="1"/>
  <c r="BD225" i="32" s="1"/>
  <c r="BD217" i="32" a="1"/>
  <c r="BD217" i="32" s="1"/>
  <c r="BD169" i="32" a="1"/>
  <c r="BD169" i="32" s="1"/>
  <c r="BD57" i="32" a="1"/>
  <c r="BD57" i="32" s="1"/>
  <c r="BD245" i="32" a="1"/>
  <c r="BD245" i="32" s="1"/>
  <c r="BD209" i="32" a="1"/>
  <c r="BD209" i="32" s="1"/>
  <c r="BD49" i="32" a="1"/>
  <c r="BD49" i="32" s="1"/>
  <c r="BD256" i="32" a="1"/>
  <c r="BD256" i="32" s="1"/>
  <c r="BD248" i="32" a="1"/>
  <c r="BD248" i="32" s="1"/>
  <c r="BD240" i="32" a="1"/>
  <c r="BD240" i="32" s="1"/>
  <c r="BD224" i="32" a="1"/>
  <c r="BD224" i="32" s="1"/>
  <c r="BD216" i="32" a="1"/>
  <c r="BD216" i="32" s="1"/>
  <c r="BD200" i="32" a="1"/>
  <c r="BD200" i="32" s="1"/>
  <c r="BD176" i="32" a="1"/>
  <c r="BD176" i="32" s="1"/>
  <c r="BD168" i="32" a="1"/>
  <c r="BD168" i="32" s="1"/>
  <c r="BD88" i="32" a="1"/>
  <c r="BD88" i="32" s="1"/>
  <c r="BD48" i="32" a="1"/>
  <c r="BD48" i="32" s="1"/>
  <c r="I139" i="1"/>
  <c r="I136" i="1"/>
  <c r="I40" i="1"/>
  <c r="I156" i="1"/>
  <c r="I32" i="1"/>
  <c r="I154" i="1"/>
  <c r="E278" i="11"/>
  <c r="E279" i="11"/>
  <c r="H278" i="11"/>
  <c r="W278" i="11" s="1"/>
  <c r="H279" i="11"/>
  <c r="W279" i="11" s="1"/>
  <c r="O278" i="11" a="1"/>
  <c r="O278" i="11" s="1"/>
  <c r="O279" i="11" a="1"/>
  <c r="O279" i="11" s="1"/>
  <c r="P278" i="11" a="1"/>
  <c r="P278" i="11" s="1"/>
  <c r="P279" i="11" a="1"/>
  <c r="P279" i="11" s="1"/>
  <c r="R278" i="11"/>
  <c r="R279" i="11"/>
  <c r="I230" i="1"/>
  <c r="I231" i="1"/>
  <c r="I232" i="1"/>
  <c r="I233" i="1"/>
  <c r="I234" i="1"/>
  <c r="I235" i="1"/>
  <c r="I236" i="1"/>
  <c r="I237" i="1"/>
  <c r="W230" i="1"/>
  <c r="W231" i="1"/>
  <c r="W232" i="1"/>
  <c r="W233" i="1"/>
  <c r="W234" i="1"/>
  <c r="W235" i="1"/>
  <c r="W236" i="1"/>
  <c r="W237" i="1"/>
  <c r="BC230" i="1"/>
  <c r="AP230" i="1" s="1"/>
  <c r="BC231" i="1"/>
  <c r="AP231" i="1" s="1"/>
  <c r="BC232" i="1"/>
  <c r="AP232" i="1" s="1"/>
  <c r="BC233" i="1"/>
  <c r="AP233" i="1" s="1"/>
  <c r="BC234" i="1"/>
  <c r="AP234" i="1" s="1"/>
  <c r="BC235" i="1"/>
  <c r="AP235" i="1" s="1"/>
  <c r="BC236" i="1"/>
  <c r="AP236" i="1" s="1"/>
  <c r="BC237" i="1"/>
  <c r="AP237" i="1" s="1"/>
  <c r="BD286" i="32" l="1" a="1"/>
  <c r="BD286" i="32" s="1"/>
  <c r="BA230" i="1"/>
  <c r="BD293" i="32" a="1"/>
  <c r="BD293" i="32" s="1"/>
  <c r="BA237" i="1"/>
  <c r="BD292" i="32" a="1"/>
  <c r="BD292" i="32" s="1"/>
  <c r="BA236" i="1"/>
  <c r="BD291" i="32" a="1"/>
  <c r="BD291" i="32" s="1"/>
  <c r="BA235" i="1"/>
  <c r="BD289" i="32" a="1"/>
  <c r="BD289" i="32" s="1"/>
  <c r="BA233" i="1"/>
  <c r="BD290" i="32" a="1"/>
  <c r="BD290" i="32" s="1"/>
  <c r="BA234" i="1"/>
  <c r="BD288" i="32" a="1"/>
  <c r="BD288" i="32" s="1"/>
  <c r="BA232" i="1"/>
  <c r="BD287" i="32" a="1"/>
  <c r="BD287" i="32" s="1"/>
  <c r="BA231" i="1"/>
  <c r="BC240" i="1"/>
  <c r="AP240" i="1" s="1"/>
  <c r="AP192" i="1"/>
  <c r="BD133" i="32" l="1" a="1"/>
  <c r="BD133" i="32" s="1"/>
  <c r="BA240" i="1"/>
  <c r="BD294" i="32" a="1"/>
  <c r="BD294" i="32" s="1"/>
  <c r="BA192" i="1"/>
  <c r="A8" i="10"/>
  <c r="B8" i="10" s="1"/>
  <c r="C8" i="10"/>
  <c r="D8" i="10"/>
  <c r="L8" i="10"/>
  <c r="M8" i="10"/>
  <c r="N8" i="10"/>
  <c r="A9" i="10"/>
  <c r="B9" i="10" s="1"/>
  <c r="C9" i="10"/>
  <c r="D9" i="10"/>
  <c r="L9" i="10"/>
  <c r="M9" i="10"/>
  <c r="N9" i="10"/>
  <c r="A10" i="10"/>
  <c r="B10" i="10" s="1"/>
  <c r="C10" i="10"/>
  <c r="D10" i="10"/>
  <c r="L10" i="10"/>
  <c r="M10" i="10"/>
  <c r="N10" i="10"/>
  <c r="A5" i="10"/>
  <c r="B5" i="10" s="1"/>
  <c r="C5" i="10"/>
  <c r="D5" i="10"/>
  <c r="L5" i="10"/>
  <c r="M5" i="10"/>
  <c r="N5" i="10"/>
  <c r="A6" i="10"/>
  <c r="B6" i="10" s="1"/>
  <c r="C6" i="10"/>
  <c r="D6" i="10"/>
  <c r="L6" i="10"/>
  <c r="M6" i="10"/>
  <c r="N6" i="10"/>
  <c r="A7" i="10"/>
  <c r="B7" i="10" s="1"/>
  <c r="C7" i="10"/>
  <c r="D7" i="10"/>
  <c r="L7" i="10"/>
  <c r="M7" i="10"/>
  <c r="N7" i="10"/>
  <c r="A4" i="10"/>
  <c r="B4" i="10" s="1"/>
  <c r="C4" i="10"/>
  <c r="D4" i="10"/>
  <c r="M4" i="10"/>
  <c r="N4" i="10"/>
  <c r="R259" i="11"/>
  <c r="P259" i="11" a="1"/>
  <c r="P259" i="11" s="1"/>
  <c r="O259" i="11" a="1"/>
  <c r="O259" i="11" s="1"/>
  <c r="H259" i="11"/>
  <c r="W259" i="11" s="1"/>
  <c r="E259" i="11"/>
  <c r="R258" i="11"/>
  <c r="P258" i="11" a="1"/>
  <c r="P258" i="11" s="1"/>
  <c r="O258" i="11" a="1"/>
  <c r="O258" i="11" s="1"/>
  <c r="H258" i="11"/>
  <c r="W258" i="11" s="1"/>
  <c r="E258" i="11"/>
  <c r="R277" i="11"/>
  <c r="P277" i="11" a="1"/>
  <c r="P277" i="11" s="1"/>
  <c r="O277" i="11" a="1"/>
  <c r="O277" i="11" s="1"/>
  <c r="H277" i="11"/>
  <c r="W277" i="11" s="1"/>
  <c r="E277" i="11"/>
  <c r="BC171" i="1"/>
  <c r="W2" i="1" l="1"/>
  <c r="P276" i="11" l="1" a="1"/>
  <c r="P276" i="11" s="1"/>
  <c r="P275" i="11" a="1"/>
  <c r="P275" i="11" s="1"/>
  <c r="P274" i="11" a="1"/>
  <c r="P274" i="11" s="1"/>
  <c r="P273" i="11" a="1"/>
  <c r="P273" i="11" s="1"/>
  <c r="P272" i="11" a="1"/>
  <c r="P272" i="11" s="1"/>
  <c r="P271" i="11" a="1"/>
  <c r="P271" i="11" s="1"/>
  <c r="P270" i="11" a="1"/>
  <c r="P270" i="11" s="1"/>
  <c r="P269" i="11" a="1"/>
  <c r="P269" i="11" s="1"/>
  <c r="P268" i="11" a="1"/>
  <c r="P268" i="11" s="1"/>
  <c r="P267" i="11" a="1"/>
  <c r="P267" i="11" s="1"/>
  <c r="P266" i="11" a="1"/>
  <c r="P266" i="11" s="1"/>
  <c r="P265" i="11" a="1"/>
  <c r="P265" i="11" s="1"/>
  <c r="P264" i="11" a="1"/>
  <c r="P264" i="11" s="1"/>
  <c r="P263" i="11" a="1"/>
  <c r="P263" i="11" s="1"/>
  <c r="P262" i="11" a="1"/>
  <c r="P262" i="11" s="1"/>
  <c r="P261" i="11" a="1"/>
  <c r="P261" i="11" s="1"/>
  <c r="P260" i="11" a="1"/>
  <c r="P260" i="11" s="1"/>
  <c r="P257" i="11" a="1"/>
  <c r="P257" i="11" s="1"/>
  <c r="P256" i="11" a="1"/>
  <c r="P256" i="11" s="1"/>
  <c r="P255" i="11" a="1"/>
  <c r="P255" i="11" s="1"/>
  <c r="P254" i="11" a="1"/>
  <c r="P254" i="11" s="1"/>
  <c r="P253" i="11" a="1"/>
  <c r="P253" i="11" s="1"/>
  <c r="P252" i="11" a="1"/>
  <c r="P252" i="11" s="1"/>
  <c r="P251" i="11" a="1"/>
  <c r="P251" i="11" s="1"/>
  <c r="P250" i="11" a="1"/>
  <c r="P250" i="11" s="1"/>
  <c r="P249" i="11" a="1"/>
  <c r="P249" i="11" s="1"/>
  <c r="P248" i="11" a="1"/>
  <c r="P248" i="11" s="1"/>
  <c r="P247" i="11" a="1"/>
  <c r="P247" i="11" s="1"/>
  <c r="P246" i="11" a="1"/>
  <c r="P246" i="11" s="1"/>
  <c r="P245" i="11" a="1"/>
  <c r="P245" i="11" s="1"/>
  <c r="P244" i="11" a="1"/>
  <c r="P244" i="11" s="1"/>
  <c r="P243" i="11" a="1"/>
  <c r="P243" i="11" s="1"/>
  <c r="P242" i="11" a="1"/>
  <c r="P242" i="11" s="1"/>
  <c r="P241" i="11" a="1"/>
  <c r="P241" i="11" s="1"/>
  <c r="P240" i="11" a="1"/>
  <c r="P240" i="11" s="1"/>
  <c r="P239" i="11" a="1"/>
  <c r="P239" i="11" s="1"/>
  <c r="P238" i="11" a="1"/>
  <c r="P238" i="11" s="1"/>
  <c r="P237" i="11" a="1"/>
  <c r="P237" i="11" s="1"/>
  <c r="P236" i="11" a="1"/>
  <c r="P236" i="11" s="1"/>
  <c r="P235" i="11" a="1"/>
  <c r="P235" i="11" s="1"/>
  <c r="P234" i="11" a="1"/>
  <c r="P234" i="11" s="1"/>
  <c r="P233" i="11" a="1"/>
  <c r="P233" i="11" s="1"/>
  <c r="P232" i="11" a="1"/>
  <c r="P232" i="11" s="1"/>
  <c r="P231" i="11" a="1"/>
  <c r="P231" i="11" s="1"/>
  <c r="P230" i="11" a="1"/>
  <c r="P230" i="11" s="1"/>
  <c r="P229" i="11" a="1"/>
  <c r="P229" i="11" s="1"/>
  <c r="P228" i="11" a="1"/>
  <c r="P228" i="11" s="1"/>
  <c r="P227" i="11" a="1"/>
  <c r="P227" i="11" s="1"/>
  <c r="P226" i="11" a="1"/>
  <c r="P226" i="11" s="1"/>
  <c r="P225" i="11" a="1"/>
  <c r="P225" i="11" s="1"/>
  <c r="P224" i="11" a="1"/>
  <c r="P224" i="11" s="1"/>
  <c r="P223" i="11" a="1"/>
  <c r="P223" i="11" s="1"/>
  <c r="P222" i="11" a="1"/>
  <c r="P222" i="11" s="1"/>
  <c r="P221" i="11" a="1"/>
  <c r="P221" i="11" s="1"/>
  <c r="P220" i="11" a="1"/>
  <c r="P220" i="11" s="1"/>
  <c r="P219" i="11" a="1"/>
  <c r="P219" i="11" s="1"/>
  <c r="P218" i="11" a="1"/>
  <c r="P218" i="11" s="1"/>
  <c r="P217" i="11" a="1"/>
  <c r="P217" i="11" s="1"/>
  <c r="P216" i="11" a="1"/>
  <c r="P216" i="11" s="1"/>
  <c r="P215" i="11" a="1"/>
  <c r="P215" i="11" s="1"/>
  <c r="P214" i="11" a="1"/>
  <c r="P214" i="11" s="1"/>
  <c r="P213" i="11" a="1"/>
  <c r="P213" i="11" s="1"/>
  <c r="P212" i="11" a="1"/>
  <c r="P212" i="11" s="1"/>
  <c r="P211" i="11" a="1"/>
  <c r="P211" i="11" s="1"/>
  <c r="P210" i="11" a="1"/>
  <c r="P210" i="11" s="1"/>
  <c r="P209" i="11" a="1"/>
  <c r="P209" i="11" s="1"/>
  <c r="P208" i="11" a="1"/>
  <c r="P208" i="11" s="1"/>
  <c r="P207" i="11" a="1"/>
  <c r="P207" i="11" s="1"/>
  <c r="P206" i="11" a="1"/>
  <c r="P206" i="11" s="1"/>
  <c r="P205" i="11" a="1"/>
  <c r="P205" i="11" s="1"/>
  <c r="P204" i="11" a="1"/>
  <c r="P204" i="11" s="1"/>
  <c r="P203" i="11" a="1"/>
  <c r="P203" i="11" s="1"/>
  <c r="P202" i="11" a="1"/>
  <c r="P202" i="11" s="1"/>
  <c r="P201" i="11" a="1"/>
  <c r="P201" i="11" s="1"/>
  <c r="P200" i="11" a="1"/>
  <c r="P200" i="11" s="1"/>
  <c r="P199" i="11" a="1"/>
  <c r="P199" i="11" s="1"/>
  <c r="P198" i="11" a="1"/>
  <c r="P198" i="11" s="1"/>
  <c r="P197" i="11" a="1"/>
  <c r="P197" i="11" s="1"/>
  <c r="P196" i="11" a="1"/>
  <c r="P196" i="11" s="1"/>
  <c r="P195" i="11" a="1"/>
  <c r="P195" i="11" s="1"/>
  <c r="P194" i="11" a="1"/>
  <c r="P194" i="11" s="1"/>
  <c r="P193" i="11" a="1"/>
  <c r="P193" i="11" s="1"/>
  <c r="P192" i="11" a="1"/>
  <c r="P192" i="11" s="1"/>
  <c r="P191" i="11" a="1"/>
  <c r="P191" i="11" s="1"/>
  <c r="P190" i="11" a="1"/>
  <c r="P190" i="11" s="1"/>
  <c r="P189" i="11" a="1"/>
  <c r="P189" i="11" s="1"/>
  <c r="P188" i="11" a="1"/>
  <c r="P188" i="11" s="1"/>
  <c r="P187" i="11" a="1"/>
  <c r="P187" i="11" s="1"/>
  <c r="P186" i="11" a="1"/>
  <c r="P186" i="11" s="1"/>
  <c r="P185" i="11" a="1"/>
  <c r="P185" i="11" s="1"/>
  <c r="P184" i="11" a="1"/>
  <c r="P184" i="11" s="1"/>
  <c r="P183" i="11" a="1"/>
  <c r="P183" i="11" s="1"/>
  <c r="P182" i="11" a="1"/>
  <c r="P182" i="11" s="1"/>
  <c r="P181" i="11" a="1"/>
  <c r="P181" i="11" s="1"/>
  <c r="P180" i="11" a="1"/>
  <c r="P180" i="11" s="1"/>
  <c r="P179" i="11" a="1"/>
  <c r="P179" i="11" s="1"/>
  <c r="P178" i="11" a="1"/>
  <c r="P178" i="11" s="1"/>
  <c r="P177" i="11" a="1"/>
  <c r="P177" i="11" s="1"/>
  <c r="P176" i="11" a="1"/>
  <c r="P176" i="11" s="1"/>
  <c r="P175" i="11" a="1"/>
  <c r="P175" i="11" s="1"/>
  <c r="P174" i="11" a="1"/>
  <c r="P174" i="11" s="1"/>
  <c r="P173" i="11" a="1"/>
  <c r="P173" i="11" s="1"/>
  <c r="P172" i="11" a="1"/>
  <c r="P172" i="11" s="1"/>
  <c r="P171" i="11" a="1"/>
  <c r="P171" i="11" s="1"/>
  <c r="P170" i="11" a="1"/>
  <c r="P170" i="11" s="1"/>
  <c r="P169" i="11" a="1"/>
  <c r="P169" i="11" s="1"/>
  <c r="P168" i="11" a="1"/>
  <c r="P168" i="11" s="1"/>
  <c r="P167" i="11" a="1"/>
  <c r="P167" i="11" s="1"/>
  <c r="P166" i="11" a="1"/>
  <c r="P166" i="11" s="1"/>
  <c r="P165" i="11" a="1"/>
  <c r="P165" i="11" s="1"/>
  <c r="P164" i="11" a="1"/>
  <c r="P164" i="11" s="1"/>
  <c r="P163" i="11" a="1"/>
  <c r="P163" i="11" s="1"/>
  <c r="P162" i="11" a="1"/>
  <c r="P162" i="11" s="1"/>
  <c r="P161" i="11" a="1"/>
  <c r="P161" i="11" s="1"/>
  <c r="P160" i="11" a="1"/>
  <c r="P160" i="11" s="1"/>
  <c r="P159" i="11" a="1"/>
  <c r="P159" i="11" s="1"/>
  <c r="P158" i="11" a="1"/>
  <c r="P158" i="11" s="1"/>
  <c r="P157" i="11" a="1"/>
  <c r="P157" i="11" s="1"/>
  <c r="P156" i="11" a="1"/>
  <c r="P156" i="11" s="1"/>
  <c r="P155" i="11" a="1"/>
  <c r="P155" i="11" s="1"/>
  <c r="P154" i="11" a="1"/>
  <c r="P154" i="11" s="1"/>
  <c r="P153" i="11" a="1"/>
  <c r="P153" i="11" s="1"/>
  <c r="P152" i="11" a="1"/>
  <c r="P152" i="11" s="1"/>
  <c r="P151" i="11" a="1"/>
  <c r="P151" i="11" s="1"/>
  <c r="P150" i="11" a="1"/>
  <c r="P150" i="11" s="1"/>
  <c r="P149" i="11" a="1"/>
  <c r="P149" i="11" s="1"/>
  <c r="P148" i="11" a="1"/>
  <c r="P148" i="11" s="1"/>
  <c r="P147" i="11" a="1"/>
  <c r="P147" i="11" s="1"/>
  <c r="P146" i="11" a="1"/>
  <c r="P146" i="11" s="1"/>
  <c r="P145" i="11" a="1"/>
  <c r="P145" i="11" s="1"/>
  <c r="P144" i="11" a="1"/>
  <c r="P144" i="11" s="1"/>
  <c r="P143" i="11" a="1"/>
  <c r="P143" i="11" s="1"/>
  <c r="P142" i="11" a="1"/>
  <c r="P142" i="11" s="1"/>
  <c r="P141" i="11" a="1"/>
  <c r="P141" i="11" s="1"/>
  <c r="P140" i="11" a="1"/>
  <c r="P140" i="11" s="1"/>
  <c r="P139" i="11" a="1"/>
  <c r="P139" i="11" s="1"/>
  <c r="P138" i="11" a="1"/>
  <c r="P138" i="11" s="1"/>
  <c r="P137" i="11" a="1"/>
  <c r="P137" i="11" s="1"/>
  <c r="P136" i="11" a="1"/>
  <c r="P136" i="11" s="1"/>
  <c r="P135" i="11" a="1"/>
  <c r="P135" i="11" s="1"/>
  <c r="P134" i="11" a="1"/>
  <c r="P134" i="11" s="1"/>
  <c r="P133" i="11" a="1"/>
  <c r="P133" i="11" s="1"/>
  <c r="P132" i="11" a="1"/>
  <c r="P132" i="11" s="1"/>
  <c r="P131" i="11" a="1"/>
  <c r="P131" i="11" s="1"/>
  <c r="P130" i="11" a="1"/>
  <c r="P130" i="11" s="1"/>
  <c r="P129" i="11" a="1"/>
  <c r="P129" i="11" s="1"/>
  <c r="P128" i="11" a="1"/>
  <c r="P128" i="11" s="1"/>
  <c r="P127" i="11" a="1"/>
  <c r="P127" i="11" s="1"/>
  <c r="P126" i="11" a="1"/>
  <c r="P126" i="11" s="1"/>
  <c r="P125" i="11" a="1"/>
  <c r="P125" i="11" s="1"/>
  <c r="P124" i="11" a="1"/>
  <c r="P124" i="11" s="1"/>
  <c r="P123" i="11" a="1"/>
  <c r="P123" i="11" s="1"/>
  <c r="P122" i="11" a="1"/>
  <c r="P122" i="11" s="1"/>
  <c r="P121" i="11" a="1"/>
  <c r="P121" i="11" s="1"/>
  <c r="P120" i="11" a="1"/>
  <c r="P120" i="11" s="1"/>
  <c r="P119" i="11" a="1"/>
  <c r="P119" i="11" s="1"/>
  <c r="P118" i="11" a="1"/>
  <c r="P118" i="11" s="1"/>
  <c r="P117" i="11" a="1"/>
  <c r="P117" i="11" s="1"/>
  <c r="P116" i="11" a="1"/>
  <c r="P116" i="11" s="1"/>
  <c r="P115" i="11" a="1"/>
  <c r="P115" i="11" s="1"/>
  <c r="P114" i="11" a="1"/>
  <c r="P114" i="11" s="1"/>
  <c r="P113" i="11" a="1"/>
  <c r="P113" i="11" s="1"/>
  <c r="P112" i="11" a="1"/>
  <c r="P112" i="11" s="1"/>
  <c r="P111" i="11" a="1"/>
  <c r="P111" i="11" s="1"/>
  <c r="P110" i="11" a="1"/>
  <c r="P110" i="11" s="1"/>
  <c r="P109" i="11" a="1"/>
  <c r="P109" i="11" s="1"/>
  <c r="P108" i="11" a="1"/>
  <c r="P108" i="11" s="1"/>
  <c r="P107" i="11" a="1"/>
  <c r="P107" i="11" s="1"/>
  <c r="P106" i="11" a="1"/>
  <c r="P106" i="11" s="1"/>
  <c r="P105" i="11" a="1"/>
  <c r="P105" i="11" s="1"/>
  <c r="P104" i="11" a="1"/>
  <c r="P104" i="11" s="1"/>
  <c r="P103" i="11" a="1"/>
  <c r="P103" i="11" s="1"/>
  <c r="P102" i="11" a="1"/>
  <c r="P102" i="11" s="1"/>
  <c r="P101" i="11" a="1"/>
  <c r="P101" i="11" s="1"/>
  <c r="P100" i="11" a="1"/>
  <c r="P100" i="11" s="1"/>
  <c r="P99" i="11" a="1"/>
  <c r="P99" i="11" s="1"/>
  <c r="P98" i="11" a="1"/>
  <c r="P98" i="11" s="1"/>
  <c r="P97" i="11" a="1"/>
  <c r="P97" i="11" s="1"/>
  <c r="P96" i="11" a="1"/>
  <c r="P96" i="11" s="1"/>
  <c r="P95" i="11" a="1"/>
  <c r="P95" i="11" s="1"/>
  <c r="P94" i="11" a="1"/>
  <c r="P94" i="11" s="1"/>
  <c r="P93" i="11" a="1"/>
  <c r="P93" i="11" s="1"/>
  <c r="P92" i="11" a="1"/>
  <c r="P92" i="11" s="1"/>
  <c r="P91" i="11" a="1"/>
  <c r="P91" i="11" s="1"/>
  <c r="P90" i="11" a="1"/>
  <c r="P90" i="11" s="1"/>
  <c r="P89" i="11" a="1"/>
  <c r="P89" i="11" s="1"/>
  <c r="P88" i="11" a="1"/>
  <c r="P88" i="11" s="1"/>
  <c r="P87" i="11" a="1"/>
  <c r="P87" i="11" s="1"/>
  <c r="P86" i="11" a="1"/>
  <c r="P86" i="11" s="1"/>
  <c r="P85" i="11" a="1"/>
  <c r="P85" i="11" s="1"/>
  <c r="P84" i="11" a="1"/>
  <c r="P84" i="11" s="1"/>
  <c r="P83" i="11" a="1"/>
  <c r="P83" i="11" s="1"/>
  <c r="P82" i="11" a="1"/>
  <c r="P82" i="11" s="1"/>
  <c r="P81" i="11" a="1"/>
  <c r="P81" i="11" s="1"/>
  <c r="P80" i="11" a="1"/>
  <c r="P80" i="11" s="1"/>
  <c r="P79" i="11" a="1"/>
  <c r="P79" i="11" s="1"/>
  <c r="P78" i="11" a="1"/>
  <c r="P78" i="11" s="1"/>
  <c r="P77" i="11" a="1"/>
  <c r="P77" i="11" s="1"/>
  <c r="P76" i="11" a="1"/>
  <c r="P76" i="11" s="1"/>
  <c r="P75" i="11" a="1"/>
  <c r="P75" i="11" s="1"/>
  <c r="P74" i="11" a="1"/>
  <c r="P74" i="11" s="1"/>
  <c r="P73" i="11" a="1"/>
  <c r="P73" i="11" s="1"/>
  <c r="P72" i="11" a="1"/>
  <c r="P72" i="11" s="1"/>
  <c r="P71" i="11" a="1"/>
  <c r="P71" i="11" s="1"/>
  <c r="P70" i="11" a="1"/>
  <c r="P70" i="11" s="1"/>
  <c r="P69" i="11" a="1"/>
  <c r="P69" i="11" s="1"/>
  <c r="P68" i="11" a="1"/>
  <c r="P68" i="11" s="1"/>
  <c r="P67" i="11" a="1"/>
  <c r="P67" i="11" s="1"/>
  <c r="P66" i="11" a="1"/>
  <c r="P66" i="11" s="1"/>
  <c r="P65" i="11" a="1"/>
  <c r="P65" i="11" s="1"/>
  <c r="P64" i="11" a="1"/>
  <c r="P64" i="11" s="1"/>
  <c r="P63" i="11" a="1"/>
  <c r="P63" i="11" s="1"/>
  <c r="P62" i="11" a="1"/>
  <c r="P62" i="11" s="1"/>
  <c r="P61" i="11" a="1"/>
  <c r="P61" i="11" s="1"/>
  <c r="P60" i="11" a="1"/>
  <c r="P60" i="11" s="1"/>
  <c r="P59" i="11" a="1"/>
  <c r="P59" i="11" s="1"/>
  <c r="P58" i="11" a="1"/>
  <c r="P58" i="11" s="1"/>
  <c r="P57" i="11" a="1"/>
  <c r="P57" i="11" s="1"/>
  <c r="P56" i="11" a="1"/>
  <c r="P56" i="11" s="1"/>
  <c r="P55" i="11" a="1"/>
  <c r="P55" i="11" s="1"/>
  <c r="P54" i="11" a="1"/>
  <c r="P54" i="11" s="1"/>
  <c r="P53" i="11" a="1"/>
  <c r="P53" i="11" s="1"/>
  <c r="P52" i="11" a="1"/>
  <c r="P52" i="11" s="1"/>
  <c r="P51" i="11" a="1"/>
  <c r="P51" i="11" s="1"/>
  <c r="P50" i="11" a="1"/>
  <c r="P50" i="11" s="1"/>
  <c r="P49" i="11" a="1"/>
  <c r="P49" i="11" s="1"/>
  <c r="P48" i="11" a="1"/>
  <c r="P48" i="11" s="1"/>
  <c r="P47" i="11" a="1"/>
  <c r="P47" i="11" s="1"/>
  <c r="P46" i="11" a="1"/>
  <c r="P46" i="11" s="1"/>
  <c r="P45" i="11" a="1"/>
  <c r="P45" i="11" s="1"/>
  <c r="P44" i="11" a="1"/>
  <c r="P44" i="11" s="1"/>
  <c r="P43" i="11" a="1"/>
  <c r="P43" i="11" s="1"/>
  <c r="P42" i="11" a="1"/>
  <c r="P42" i="11" s="1"/>
  <c r="P41" i="11" a="1"/>
  <c r="P41" i="11" s="1"/>
  <c r="P40" i="11" a="1"/>
  <c r="P40" i="11" s="1"/>
  <c r="P39" i="11" a="1"/>
  <c r="P39" i="11" s="1"/>
  <c r="P38" i="11" a="1"/>
  <c r="P38" i="11" s="1"/>
  <c r="P37" i="11" a="1"/>
  <c r="P37" i="11" s="1"/>
  <c r="P36" i="11" a="1"/>
  <c r="P36" i="11" s="1"/>
  <c r="P35" i="11" a="1"/>
  <c r="P35" i="11" s="1"/>
  <c r="P34" i="11" a="1"/>
  <c r="P34" i="11" s="1"/>
  <c r="P33" i="11" a="1"/>
  <c r="P33" i="11" s="1"/>
  <c r="P32" i="11" a="1"/>
  <c r="P32" i="11" s="1"/>
  <c r="P31" i="11" a="1"/>
  <c r="P31" i="11" s="1"/>
  <c r="P30" i="11" a="1"/>
  <c r="P30" i="11" s="1"/>
  <c r="P29" i="11" a="1"/>
  <c r="P29" i="11" s="1"/>
  <c r="P28" i="11" a="1"/>
  <c r="P28" i="11" s="1"/>
  <c r="P27" i="11" a="1"/>
  <c r="P27" i="11" s="1"/>
  <c r="P26" i="11" a="1"/>
  <c r="P26" i="11" s="1"/>
  <c r="P25" i="11" a="1"/>
  <c r="P25" i="11" s="1"/>
  <c r="P24" i="11" a="1"/>
  <c r="P24" i="11" s="1"/>
  <c r="P23" i="11" a="1"/>
  <c r="P23" i="11" s="1"/>
  <c r="P22" i="11" a="1"/>
  <c r="P22" i="11" s="1"/>
  <c r="P21" i="11" a="1"/>
  <c r="P21" i="11" s="1"/>
  <c r="P20" i="11" a="1"/>
  <c r="P20" i="11" s="1"/>
  <c r="P19" i="11" a="1"/>
  <c r="P19" i="11" s="1"/>
  <c r="P18" i="11" a="1"/>
  <c r="P18" i="11" s="1"/>
  <c r="P17" i="11" a="1"/>
  <c r="P17" i="11" s="1"/>
  <c r="P16" i="11" a="1"/>
  <c r="P16" i="11" s="1"/>
  <c r="P15" i="11" a="1"/>
  <c r="P15" i="11" s="1"/>
  <c r="P14" i="11" a="1"/>
  <c r="P14" i="11" s="1"/>
  <c r="P13" i="11" a="1"/>
  <c r="P13" i="11" s="1"/>
  <c r="P12" i="11" a="1"/>
  <c r="P12" i="11" s="1"/>
  <c r="P3" i="11" a="1"/>
  <c r="P3" i="11" s="1"/>
  <c r="P2" i="11" a="1"/>
  <c r="P2" i="11" s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08" i="1"/>
  <c r="AP209" i="1"/>
  <c r="Q245" i="1"/>
  <c r="R276" i="11"/>
  <c r="O276" i="11" a="1"/>
  <c r="O276" i="11" s="1"/>
  <c r="H276" i="11"/>
  <c r="W276" i="11" s="1"/>
  <c r="E276" i="11"/>
  <c r="R275" i="11"/>
  <c r="R274" i="11"/>
  <c r="R273" i="11"/>
  <c r="R272" i="11"/>
  <c r="R271" i="11"/>
  <c r="R270" i="11"/>
  <c r="R269" i="11"/>
  <c r="R268" i="11"/>
  <c r="R267" i="11"/>
  <c r="R266" i="11"/>
  <c r="R265" i="11"/>
  <c r="R264" i="11"/>
  <c r="R263" i="11"/>
  <c r="R262" i="11"/>
  <c r="R261" i="11"/>
  <c r="R260" i="11"/>
  <c r="O275" i="11" a="1"/>
  <c r="O275" i="11" s="1"/>
  <c r="O274" i="11" a="1"/>
  <c r="O274" i="11" s="1"/>
  <c r="O273" i="11" a="1"/>
  <c r="O273" i="11" s="1"/>
  <c r="O272" i="11" a="1"/>
  <c r="O272" i="11" s="1"/>
  <c r="O271" i="11" a="1"/>
  <c r="O271" i="11" s="1"/>
  <c r="O270" i="11" a="1"/>
  <c r="O270" i="11" s="1"/>
  <c r="O269" i="11" a="1"/>
  <c r="O269" i="11" s="1"/>
  <c r="O268" i="11" a="1"/>
  <c r="O268" i="11" s="1"/>
  <c r="O267" i="11" a="1"/>
  <c r="O267" i="11" s="1"/>
  <c r="O266" i="11" a="1"/>
  <c r="O266" i="11" s="1"/>
  <c r="O265" i="11" a="1"/>
  <c r="O265" i="11" s="1"/>
  <c r="O264" i="11" a="1"/>
  <c r="O264" i="11" s="1"/>
  <c r="O263" i="11" a="1"/>
  <c r="O263" i="11" s="1"/>
  <c r="O262" i="11" a="1"/>
  <c r="O262" i="11" s="1"/>
  <c r="O261" i="11" a="1"/>
  <c r="O261" i="11" s="1"/>
  <c r="O260" i="11" a="1"/>
  <c r="O260" i="11" s="1"/>
  <c r="H275" i="11"/>
  <c r="W275" i="11" s="1"/>
  <c r="H274" i="11"/>
  <c r="W274" i="11" s="1"/>
  <c r="H273" i="11"/>
  <c r="W273" i="11" s="1"/>
  <c r="H272" i="11"/>
  <c r="W272" i="11" s="1"/>
  <c r="H271" i="11"/>
  <c r="W271" i="11" s="1"/>
  <c r="H270" i="11"/>
  <c r="W270" i="11" s="1"/>
  <c r="H269" i="11"/>
  <c r="W269" i="11" s="1"/>
  <c r="H268" i="11"/>
  <c r="W268" i="11" s="1"/>
  <c r="H267" i="11"/>
  <c r="W267" i="11" s="1"/>
  <c r="H266" i="11"/>
  <c r="W266" i="11" s="1"/>
  <c r="H265" i="11"/>
  <c r="W265" i="11" s="1"/>
  <c r="H264" i="11"/>
  <c r="W264" i="11" s="1"/>
  <c r="H263" i="11"/>
  <c r="W263" i="11" s="1"/>
  <c r="H262" i="11"/>
  <c r="W262" i="11" s="1"/>
  <c r="H261" i="11"/>
  <c r="W261" i="11" s="1"/>
  <c r="H260" i="11"/>
  <c r="W260" i="11" s="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R257" i="11"/>
  <c r="R256" i="11"/>
  <c r="R255" i="11"/>
  <c r="R254" i="11"/>
  <c r="R253" i="11"/>
  <c r="R252" i="11"/>
  <c r="R251" i="11"/>
  <c r="R250" i="11"/>
  <c r="R249" i="11"/>
  <c r="R248" i="11"/>
  <c r="R247" i="11"/>
  <c r="R246" i="11"/>
  <c r="R245" i="11"/>
  <c r="R244" i="11"/>
  <c r="R243" i="11"/>
  <c r="R242" i="11"/>
  <c r="R241" i="11"/>
  <c r="R240" i="11"/>
  <c r="R239" i="11"/>
  <c r="R238" i="11"/>
  <c r="R237" i="11"/>
  <c r="R236" i="11"/>
  <c r="R235" i="11"/>
  <c r="R234" i="11"/>
  <c r="R233" i="11"/>
  <c r="R232" i="11"/>
  <c r="R231" i="11"/>
  <c r="R230" i="11"/>
  <c r="R229" i="11"/>
  <c r="R228" i="11"/>
  <c r="R227" i="11"/>
  <c r="R226" i="11"/>
  <c r="R225" i="11"/>
  <c r="R224" i="11"/>
  <c r="R223" i="11"/>
  <c r="R222" i="11"/>
  <c r="R221" i="11"/>
  <c r="R220" i="11"/>
  <c r="R219" i="11"/>
  <c r="R218" i="11"/>
  <c r="R217" i="11"/>
  <c r="R216" i="11"/>
  <c r="R215" i="11"/>
  <c r="R214" i="11"/>
  <c r="R213" i="11"/>
  <c r="R212" i="11"/>
  <c r="R211" i="11"/>
  <c r="R210" i="11"/>
  <c r="R209" i="11"/>
  <c r="R208" i="11"/>
  <c r="R207" i="11"/>
  <c r="R206" i="11"/>
  <c r="R205" i="11"/>
  <c r="R204" i="11"/>
  <c r="R203" i="11"/>
  <c r="R202" i="11"/>
  <c r="R201" i="11"/>
  <c r="R200" i="11"/>
  <c r="R199" i="11"/>
  <c r="R198" i="11"/>
  <c r="R197" i="11"/>
  <c r="R196" i="11"/>
  <c r="R195" i="11"/>
  <c r="R194" i="11"/>
  <c r="R193" i="11"/>
  <c r="R192" i="11"/>
  <c r="R191" i="11"/>
  <c r="R190" i="11"/>
  <c r="R189" i="11"/>
  <c r="R188" i="11"/>
  <c r="R187" i="11"/>
  <c r="R186" i="11"/>
  <c r="O257" i="11" a="1"/>
  <c r="O257" i="11" s="1"/>
  <c r="O256" i="11" a="1"/>
  <c r="O256" i="11" s="1"/>
  <c r="O255" i="11" a="1"/>
  <c r="O255" i="11" s="1"/>
  <c r="O254" i="11" a="1"/>
  <c r="O254" i="11" s="1"/>
  <c r="O253" i="11" a="1"/>
  <c r="O253" i="11" s="1"/>
  <c r="O252" i="11" a="1"/>
  <c r="O252" i="11" s="1"/>
  <c r="O251" i="11" a="1"/>
  <c r="O251" i="11" s="1"/>
  <c r="O250" i="11" a="1"/>
  <c r="O250" i="11" s="1"/>
  <c r="O249" i="11" a="1"/>
  <c r="O249" i="11" s="1"/>
  <c r="O248" i="11" a="1"/>
  <c r="O248" i="11" s="1"/>
  <c r="O247" i="11" a="1"/>
  <c r="O247" i="11" s="1"/>
  <c r="O246" i="11" a="1"/>
  <c r="O246" i="11" s="1"/>
  <c r="O245" i="11" a="1"/>
  <c r="O245" i="11" s="1"/>
  <c r="O244" i="11" a="1"/>
  <c r="O244" i="11" s="1"/>
  <c r="O243" i="11" a="1"/>
  <c r="O243" i="11" s="1"/>
  <c r="O242" i="11" a="1"/>
  <c r="O242" i="11" s="1"/>
  <c r="O241" i="11" a="1"/>
  <c r="O241" i="11" s="1"/>
  <c r="O240" i="11" a="1"/>
  <c r="O240" i="11" s="1"/>
  <c r="O239" i="11" a="1"/>
  <c r="O239" i="11" s="1"/>
  <c r="O238" i="11" a="1"/>
  <c r="O238" i="11" s="1"/>
  <c r="O237" i="11" a="1"/>
  <c r="O237" i="11" s="1"/>
  <c r="O236" i="11" a="1"/>
  <c r="O236" i="11" s="1"/>
  <c r="O235" i="11" a="1"/>
  <c r="O235" i="11" s="1"/>
  <c r="O234" i="11" a="1"/>
  <c r="O234" i="11" s="1"/>
  <c r="O233" i="11" a="1"/>
  <c r="O233" i="11" s="1"/>
  <c r="O232" i="11" a="1"/>
  <c r="O232" i="11" s="1"/>
  <c r="O231" i="11" a="1"/>
  <c r="O231" i="11" s="1"/>
  <c r="O230" i="11" a="1"/>
  <c r="O230" i="11" s="1"/>
  <c r="O229" i="11" a="1"/>
  <c r="O229" i="11" s="1"/>
  <c r="O228" i="11" a="1"/>
  <c r="O228" i="11" s="1"/>
  <c r="O227" i="11" a="1"/>
  <c r="O227" i="11" s="1"/>
  <c r="O226" i="11" a="1"/>
  <c r="O226" i="11" s="1"/>
  <c r="O225" i="11" a="1"/>
  <c r="O225" i="11" s="1"/>
  <c r="O224" i="11" a="1"/>
  <c r="O224" i="11" s="1"/>
  <c r="O223" i="11" a="1"/>
  <c r="O223" i="11" s="1"/>
  <c r="O222" i="11" a="1"/>
  <c r="O222" i="11" s="1"/>
  <c r="O221" i="11" a="1"/>
  <c r="O221" i="11" s="1"/>
  <c r="O220" i="11" a="1"/>
  <c r="O220" i="11" s="1"/>
  <c r="O219" i="11" a="1"/>
  <c r="O219" i="11" s="1"/>
  <c r="O218" i="11" a="1"/>
  <c r="O218" i="11" s="1"/>
  <c r="O217" i="11" a="1"/>
  <c r="O217" i="11" s="1"/>
  <c r="O216" i="11" a="1"/>
  <c r="O216" i="11" s="1"/>
  <c r="O215" i="11" a="1"/>
  <c r="O215" i="11" s="1"/>
  <c r="O214" i="11" a="1"/>
  <c r="O214" i="11" s="1"/>
  <c r="O213" i="11" a="1"/>
  <c r="O213" i="11" s="1"/>
  <c r="O212" i="11" a="1"/>
  <c r="O212" i="11" s="1"/>
  <c r="O211" i="11" a="1"/>
  <c r="O211" i="11" s="1"/>
  <c r="O210" i="11" a="1"/>
  <c r="O210" i="11" s="1"/>
  <c r="O209" i="11" a="1"/>
  <c r="O209" i="11" s="1"/>
  <c r="O208" i="11" a="1"/>
  <c r="O208" i="11" s="1"/>
  <c r="O207" i="11" a="1"/>
  <c r="O207" i="11" s="1"/>
  <c r="O206" i="11" a="1"/>
  <c r="O206" i="11" s="1"/>
  <c r="O205" i="11" a="1"/>
  <c r="O205" i="11" s="1"/>
  <c r="O204" i="11" a="1"/>
  <c r="O204" i="11" s="1"/>
  <c r="O203" i="11" a="1"/>
  <c r="O203" i="11" s="1"/>
  <c r="O202" i="11" a="1"/>
  <c r="O202" i="11" s="1"/>
  <c r="O201" i="11" a="1"/>
  <c r="O201" i="11" s="1"/>
  <c r="O200" i="11" a="1"/>
  <c r="O200" i="11" s="1"/>
  <c r="O199" i="11" a="1"/>
  <c r="O199" i="11" s="1"/>
  <c r="O198" i="11" a="1"/>
  <c r="O198" i="11" s="1"/>
  <c r="O197" i="11" a="1"/>
  <c r="O197" i="11" s="1"/>
  <c r="O196" i="11" a="1"/>
  <c r="O196" i="11" s="1"/>
  <c r="O195" i="11" a="1"/>
  <c r="O195" i="11" s="1"/>
  <c r="O194" i="11" a="1"/>
  <c r="O194" i="11" s="1"/>
  <c r="O193" i="11" a="1"/>
  <c r="O193" i="11" s="1"/>
  <c r="O192" i="11" a="1"/>
  <c r="O192" i="11" s="1"/>
  <c r="O191" i="11" a="1"/>
  <c r="O191" i="11" s="1"/>
  <c r="O190" i="11" a="1"/>
  <c r="O190" i="11" s="1"/>
  <c r="O189" i="11" a="1"/>
  <c r="O189" i="11" s="1"/>
  <c r="O188" i="11" a="1"/>
  <c r="O188" i="11" s="1"/>
  <c r="O187" i="11" a="1"/>
  <c r="O187" i="11" s="1"/>
  <c r="O186" i="11" a="1"/>
  <c r="O186" i="11" s="1"/>
  <c r="H257" i="11"/>
  <c r="W257" i="11" s="1"/>
  <c r="H256" i="11"/>
  <c r="W256" i="11" s="1"/>
  <c r="H255" i="11"/>
  <c r="W255" i="11" s="1"/>
  <c r="H254" i="11"/>
  <c r="W254" i="11" s="1"/>
  <c r="H253" i="11"/>
  <c r="W253" i="11" s="1"/>
  <c r="H252" i="11"/>
  <c r="W252" i="11" s="1"/>
  <c r="H251" i="11"/>
  <c r="W251" i="11" s="1"/>
  <c r="H250" i="11"/>
  <c r="W250" i="11" s="1"/>
  <c r="H249" i="11"/>
  <c r="W249" i="11" s="1"/>
  <c r="H248" i="11"/>
  <c r="W248" i="11" s="1"/>
  <c r="H247" i="11"/>
  <c r="W247" i="11" s="1"/>
  <c r="H246" i="11"/>
  <c r="W246" i="11" s="1"/>
  <c r="H245" i="11"/>
  <c r="W245" i="11" s="1"/>
  <c r="H244" i="11"/>
  <c r="W244" i="11" s="1"/>
  <c r="H243" i="11"/>
  <c r="W243" i="11" s="1"/>
  <c r="H242" i="11"/>
  <c r="W242" i="11" s="1"/>
  <c r="H241" i="11"/>
  <c r="W241" i="11" s="1"/>
  <c r="H240" i="11"/>
  <c r="W240" i="11" s="1"/>
  <c r="H239" i="11"/>
  <c r="W239" i="11" s="1"/>
  <c r="H238" i="11"/>
  <c r="W238" i="11" s="1"/>
  <c r="H237" i="11"/>
  <c r="W237" i="11" s="1"/>
  <c r="H236" i="11"/>
  <c r="W236" i="11" s="1"/>
  <c r="H235" i="11"/>
  <c r="W235" i="11" s="1"/>
  <c r="H234" i="11"/>
  <c r="W234" i="11" s="1"/>
  <c r="H233" i="11"/>
  <c r="W233" i="11" s="1"/>
  <c r="H232" i="11"/>
  <c r="W232" i="11" s="1"/>
  <c r="H231" i="11"/>
  <c r="W231" i="11" s="1"/>
  <c r="H230" i="11"/>
  <c r="W230" i="11" s="1"/>
  <c r="H229" i="11"/>
  <c r="W229" i="11" s="1"/>
  <c r="H228" i="11"/>
  <c r="W228" i="11" s="1"/>
  <c r="H227" i="11"/>
  <c r="W227" i="11" s="1"/>
  <c r="H226" i="11"/>
  <c r="W226" i="11" s="1"/>
  <c r="H225" i="11"/>
  <c r="W225" i="11" s="1"/>
  <c r="H224" i="11"/>
  <c r="W224" i="11" s="1"/>
  <c r="H223" i="11"/>
  <c r="W223" i="11" s="1"/>
  <c r="H222" i="11"/>
  <c r="W222" i="11" s="1"/>
  <c r="H221" i="11"/>
  <c r="W221" i="11" s="1"/>
  <c r="H220" i="11"/>
  <c r="W220" i="11" s="1"/>
  <c r="H219" i="11"/>
  <c r="W219" i="11" s="1"/>
  <c r="H218" i="11"/>
  <c r="W218" i="11" s="1"/>
  <c r="H217" i="11"/>
  <c r="W217" i="11" s="1"/>
  <c r="H216" i="11"/>
  <c r="W216" i="11" s="1"/>
  <c r="H215" i="11"/>
  <c r="W215" i="11" s="1"/>
  <c r="H214" i="11"/>
  <c r="W214" i="11" s="1"/>
  <c r="H213" i="11"/>
  <c r="W213" i="11" s="1"/>
  <c r="H212" i="11"/>
  <c r="W212" i="11" s="1"/>
  <c r="H211" i="11"/>
  <c r="W211" i="11" s="1"/>
  <c r="H210" i="11"/>
  <c r="W210" i="11" s="1"/>
  <c r="H209" i="11"/>
  <c r="W209" i="11" s="1"/>
  <c r="H208" i="11"/>
  <c r="W208" i="11" s="1"/>
  <c r="H207" i="11"/>
  <c r="W207" i="11" s="1"/>
  <c r="H206" i="11"/>
  <c r="W206" i="11" s="1"/>
  <c r="H205" i="11"/>
  <c r="W205" i="11" s="1"/>
  <c r="H204" i="11"/>
  <c r="W204" i="11" s="1"/>
  <c r="H203" i="11"/>
  <c r="W203" i="11" s="1"/>
  <c r="H202" i="11"/>
  <c r="W202" i="11" s="1"/>
  <c r="H201" i="11"/>
  <c r="W201" i="11" s="1"/>
  <c r="H200" i="11"/>
  <c r="W200" i="11" s="1"/>
  <c r="H199" i="11"/>
  <c r="W199" i="11" s="1"/>
  <c r="H198" i="11"/>
  <c r="W198" i="11" s="1"/>
  <c r="H197" i="11"/>
  <c r="W197" i="11" s="1"/>
  <c r="H196" i="11"/>
  <c r="W196" i="11" s="1"/>
  <c r="H195" i="11"/>
  <c r="W195" i="11" s="1"/>
  <c r="H194" i="11"/>
  <c r="W194" i="11" s="1"/>
  <c r="H193" i="11"/>
  <c r="W193" i="11" s="1"/>
  <c r="H192" i="11"/>
  <c r="W192" i="11" s="1"/>
  <c r="H191" i="11"/>
  <c r="W191" i="11" s="1"/>
  <c r="H190" i="11"/>
  <c r="W190" i="11" s="1"/>
  <c r="H189" i="11"/>
  <c r="W189" i="11" s="1"/>
  <c r="H188" i="11"/>
  <c r="W188" i="11" s="1"/>
  <c r="H187" i="11"/>
  <c r="W187" i="11" s="1"/>
  <c r="H186" i="11"/>
  <c r="W186" i="11" s="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H2" i="1"/>
  <c r="K2" i="1" l="1"/>
  <c r="AL2" i="1" s="1"/>
  <c r="D28" i="12" s="1" a="1"/>
  <c r="D28" i="12" s="1"/>
  <c r="BD128" i="32" a="1"/>
  <c r="BD128" i="32" s="1"/>
  <c r="BA208" i="1"/>
  <c r="BD111" i="32" a="1"/>
  <c r="BD111" i="32" s="1"/>
  <c r="BA209" i="1"/>
  <c r="BD125" i="32" a="1"/>
  <c r="BD125" i="32" s="1"/>
  <c r="BA219" i="1"/>
  <c r="BD110" i="32" a="1"/>
  <c r="BD110" i="32" s="1"/>
  <c r="BA228" i="1"/>
  <c r="BD122" i="32" a="1"/>
  <c r="BD122" i="32" s="1"/>
  <c r="BA216" i="1"/>
  <c r="BD118" i="32" a="1"/>
  <c r="BD118" i="32" s="1"/>
  <c r="BA229" i="1"/>
  <c r="BD123" i="32" a="1"/>
  <c r="BD123" i="32" s="1"/>
  <c r="BA217" i="1"/>
  <c r="BD117" i="32" a="1"/>
  <c r="BD117" i="32" s="1"/>
  <c r="BA215" i="1"/>
  <c r="BD108" i="32" a="1"/>
  <c r="BD108" i="32" s="1"/>
  <c r="BA226" i="1"/>
  <c r="BD116" i="32" a="1"/>
  <c r="BD116" i="32" s="1"/>
  <c r="BA214" i="1"/>
  <c r="BD129" i="32" a="1"/>
  <c r="BD129" i="32" s="1"/>
  <c r="BA225" i="1"/>
  <c r="BD115" i="32" a="1"/>
  <c r="BD115" i="32" s="1"/>
  <c r="BA213" i="1"/>
  <c r="BD109" i="32" a="1"/>
  <c r="BD109" i="32" s="1"/>
  <c r="BA227" i="1"/>
  <c r="BD121" i="32" a="1"/>
  <c r="BD121" i="32" s="1"/>
  <c r="BA224" i="1"/>
  <c r="BD114" i="32" a="1"/>
  <c r="BD114" i="32" s="1"/>
  <c r="BA212" i="1"/>
  <c r="BD126" i="32" a="1"/>
  <c r="BD126" i="32" s="1"/>
  <c r="BA220" i="1"/>
  <c r="BD124" i="32" a="1"/>
  <c r="BD124" i="32" s="1"/>
  <c r="BA218" i="1"/>
  <c r="BD112" i="32" a="1"/>
  <c r="BD112" i="32" s="1"/>
  <c r="BA210" i="1"/>
  <c r="BD120" i="32" a="1"/>
  <c r="BD120" i="32" s="1"/>
  <c r="BA223" i="1"/>
  <c r="BD113" i="32" a="1"/>
  <c r="BD113" i="32" s="1"/>
  <c r="BA211" i="1"/>
  <c r="BD119" i="32" a="1"/>
  <c r="BD119" i="32" s="1"/>
  <c r="BA222" i="1"/>
  <c r="BD127" i="32" a="1"/>
  <c r="BD127" i="32" s="1"/>
  <c r="BA221" i="1"/>
  <c r="R8" i="11"/>
  <c r="C33" i="12" s="1"/>
  <c r="O8" i="11" a="1"/>
  <c r="O8" i="11" s="1"/>
  <c r="M8" i="11"/>
  <c r="H8" i="11"/>
  <c r="W8" i="11" s="1"/>
  <c r="E8" i="11"/>
  <c r="R6" i="11"/>
  <c r="O6" i="11" a="1"/>
  <c r="O6" i="11" s="1"/>
  <c r="M6" i="11"/>
  <c r="H6" i="11"/>
  <c r="W6" i="11" s="1"/>
  <c r="E6" i="11"/>
  <c r="R7" i="11"/>
  <c r="O7" i="11" a="1"/>
  <c r="O7" i="11" s="1"/>
  <c r="M7" i="11"/>
  <c r="H7" i="11"/>
  <c r="W7" i="11" s="1"/>
  <c r="E7" i="11"/>
  <c r="R185" i="11"/>
  <c r="O185" i="11" a="1"/>
  <c r="O185" i="11" s="1"/>
  <c r="H185" i="11"/>
  <c r="W185" i="11" s="1"/>
  <c r="E185" i="11"/>
  <c r="R184" i="11"/>
  <c r="O184" i="11" a="1"/>
  <c r="O184" i="11" s="1"/>
  <c r="H184" i="11"/>
  <c r="W184" i="11" s="1"/>
  <c r="E184" i="11"/>
  <c r="R182" i="11"/>
  <c r="R183" i="11"/>
  <c r="O183" i="11" a="1"/>
  <c r="O183" i="11" s="1"/>
  <c r="O182" i="11" a="1"/>
  <c r="O182" i="11" s="1"/>
  <c r="H182" i="11"/>
  <c r="W182" i="11" s="1"/>
  <c r="H183" i="11"/>
  <c r="W183" i="11" s="1"/>
  <c r="E182" i="11"/>
  <c r="E183" i="11"/>
  <c r="R181" i="11"/>
  <c r="O181" i="11" a="1"/>
  <c r="O181" i="11" s="1"/>
  <c r="H181" i="11"/>
  <c r="W181" i="11" s="1"/>
  <c r="E181" i="11"/>
  <c r="R179" i="11"/>
  <c r="R180" i="11"/>
  <c r="O180" i="11" a="1"/>
  <c r="O180" i="11" s="1"/>
  <c r="O179" i="11" a="1"/>
  <c r="O179" i="11" s="1"/>
  <c r="H179" i="11"/>
  <c r="W179" i="11" s="1"/>
  <c r="H180" i="11"/>
  <c r="W180" i="11" s="1"/>
  <c r="E179" i="11"/>
  <c r="E180" i="11"/>
  <c r="R178" i="11"/>
  <c r="O178" i="11" a="1"/>
  <c r="O178" i="11" s="1"/>
  <c r="H178" i="11"/>
  <c r="W178" i="11" s="1"/>
  <c r="E178" i="1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1" i="1"/>
  <c r="I22" i="1"/>
  <c r="I23" i="1"/>
  <c r="I24" i="1"/>
  <c r="I25" i="1"/>
  <c r="I26" i="1"/>
  <c r="I27" i="1"/>
  <c r="I28" i="1"/>
  <c r="I29" i="1"/>
  <c r="I30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81" i="1"/>
  <c r="I82" i="1"/>
  <c r="I83" i="1"/>
  <c r="I84" i="1"/>
  <c r="I85" i="1"/>
  <c r="I86" i="1"/>
  <c r="I87" i="1"/>
  <c r="I88" i="1"/>
  <c r="I89" i="1"/>
  <c r="I90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21" i="1"/>
  <c r="I122" i="1"/>
  <c r="I123" i="1"/>
  <c r="I124" i="1"/>
  <c r="I125" i="1"/>
  <c r="I126" i="1"/>
  <c r="I127" i="1"/>
  <c r="I128" i="1"/>
  <c r="I129" i="1"/>
  <c r="I130" i="1"/>
  <c r="I140" i="1"/>
  <c r="I141" i="1"/>
  <c r="I142" i="1"/>
  <c r="I143" i="1"/>
  <c r="I144" i="1"/>
  <c r="I145" i="1"/>
  <c r="I146" i="1"/>
  <c r="I147" i="1"/>
  <c r="I148" i="1"/>
  <c r="I149" i="1"/>
  <c r="I171" i="1"/>
  <c r="I172" i="1"/>
  <c r="I173" i="1"/>
  <c r="I174" i="1"/>
  <c r="I175" i="1"/>
  <c r="I176" i="1"/>
  <c r="I177" i="1"/>
  <c r="I178" i="1"/>
  <c r="I179" i="1"/>
  <c r="I182" i="1"/>
  <c r="I183" i="1"/>
  <c r="I184" i="1"/>
  <c r="I185" i="1"/>
  <c r="I186" i="1"/>
  <c r="I187" i="1"/>
  <c r="I188" i="1"/>
  <c r="I189" i="1"/>
  <c r="I190" i="1"/>
  <c r="I191" i="1"/>
  <c r="I193" i="1"/>
  <c r="I194" i="1"/>
  <c r="I195" i="1"/>
  <c r="I196" i="1"/>
  <c r="I197" i="1"/>
  <c r="I198" i="1"/>
  <c r="I199" i="1"/>
  <c r="I200" i="1"/>
  <c r="I201" i="1"/>
  <c r="I202" i="1"/>
  <c r="I203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W252" i="1"/>
  <c r="T2" i="1" l="1"/>
  <c r="M2" i="1"/>
  <c r="G28" i="12"/>
  <c r="H28" i="12"/>
  <c r="I28" i="12"/>
  <c r="D32" i="12" a="1"/>
  <c r="D32" i="12" s="1"/>
  <c r="D31" i="12" a="1"/>
  <c r="D31" i="12" s="1"/>
  <c r="D30" i="12" a="1"/>
  <c r="D30" i="12" s="1"/>
  <c r="D29" i="12" a="1"/>
  <c r="D29" i="12" s="1"/>
  <c r="E33" i="12"/>
  <c r="E19" i="12"/>
  <c r="E17" i="12"/>
  <c r="E18" i="12"/>
  <c r="C19" i="12"/>
  <c r="C17" i="12"/>
  <c r="C18" i="12"/>
  <c r="E16" i="12"/>
  <c r="C16" i="12"/>
  <c r="BC182" i="1"/>
  <c r="AP182" i="1" s="1"/>
  <c r="Q182" i="1"/>
  <c r="W182" i="1"/>
  <c r="BC183" i="1"/>
  <c r="AP183" i="1" s="1"/>
  <c r="Q183" i="1"/>
  <c r="W183" i="1"/>
  <c r="BC184" i="1"/>
  <c r="AP184" i="1" s="1"/>
  <c r="Q184" i="1"/>
  <c r="W184" i="1"/>
  <c r="BC185" i="1"/>
  <c r="AP185" i="1" s="1"/>
  <c r="Q185" i="1"/>
  <c r="W185" i="1"/>
  <c r="BC186" i="1"/>
  <c r="AP186" i="1" s="1"/>
  <c r="Q186" i="1"/>
  <c r="W186" i="1"/>
  <c r="BC187" i="1"/>
  <c r="AP187" i="1" s="1"/>
  <c r="Q187" i="1"/>
  <c r="W187" i="1"/>
  <c r="BC188" i="1"/>
  <c r="AP188" i="1" s="1"/>
  <c r="Q188" i="1"/>
  <c r="W188" i="1"/>
  <c r="BC189" i="1"/>
  <c r="AP189" i="1" s="1"/>
  <c r="Q189" i="1"/>
  <c r="W189" i="1"/>
  <c r="BC190" i="1"/>
  <c r="AP190" i="1" s="1"/>
  <c r="Q190" i="1"/>
  <c r="W190" i="1"/>
  <c r="BC191" i="1"/>
  <c r="AP191" i="1" s="1"/>
  <c r="Q191" i="1"/>
  <c r="W191" i="1"/>
  <c r="BC193" i="1"/>
  <c r="AP193" i="1" s="1"/>
  <c r="Q193" i="1"/>
  <c r="W193" i="1"/>
  <c r="BC194" i="1"/>
  <c r="AP194" i="1" s="1"/>
  <c r="Q194" i="1"/>
  <c r="W194" i="1"/>
  <c r="BC195" i="1"/>
  <c r="AP195" i="1" s="1"/>
  <c r="Q195" i="1"/>
  <c r="W195" i="1"/>
  <c r="BC196" i="1"/>
  <c r="AP196" i="1" s="1"/>
  <c r="Q196" i="1"/>
  <c r="W196" i="1"/>
  <c r="BC197" i="1"/>
  <c r="AP197" i="1" s="1"/>
  <c r="Q197" i="1"/>
  <c r="W197" i="1"/>
  <c r="BC198" i="1"/>
  <c r="AP198" i="1" s="1"/>
  <c r="Q198" i="1"/>
  <c r="W198" i="1"/>
  <c r="BC199" i="1"/>
  <c r="AP199" i="1" s="1"/>
  <c r="Q199" i="1"/>
  <c r="W199" i="1"/>
  <c r="BC94" i="1"/>
  <c r="AP94" i="1" s="1"/>
  <c r="Q94" i="1"/>
  <c r="W94" i="1"/>
  <c r="BC95" i="1"/>
  <c r="AP95" i="1" s="1"/>
  <c r="Q95" i="1"/>
  <c r="W95" i="1"/>
  <c r="BC96" i="1"/>
  <c r="AP96" i="1" s="1"/>
  <c r="Q96" i="1"/>
  <c r="W96" i="1"/>
  <c r="BC97" i="1"/>
  <c r="AP97" i="1" s="1"/>
  <c r="Q97" i="1"/>
  <c r="W97" i="1"/>
  <c r="BC98" i="1"/>
  <c r="AP98" i="1" s="1"/>
  <c r="Q98" i="1"/>
  <c r="W98" i="1"/>
  <c r="BC99" i="1"/>
  <c r="AP99" i="1" s="1"/>
  <c r="Q99" i="1"/>
  <c r="W99" i="1"/>
  <c r="I29" i="12" l="1"/>
  <c r="G29" i="12"/>
  <c r="H29" i="12"/>
  <c r="G30" i="12"/>
  <c r="H30" i="12"/>
  <c r="I30" i="12"/>
  <c r="G31" i="12"/>
  <c r="H31" i="12"/>
  <c r="I31" i="12"/>
  <c r="G32" i="12"/>
  <c r="I32" i="12"/>
  <c r="H32" i="12"/>
  <c r="BD143" i="32" a="1"/>
  <c r="BD143" i="32" s="1"/>
  <c r="BA95" i="1"/>
  <c r="BD281" i="32" a="1"/>
  <c r="BD281" i="32" s="1"/>
  <c r="BA191" i="1"/>
  <c r="BD277" i="32" a="1"/>
  <c r="BD277" i="32" s="1"/>
  <c r="BA187" i="1"/>
  <c r="BD273" i="32" a="1"/>
  <c r="BD273" i="32" s="1"/>
  <c r="BA183" i="1"/>
  <c r="BD278" i="32" a="1"/>
  <c r="BD278" i="32" s="1"/>
  <c r="BA188" i="1"/>
  <c r="BD274" i="32" a="1"/>
  <c r="BD274" i="32" s="1"/>
  <c r="BA184" i="1"/>
  <c r="BD142" i="32" a="1"/>
  <c r="BD142" i="32" s="1"/>
  <c r="BA94" i="1"/>
  <c r="BD11" i="32" a="1"/>
  <c r="BD11" i="32" s="1"/>
  <c r="BA195" i="1"/>
  <c r="BD280" i="32" a="1"/>
  <c r="BD280" i="32" s="1"/>
  <c r="BA190" i="1"/>
  <c r="BD276" i="32" a="1"/>
  <c r="BD276" i="32" s="1"/>
  <c r="BA186" i="1"/>
  <c r="BD272" i="32" a="1"/>
  <c r="BD272" i="32" s="1"/>
  <c r="BA182" i="1"/>
  <c r="BD12" i="32" a="1"/>
  <c r="BD12" i="32" s="1"/>
  <c r="BA196" i="1"/>
  <c r="BD145" i="32" a="1"/>
  <c r="BD145" i="32" s="1"/>
  <c r="BA97" i="1"/>
  <c r="BD147" i="32" a="1"/>
  <c r="BD147" i="32" s="1"/>
  <c r="BA99" i="1"/>
  <c r="BD9" i="32" a="1"/>
  <c r="BD9" i="32" s="1"/>
  <c r="BA193" i="1"/>
  <c r="BD15" i="32" a="1"/>
  <c r="BD15" i="32" s="1"/>
  <c r="BA199" i="1"/>
  <c r="BD144" i="32" a="1"/>
  <c r="BD144" i="32" s="1"/>
  <c r="BA96" i="1"/>
  <c r="BD14" i="32" a="1"/>
  <c r="BD14" i="32" s="1"/>
  <c r="BA198" i="1"/>
  <c r="BD10" i="32" a="1"/>
  <c r="BD10" i="32" s="1"/>
  <c r="BA194" i="1"/>
  <c r="BD279" i="32" a="1"/>
  <c r="BD279" i="32" s="1"/>
  <c r="BA189" i="1"/>
  <c r="BD275" i="32" a="1"/>
  <c r="BD275" i="32" s="1"/>
  <c r="BA185" i="1"/>
  <c r="BD13" i="32" a="1"/>
  <c r="BD13" i="32" s="1"/>
  <c r="BA197" i="1"/>
  <c r="BD146" i="32" a="1"/>
  <c r="BD146" i="32" s="1"/>
  <c r="BA98" i="1"/>
  <c r="E12" i="11"/>
  <c r="E13" i="11"/>
  <c r="E14" i="11"/>
  <c r="E15" i="11"/>
  <c r="E16" i="11"/>
  <c r="E17" i="11"/>
  <c r="E18" i="11"/>
  <c r="E19" i="11"/>
  <c r="E20" i="11"/>
  <c r="E21" i="11"/>
  <c r="W222" i="1"/>
  <c r="W221" i="1"/>
  <c r="W220" i="1"/>
  <c r="W219" i="1"/>
  <c r="W218" i="1"/>
  <c r="W217" i="1"/>
  <c r="W216" i="1"/>
  <c r="W209" i="1"/>
  <c r="W210" i="1"/>
  <c r="W211" i="1"/>
  <c r="W212" i="1"/>
  <c r="W213" i="1"/>
  <c r="W214" i="1"/>
  <c r="W215" i="1"/>
  <c r="W223" i="1"/>
  <c r="W224" i="1"/>
  <c r="W225" i="1"/>
  <c r="W226" i="1"/>
  <c r="W227" i="1"/>
  <c r="W228" i="1"/>
  <c r="W229" i="1"/>
  <c r="BC209" i="1"/>
  <c r="BC210" i="1"/>
  <c r="BC211" i="1"/>
  <c r="BC212" i="1"/>
  <c r="BC213" i="1"/>
  <c r="BC214" i="1"/>
  <c r="BC215" i="1"/>
  <c r="BC216" i="1"/>
  <c r="BC217" i="1"/>
  <c r="BC218" i="1"/>
  <c r="BC219" i="1"/>
  <c r="BC220" i="1"/>
  <c r="BC221" i="1"/>
  <c r="BC222" i="1"/>
  <c r="BC223" i="1"/>
  <c r="BC224" i="1"/>
  <c r="BC225" i="1"/>
  <c r="BC226" i="1"/>
  <c r="BC227" i="1"/>
  <c r="BC228" i="1"/>
  <c r="BC229" i="1"/>
  <c r="W208" i="1"/>
  <c r="BC208" i="1"/>
  <c r="R177" i="11" l="1"/>
  <c r="R176" i="11"/>
  <c r="R175" i="11"/>
  <c r="R174" i="11"/>
  <c r="R173" i="11"/>
  <c r="R172" i="11"/>
  <c r="R171" i="11"/>
  <c r="R170" i="11"/>
  <c r="R169" i="11"/>
  <c r="R168" i="11"/>
  <c r="R167" i="11"/>
  <c r="R166" i="11"/>
  <c r="R165" i="11"/>
  <c r="R164" i="11"/>
  <c r="R163" i="11"/>
  <c r="R162" i="11"/>
  <c r="R161" i="11"/>
  <c r="R160" i="11"/>
  <c r="R159" i="11"/>
  <c r="R158" i="11"/>
  <c r="R157" i="11"/>
  <c r="R156" i="11"/>
  <c r="R155" i="11"/>
  <c r="R154" i="11"/>
  <c r="R153" i="11"/>
  <c r="R152" i="11"/>
  <c r="R151" i="11"/>
  <c r="R150" i="11"/>
  <c r="R149" i="11"/>
  <c r="R148" i="11"/>
  <c r="R147" i="11"/>
  <c r="R146" i="11"/>
  <c r="R145" i="11"/>
  <c r="R144" i="11"/>
  <c r="R143" i="11"/>
  <c r="R142" i="11"/>
  <c r="R141" i="11"/>
  <c r="R140" i="11"/>
  <c r="R139" i="11"/>
  <c r="R138" i="11"/>
  <c r="R137" i="11"/>
  <c r="R136" i="11"/>
  <c r="R135" i="11"/>
  <c r="R134" i="11"/>
  <c r="R133" i="11"/>
  <c r="R132" i="11"/>
  <c r="R131" i="11"/>
  <c r="R130" i="11"/>
  <c r="R129" i="11"/>
  <c r="R128" i="11"/>
  <c r="R127" i="11"/>
  <c r="R126" i="11"/>
  <c r="R125" i="11"/>
  <c r="R124" i="11"/>
  <c r="R123" i="11"/>
  <c r="R122" i="11"/>
  <c r="R121" i="11"/>
  <c r="R120" i="11"/>
  <c r="R119" i="11"/>
  <c r="R118" i="11"/>
  <c r="R117" i="11"/>
  <c r="R116" i="11"/>
  <c r="R115" i="11"/>
  <c r="R114" i="11"/>
  <c r="R113" i="11"/>
  <c r="R112" i="11"/>
  <c r="R111" i="11"/>
  <c r="R110" i="11"/>
  <c r="R109" i="11"/>
  <c r="R108" i="11"/>
  <c r="R107" i="11"/>
  <c r="R106" i="11"/>
  <c r="R105" i="11"/>
  <c r="R104" i="11"/>
  <c r="R103" i="11"/>
  <c r="R102" i="11"/>
  <c r="R101" i="11"/>
  <c r="R100" i="11"/>
  <c r="R99" i="11"/>
  <c r="R98" i="11"/>
  <c r="R97" i="11"/>
  <c r="R96" i="11"/>
  <c r="R95" i="11"/>
  <c r="R94" i="11"/>
  <c r="R93" i="11"/>
  <c r="R92" i="11"/>
  <c r="R91" i="11"/>
  <c r="R90" i="11"/>
  <c r="R89" i="11"/>
  <c r="R88" i="11"/>
  <c r="R87" i="11"/>
  <c r="R86" i="11"/>
  <c r="R85" i="11"/>
  <c r="R84" i="11"/>
  <c r="R83" i="11"/>
  <c r="R82" i="11"/>
  <c r="R81" i="11"/>
  <c r="R80" i="11"/>
  <c r="R79" i="11"/>
  <c r="R78" i="11"/>
  <c r="R77" i="11"/>
  <c r="R76" i="11"/>
  <c r="R75" i="11"/>
  <c r="R74" i="11"/>
  <c r="R73" i="11"/>
  <c r="R72" i="11"/>
  <c r="R71" i="11"/>
  <c r="R70" i="11"/>
  <c r="R69" i="11"/>
  <c r="R68" i="11"/>
  <c r="R67" i="11"/>
  <c r="R66" i="11"/>
  <c r="R65" i="11"/>
  <c r="R64" i="11"/>
  <c r="R63" i="11"/>
  <c r="R62" i="11"/>
  <c r="R61" i="11"/>
  <c r="R60" i="11"/>
  <c r="R59" i="11"/>
  <c r="R58" i="11"/>
  <c r="R57" i="11"/>
  <c r="R56" i="11"/>
  <c r="R55" i="11"/>
  <c r="R54" i="11"/>
  <c r="R53" i="11"/>
  <c r="R52" i="11"/>
  <c r="R51" i="11"/>
  <c r="R50" i="11"/>
  <c r="R49" i="11"/>
  <c r="R48" i="11"/>
  <c r="R47" i="11"/>
  <c r="R46" i="11"/>
  <c r="R45" i="11"/>
  <c r="R44" i="11"/>
  <c r="R43" i="11"/>
  <c r="R42" i="11"/>
  <c r="R41" i="11"/>
  <c r="R40" i="11"/>
  <c r="R39" i="11"/>
  <c r="R38" i="11"/>
  <c r="R37" i="11"/>
  <c r="R36" i="11"/>
  <c r="R35" i="11"/>
  <c r="R34" i="11"/>
  <c r="R33" i="11"/>
  <c r="R32" i="11"/>
  <c r="R31" i="11"/>
  <c r="R30" i="11"/>
  <c r="R29" i="11"/>
  <c r="R28" i="11"/>
  <c r="R27" i="11"/>
  <c r="R26" i="11"/>
  <c r="R25" i="11"/>
  <c r="R24" i="11"/>
  <c r="R23" i="11"/>
  <c r="R22" i="11"/>
  <c r="R21" i="11"/>
  <c r="R20" i="11"/>
  <c r="R19" i="11"/>
  <c r="R18" i="11"/>
  <c r="R17" i="11"/>
  <c r="R16" i="11"/>
  <c r="R15" i="11"/>
  <c r="R14" i="11"/>
  <c r="R13" i="11"/>
  <c r="R12" i="11"/>
  <c r="O177" i="11" a="1"/>
  <c r="O177" i="11" s="1"/>
  <c r="O176" i="11" a="1"/>
  <c r="O176" i="11" s="1"/>
  <c r="O175" i="11" a="1"/>
  <c r="O175" i="11" s="1"/>
  <c r="O174" i="11" a="1"/>
  <c r="O174" i="11" s="1"/>
  <c r="O173" i="11" a="1"/>
  <c r="O173" i="11" s="1"/>
  <c r="O172" i="11" a="1"/>
  <c r="O172" i="11" s="1"/>
  <c r="O171" i="11" a="1"/>
  <c r="O171" i="11" s="1"/>
  <c r="O170" i="11" a="1"/>
  <c r="O170" i="11" s="1"/>
  <c r="O169" i="11" a="1"/>
  <c r="O169" i="11" s="1"/>
  <c r="O168" i="11" a="1"/>
  <c r="O168" i="11" s="1"/>
  <c r="O167" i="11" a="1"/>
  <c r="O167" i="11" s="1"/>
  <c r="O166" i="11" a="1"/>
  <c r="O166" i="11" s="1"/>
  <c r="O165" i="11" a="1"/>
  <c r="O165" i="11" s="1"/>
  <c r="O164" i="11" a="1"/>
  <c r="O164" i="11" s="1"/>
  <c r="O163" i="11" a="1"/>
  <c r="O163" i="11" s="1"/>
  <c r="O162" i="11" a="1"/>
  <c r="O162" i="11" s="1"/>
  <c r="O161" i="11" a="1"/>
  <c r="O161" i="11" s="1"/>
  <c r="O160" i="11" a="1"/>
  <c r="O160" i="11" s="1"/>
  <c r="O159" i="11" a="1"/>
  <c r="O159" i="11" s="1"/>
  <c r="O158" i="11" a="1"/>
  <c r="O158" i="11" s="1"/>
  <c r="O157" i="11" a="1"/>
  <c r="O157" i="11" s="1"/>
  <c r="O156" i="11" a="1"/>
  <c r="O156" i="11" s="1"/>
  <c r="O155" i="11" a="1"/>
  <c r="O155" i="11" s="1"/>
  <c r="O154" i="11" a="1"/>
  <c r="O154" i="11" s="1"/>
  <c r="O153" i="11" a="1"/>
  <c r="O153" i="11" s="1"/>
  <c r="O152" i="11" a="1"/>
  <c r="O152" i="11" s="1"/>
  <c r="O151" i="11" a="1"/>
  <c r="O151" i="11" s="1"/>
  <c r="O150" i="11" a="1"/>
  <c r="O150" i="11" s="1"/>
  <c r="O149" i="11" a="1"/>
  <c r="O149" i="11" s="1"/>
  <c r="O148" i="11" a="1"/>
  <c r="O148" i="11" s="1"/>
  <c r="O147" i="11" a="1"/>
  <c r="O147" i="11" s="1"/>
  <c r="O146" i="11" a="1"/>
  <c r="O146" i="11" s="1"/>
  <c r="O145" i="11" a="1"/>
  <c r="O145" i="11" s="1"/>
  <c r="O144" i="11" a="1"/>
  <c r="O144" i="11" s="1"/>
  <c r="O143" i="11" a="1"/>
  <c r="O143" i="11" s="1"/>
  <c r="O142" i="11" a="1"/>
  <c r="O142" i="11" s="1"/>
  <c r="O141" i="11" a="1"/>
  <c r="O141" i="11" s="1"/>
  <c r="O140" i="11" a="1"/>
  <c r="O140" i="11" s="1"/>
  <c r="O139" i="11" a="1"/>
  <c r="O139" i="11" s="1"/>
  <c r="O138" i="11" a="1"/>
  <c r="O138" i="11" s="1"/>
  <c r="O137" i="11" a="1"/>
  <c r="O137" i="11" s="1"/>
  <c r="O136" i="11" a="1"/>
  <c r="O136" i="11" s="1"/>
  <c r="O135" i="11" a="1"/>
  <c r="O135" i="11" s="1"/>
  <c r="O134" i="11" a="1"/>
  <c r="O134" i="11" s="1"/>
  <c r="O133" i="11" a="1"/>
  <c r="O133" i="11" s="1"/>
  <c r="O132" i="11" a="1"/>
  <c r="O132" i="11" s="1"/>
  <c r="O131" i="11" a="1"/>
  <c r="O131" i="11" s="1"/>
  <c r="O130" i="11" a="1"/>
  <c r="O130" i="11" s="1"/>
  <c r="O129" i="11" a="1"/>
  <c r="O129" i="11" s="1"/>
  <c r="O128" i="11" a="1"/>
  <c r="O128" i="11" s="1"/>
  <c r="O127" i="11" a="1"/>
  <c r="O127" i="11" s="1"/>
  <c r="O126" i="11" a="1"/>
  <c r="O126" i="11" s="1"/>
  <c r="O125" i="11" a="1"/>
  <c r="O125" i="11" s="1"/>
  <c r="O124" i="11" a="1"/>
  <c r="O124" i="11" s="1"/>
  <c r="O123" i="11" a="1"/>
  <c r="O123" i="11" s="1"/>
  <c r="O122" i="11" a="1"/>
  <c r="O122" i="11" s="1"/>
  <c r="O121" i="11" a="1"/>
  <c r="O121" i="11" s="1"/>
  <c r="O120" i="11" a="1"/>
  <c r="O120" i="11" s="1"/>
  <c r="O119" i="11" a="1"/>
  <c r="O119" i="11" s="1"/>
  <c r="O118" i="11" a="1"/>
  <c r="O118" i="11" s="1"/>
  <c r="O117" i="11" a="1"/>
  <c r="O117" i="11" s="1"/>
  <c r="O116" i="11" a="1"/>
  <c r="O116" i="11" s="1"/>
  <c r="O115" i="11" a="1"/>
  <c r="O115" i="11" s="1"/>
  <c r="O114" i="11" a="1"/>
  <c r="O114" i="11" s="1"/>
  <c r="O113" i="11" a="1"/>
  <c r="O113" i="11" s="1"/>
  <c r="O112" i="11" a="1"/>
  <c r="O112" i="11" s="1"/>
  <c r="O111" i="11" a="1"/>
  <c r="O111" i="11" s="1"/>
  <c r="O110" i="11" a="1"/>
  <c r="O110" i="11" s="1"/>
  <c r="O109" i="11" a="1"/>
  <c r="O109" i="11" s="1"/>
  <c r="O108" i="11" a="1"/>
  <c r="O108" i="11" s="1"/>
  <c r="O107" i="11" a="1"/>
  <c r="O107" i="11" s="1"/>
  <c r="O106" i="11" a="1"/>
  <c r="O106" i="11" s="1"/>
  <c r="O105" i="11" a="1"/>
  <c r="O105" i="11" s="1"/>
  <c r="O104" i="11" a="1"/>
  <c r="O104" i="11" s="1"/>
  <c r="O103" i="11" a="1"/>
  <c r="O103" i="11" s="1"/>
  <c r="O102" i="11" a="1"/>
  <c r="O102" i="11" s="1"/>
  <c r="O101" i="11" a="1"/>
  <c r="O101" i="11" s="1"/>
  <c r="O100" i="11" a="1"/>
  <c r="O100" i="11" s="1"/>
  <c r="O99" i="11" a="1"/>
  <c r="O99" i="11" s="1"/>
  <c r="O98" i="11" a="1"/>
  <c r="O98" i="11" s="1"/>
  <c r="O97" i="11" a="1"/>
  <c r="O97" i="11" s="1"/>
  <c r="O96" i="11" a="1"/>
  <c r="O96" i="11" s="1"/>
  <c r="O95" i="11" a="1"/>
  <c r="O95" i="11" s="1"/>
  <c r="O94" i="11" a="1"/>
  <c r="O94" i="11" s="1"/>
  <c r="O93" i="11" a="1"/>
  <c r="O93" i="11" s="1"/>
  <c r="O92" i="11" a="1"/>
  <c r="O92" i="11" s="1"/>
  <c r="O91" i="11" a="1"/>
  <c r="O91" i="11" s="1"/>
  <c r="O90" i="11" a="1"/>
  <c r="O90" i="11" s="1"/>
  <c r="O89" i="11" a="1"/>
  <c r="O89" i="11" s="1"/>
  <c r="O88" i="11" a="1"/>
  <c r="O88" i="11" s="1"/>
  <c r="O87" i="11" a="1"/>
  <c r="O87" i="11" s="1"/>
  <c r="O86" i="11" a="1"/>
  <c r="O86" i="11" s="1"/>
  <c r="O85" i="11" a="1"/>
  <c r="O85" i="11" s="1"/>
  <c r="O84" i="11" a="1"/>
  <c r="O84" i="11" s="1"/>
  <c r="O83" i="11" a="1"/>
  <c r="O83" i="11" s="1"/>
  <c r="O82" i="11" a="1"/>
  <c r="O82" i="11" s="1"/>
  <c r="O81" i="11" a="1"/>
  <c r="O81" i="11" s="1"/>
  <c r="O80" i="11" a="1"/>
  <c r="O80" i="11" s="1"/>
  <c r="O79" i="11" a="1"/>
  <c r="O79" i="11" s="1"/>
  <c r="O78" i="11" a="1"/>
  <c r="O78" i="11" s="1"/>
  <c r="O77" i="11" a="1"/>
  <c r="O77" i="11" s="1"/>
  <c r="O76" i="11" a="1"/>
  <c r="O76" i="11" s="1"/>
  <c r="O75" i="11" a="1"/>
  <c r="O75" i="11" s="1"/>
  <c r="O74" i="11" a="1"/>
  <c r="O74" i="11" s="1"/>
  <c r="O73" i="11" a="1"/>
  <c r="O73" i="11" s="1"/>
  <c r="O72" i="11" a="1"/>
  <c r="O72" i="11" s="1"/>
  <c r="O71" i="11" a="1"/>
  <c r="O71" i="11" s="1"/>
  <c r="O70" i="11" a="1"/>
  <c r="O70" i="11" s="1"/>
  <c r="O69" i="11" a="1"/>
  <c r="O69" i="11" s="1"/>
  <c r="O68" i="11" a="1"/>
  <c r="O68" i="11" s="1"/>
  <c r="O67" i="11" a="1"/>
  <c r="O67" i="11" s="1"/>
  <c r="O66" i="11" a="1"/>
  <c r="O66" i="11" s="1"/>
  <c r="O65" i="11" a="1"/>
  <c r="O65" i="11" s="1"/>
  <c r="O64" i="11" a="1"/>
  <c r="O64" i="11" s="1"/>
  <c r="O63" i="11" a="1"/>
  <c r="O63" i="11" s="1"/>
  <c r="O62" i="11" a="1"/>
  <c r="O62" i="11" s="1"/>
  <c r="O61" i="11" a="1"/>
  <c r="O61" i="11" s="1"/>
  <c r="O60" i="11" a="1"/>
  <c r="O60" i="11" s="1"/>
  <c r="O59" i="11" a="1"/>
  <c r="O59" i="11" s="1"/>
  <c r="O58" i="11" a="1"/>
  <c r="O58" i="11" s="1"/>
  <c r="O57" i="11" a="1"/>
  <c r="O57" i="11" s="1"/>
  <c r="O56" i="11" a="1"/>
  <c r="O56" i="11" s="1"/>
  <c r="O55" i="11" a="1"/>
  <c r="O55" i="11" s="1"/>
  <c r="O54" i="11" a="1"/>
  <c r="O54" i="11" s="1"/>
  <c r="O53" i="11" a="1"/>
  <c r="O53" i="11" s="1"/>
  <c r="O52" i="11" a="1"/>
  <c r="O52" i="11" s="1"/>
  <c r="O51" i="11" a="1"/>
  <c r="O51" i="11" s="1"/>
  <c r="O50" i="11" a="1"/>
  <c r="O50" i="11" s="1"/>
  <c r="O49" i="11" a="1"/>
  <c r="O49" i="11" s="1"/>
  <c r="O48" i="11" a="1"/>
  <c r="O48" i="11" s="1"/>
  <c r="O47" i="11" a="1"/>
  <c r="O47" i="11" s="1"/>
  <c r="O46" i="11" a="1"/>
  <c r="O46" i="11" s="1"/>
  <c r="O45" i="11" a="1"/>
  <c r="O45" i="11" s="1"/>
  <c r="O44" i="11" a="1"/>
  <c r="O44" i="11" s="1"/>
  <c r="O43" i="11" a="1"/>
  <c r="O43" i="11" s="1"/>
  <c r="O42" i="11" a="1"/>
  <c r="O42" i="11" s="1"/>
  <c r="O41" i="11" a="1"/>
  <c r="O41" i="11" s="1"/>
  <c r="O40" i="11" a="1"/>
  <c r="O40" i="11" s="1"/>
  <c r="O39" i="11" a="1"/>
  <c r="O39" i="11" s="1"/>
  <c r="O38" i="11" a="1"/>
  <c r="O38" i="11" s="1"/>
  <c r="O37" i="11" a="1"/>
  <c r="O37" i="11" s="1"/>
  <c r="O36" i="11" a="1"/>
  <c r="O36" i="11" s="1"/>
  <c r="O35" i="11" a="1"/>
  <c r="O35" i="11" s="1"/>
  <c r="O34" i="11" a="1"/>
  <c r="O34" i="11" s="1"/>
  <c r="O33" i="11" a="1"/>
  <c r="O33" i="11" s="1"/>
  <c r="O32" i="11" a="1"/>
  <c r="O32" i="11" s="1"/>
  <c r="O31" i="11" a="1"/>
  <c r="O31" i="11" s="1"/>
  <c r="O30" i="11" a="1"/>
  <c r="O30" i="11" s="1"/>
  <c r="O29" i="11" a="1"/>
  <c r="O29" i="11" s="1"/>
  <c r="O28" i="11" a="1"/>
  <c r="O28" i="11" s="1"/>
  <c r="O27" i="11" a="1"/>
  <c r="O27" i="11" s="1"/>
  <c r="O26" i="11" a="1"/>
  <c r="O26" i="11" s="1"/>
  <c r="O25" i="11" a="1"/>
  <c r="O25" i="11" s="1"/>
  <c r="O24" i="11" a="1"/>
  <c r="O24" i="11" s="1"/>
  <c r="O23" i="11" a="1"/>
  <c r="O23" i="11" s="1"/>
  <c r="O22" i="11" a="1"/>
  <c r="O22" i="11" s="1"/>
  <c r="O21" i="11" a="1"/>
  <c r="O21" i="11" s="1"/>
  <c r="O20" i="11" a="1"/>
  <c r="O20" i="11" s="1"/>
  <c r="O19" i="11" a="1"/>
  <c r="O19" i="11" s="1"/>
  <c r="O18" i="11" a="1"/>
  <c r="O18" i="11" s="1"/>
  <c r="O17" i="11" a="1"/>
  <c r="O17" i="11" s="1"/>
  <c r="O16" i="11" a="1"/>
  <c r="O16" i="11" s="1"/>
  <c r="O15" i="11" a="1"/>
  <c r="O15" i="11" s="1"/>
  <c r="O14" i="11" a="1"/>
  <c r="O14" i="11" s="1"/>
  <c r="O13" i="11" a="1"/>
  <c r="O13" i="11" s="1"/>
  <c r="O12" i="11" a="1"/>
  <c r="O12" i="11" s="1"/>
  <c r="H177" i="11"/>
  <c r="W177" i="11" s="1"/>
  <c r="H176" i="11"/>
  <c r="W176" i="11" s="1"/>
  <c r="H175" i="11"/>
  <c r="W175" i="11" s="1"/>
  <c r="H174" i="11"/>
  <c r="W174" i="11" s="1"/>
  <c r="H173" i="11"/>
  <c r="W173" i="11" s="1"/>
  <c r="H172" i="11"/>
  <c r="W172" i="11" s="1"/>
  <c r="H171" i="11"/>
  <c r="W171" i="11" s="1"/>
  <c r="H170" i="11"/>
  <c r="W170" i="11" s="1"/>
  <c r="H169" i="11"/>
  <c r="W169" i="11" s="1"/>
  <c r="H168" i="11"/>
  <c r="W168" i="11" s="1"/>
  <c r="H167" i="11"/>
  <c r="W167" i="11" s="1"/>
  <c r="H166" i="11"/>
  <c r="W166" i="11" s="1"/>
  <c r="H165" i="11"/>
  <c r="W165" i="11" s="1"/>
  <c r="H164" i="11"/>
  <c r="W164" i="11" s="1"/>
  <c r="H163" i="11"/>
  <c r="W163" i="11" s="1"/>
  <c r="H162" i="11"/>
  <c r="W162" i="11" s="1"/>
  <c r="H161" i="11"/>
  <c r="W161" i="11" s="1"/>
  <c r="H160" i="11"/>
  <c r="W160" i="11" s="1"/>
  <c r="H159" i="11"/>
  <c r="W159" i="11" s="1"/>
  <c r="H158" i="11"/>
  <c r="W158" i="11" s="1"/>
  <c r="H157" i="11"/>
  <c r="W157" i="11" s="1"/>
  <c r="H156" i="11"/>
  <c r="W156" i="11" s="1"/>
  <c r="H155" i="11"/>
  <c r="W155" i="11" s="1"/>
  <c r="H154" i="11"/>
  <c r="W154" i="11" s="1"/>
  <c r="H153" i="11"/>
  <c r="W153" i="11" s="1"/>
  <c r="H152" i="11"/>
  <c r="W152" i="11" s="1"/>
  <c r="H151" i="11"/>
  <c r="W151" i="11" s="1"/>
  <c r="H150" i="11"/>
  <c r="W150" i="11" s="1"/>
  <c r="H149" i="11"/>
  <c r="W149" i="11" s="1"/>
  <c r="H148" i="11"/>
  <c r="W148" i="11" s="1"/>
  <c r="H147" i="11"/>
  <c r="W147" i="11" s="1"/>
  <c r="H146" i="11"/>
  <c r="W146" i="11" s="1"/>
  <c r="H145" i="11"/>
  <c r="W145" i="11" s="1"/>
  <c r="H144" i="11"/>
  <c r="W144" i="11" s="1"/>
  <c r="H143" i="11"/>
  <c r="W143" i="11" s="1"/>
  <c r="H142" i="11"/>
  <c r="W142" i="11" s="1"/>
  <c r="H141" i="11"/>
  <c r="W141" i="11" s="1"/>
  <c r="H140" i="11"/>
  <c r="W140" i="11" s="1"/>
  <c r="H139" i="11"/>
  <c r="W139" i="11" s="1"/>
  <c r="H138" i="11"/>
  <c r="W138" i="11" s="1"/>
  <c r="H137" i="11"/>
  <c r="W137" i="11" s="1"/>
  <c r="H136" i="11"/>
  <c r="W136" i="11" s="1"/>
  <c r="H135" i="11"/>
  <c r="W135" i="11" s="1"/>
  <c r="H134" i="11"/>
  <c r="W134" i="11" s="1"/>
  <c r="H133" i="11"/>
  <c r="W133" i="11" s="1"/>
  <c r="H132" i="11"/>
  <c r="W132" i="11" s="1"/>
  <c r="H131" i="11"/>
  <c r="W131" i="11" s="1"/>
  <c r="H130" i="11"/>
  <c r="W130" i="11" s="1"/>
  <c r="H129" i="11"/>
  <c r="W129" i="11" s="1"/>
  <c r="H128" i="11"/>
  <c r="W128" i="11" s="1"/>
  <c r="H127" i="11"/>
  <c r="W127" i="11" s="1"/>
  <c r="H126" i="11"/>
  <c r="W126" i="11" s="1"/>
  <c r="H125" i="11"/>
  <c r="W125" i="11" s="1"/>
  <c r="H124" i="11"/>
  <c r="W124" i="11" s="1"/>
  <c r="H123" i="11"/>
  <c r="W123" i="11" s="1"/>
  <c r="H122" i="11"/>
  <c r="W122" i="11" s="1"/>
  <c r="H121" i="11"/>
  <c r="W121" i="11" s="1"/>
  <c r="H120" i="11"/>
  <c r="W120" i="11" s="1"/>
  <c r="H119" i="11"/>
  <c r="W119" i="11" s="1"/>
  <c r="H118" i="11"/>
  <c r="W118" i="11" s="1"/>
  <c r="H117" i="11"/>
  <c r="W117" i="11" s="1"/>
  <c r="H116" i="11"/>
  <c r="W116" i="11" s="1"/>
  <c r="H115" i="11"/>
  <c r="W115" i="11" s="1"/>
  <c r="H114" i="11"/>
  <c r="W114" i="11" s="1"/>
  <c r="H113" i="11"/>
  <c r="W113" i="11" s="1"/>
  <c r="H112" i="11"/>
  <c r="W112" i="11" s="1"/>
  <c r="H111" i="11"/>
  <c r="W111" i="11" s="1"/>
  <c r="H110" i="11"/>
  <c r="W110" i="11" s="1"/>
  <c r="H109" i="11"/>
  <c r="W109" i="11" s="1"/>
  <c r="H108" i="11"/>
  <c r="W108" i="11" s="1"/>
  <c r="H107" i="11"/>
  <c r="W107" i="11" s="1"/>
  <c r="H106" i="11"/>
  <c r="W106" i="11" s="1"/>
  <c r="H105" i="11"/>
  <c r="W105" i="11" s="1"/>
  <c r="H104" i="11"/>
  <c r="W104" i="11" s="1"/>
  <c r="H103" i="11"/>
  <c r="W103" i="11" s="1"/>
  <c r="H102" i="11"/>
  <c r="W102" i="11" s="1"/>
  <c r="H101" i="11"/>
  <c r="W101" i="11" s="1"/>
  <c r="H100" i="11"/>
  <c r="W100" i="11" s="1"/>
  <c r="H99" i="11"/>
  <c r="W99" i="11" s="1"/>
  <c r="H98" i="11"/>
  <c r="W98" i="11" s="1"/>
  <c r="H97" i="11"/>
  <c r="W97" i="11" s="1"/>
  <c r="H96" i="11"/>
  <c r="W96" i="11" s="1"/>
  <c r="H95" i="11"/>
  <c r="W95" i="11" s="1"/>
  <c r="H94" i="11"/>
  <c r="W94" i="11" s="1"/>
  <c r="H93" i="11"/>
  <c r="W93" i="11" s="1"/>
  <c r="H92" i="11"/>
  <c r="W92" i="11" s="1"/>
  <c r="H91" i="11"/>
  <c r="W91" i="11" s="1"/>
  <c r="H90" i="11"/>
  <c r="W90" i="11" s="1"/>
  <c r="H89" i="11"/>
  <c r="W89" i="11" s="1"/>
  <c r="H88" i="11"/>
  <c r="W88" i="11" s="1"/>
  <c r="H87" i="11"/>
  <c r="W87" i="11" s="1"/>
  <c r="H86" i="11"/>
  <c r="W86" i="11" s="1"/>
  <c r="H85" i="11"/>
  <c r="W85" i="11" s="1"/>
  <c r="H84" i="11"/>
  <c r="W84" i="11" s="1"/>
  <c r="H83" i="11"/>
  <c r="W83" i="11" s="1"/>
  <c r="H82" i="11"/>
  <c r="W82" i="11" s="1"/>
  <c r="H81" i="11"/>
  <c r="W81" i="11" s="1"/>
  <c r="H80" i="11"/>
  <c r="W80" i="11" s="1"/>
  <c r="H79" i="11"/>
  <c r="W79" i="11" s="1"/>
  <c r="H78" i="11"/>
  <c r="W78" i="11" s="1"/>
  <c r="H77" i="11"/>
  <c r="W77" i="11" s="1"/>
  <c r="H76" i="11"/>
  <c r="W76" i="11" s="1"/>
  <c r="H75" i="11"/>
  <c r="W75" i="11" s="1"/>
  <c r="H74" i="11"/>
  <c r="W74" i="11" s="1"/>
  <c r="H73" i="11"/>
  <c r="W73" i="11" s="1"/>
  <c r="H72" i="11"/>
  <c r="W72" i="11" s="1"/>
  <c r="H71" i="11"/>
  <c r="W71" i="11" s="1"/>
  <c r="H70" i="11"/>
  <c r="W70" i="11" s="1"/>
  <c r="H69" i="11"/>
  <c r="W69" i="11" s="1"/>
  <c r="H68" i="11"/>
  <c r="W68" i="11" s="1"/>
  <c r="H67" i="11"/>
  <c r="W67" i="11" s="1"/>
  <c r="H66" i="11"/>
  <c r="W66" i="11" s="1"/>
  <c r="H65" i="11"/>
  <c r="W65" i="11" s="1"/>
  <c r="H64" i="11"/>
  <c r="W64" i="11" s="1"/>
  <c r="H63" i="11"/>
  <c r="W63" i="11" s="1"/>
  <c r="H62" i="11"/>
  <c r="W62" i="11" s="1"/>
  <c r="H61" i="11"/>
  <c r="W61" i="11" s="1"/>
  <c r="H60" i="11"/>
  <c r="W60" i="11" s="1"/>
  <c r="H59" i="11"/>
  <c r="W59" i="11" s="1"/>
  <c r="H58" i="11"/>
  <c r="W58" i="11" s="1"/>
  <c r="H57" i="11"/>
  <c r="W57" i="11" s="1"/>
  <c r="H56" i="11"/>
  <c r="W56" i="11" s="1"/>
  <c r="H55" i="11"/>
  <c r="W55" i="11" s="1"/>
  <c r="H54" i="11"/>
  <c r="W54" i="11" s="1"/>
  <c r="H53" i="11"/>
  <c r="W53" i="11" s="1"/>
  <c r="H52" i="11"/>
  <c r="W52" i="11" s="1"/>
  <c r="H51" i="11"/>
  <c r="W51" i="11" s="1"/>
  <c r="H50" i="11"/>
  <c r="W50" i="11" s="1"/>
  <c r="H49" i="11"/>
  <c r="W49" i="11" s="1"/>
  <c r="H48" i="11"/>
  <c r="W48" i="11" s="1"/>
  <c r="H47" i="11"/>
  <c r="W47" i="11" s="1"/>
  <c r="H46" i="11"/>
  <c r="W46" i="11" s="1"/>
  <c r="H45" i="11"/>
  <c r="W45" i="11" s="1"/>
  <c r="H44" i="11"/>
  <c r="W44" i="11" s="1"/>
  <c r="H43" i="11"/>
  <c r="W43" i="11" s="1"/>
  <c r="H42" i="11"/>
  <c r="W42" i="11" s="1"/>
  <c r="H41" i="11"/>
  <c r="W41" i="11" s="1"/>
  <c r="H40" i="11"/>
  <c r="W40" i="11" s="1"/>
  <c r="H39" i="11"/>
  <c r="W39" i="11" s="1"/>
  <c r="H38" i="11"/>
  <c r="W38" i="11" s="1"/>
  <c r="H37" i="11"/>
  <c r="W37" i="11" s="1"/>
  <c r="H36" i="11"/>
  <c r="W36" i="11" s="1"/>
  <c r="H35" i="11"/>
  <c r="W35" i="11" s="1"/>
  <c r="H34" i="11"/>
  <c r="W34" i="11" s="1"/>
  <c r="H33" i="11"/>
  <c r="W33" i="11" s="1"/>
  <c r="H32" i="11"/>
  <c r="W32" i="11" s="1"/>
  <c r="H31" i="11"/>
  <c r="W31" i="11" s="1"/>
  <c r="H30" i="11"/>
  <c r="W30" i="11" s="1"/>
  <c r="H29" i="11"/>
  <c r="W29" i="11" s="1"/>
  <c r="H28" i="11"/>
  <c r="W28" i="11" s="1"/>
  <c r="H27" i="11"/>
  <c r="W27" i="11" s="1"/>
  <c r="H26" i="11"/>
  <c r="W26" i="11" s="1"/>
  <c r="H25" i="11"/>
  <c r="W25" i="11" s="1"/>
  <c r="H24" i="11"/>
  <c r="W24" i="11" s="1"/>
  <c r="H23" i="11"/>
  <c r="W23" i="11" s="1"/>
  <c r="H22" i="11"/>
  <c r="W22" i="11" s="1"/>
  <c r="H21" i="11"/>
  <c r="W21" i="11" s="1"/>
  <c r="H20" i="11"/>
  <c r="W20" i="11" s="1"/>
  <c r="H19" i="11"/>
  <c r="W19" i="11" s="1"/>
  <c r="H18" i="11"/>
  <c r="W18" i="11" s="1"/>
  <c r="H17" i="11"/>
  <c r="W17" i="11" s="1"/>
  <c r="H16" i="11"/>
  <c r="W16" i="11" s="1"/>
  <c r="H15" i="11"/>
  <c r="W15" i="11" s="1"/>
  <c r="H14" i="11"/>
  <c r="W14" i="11" s="1"/>
  <c r="H13" i="11"/>
  <c r="W13" i="11" s="1"/>
  <c r="H12" i="11"/>
  <c r="W12" i="11" s="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BC93" i="1"/>
  <c r="BC2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1" i="1"/>
  <c r="BC22" i="1"/>
  <c r="BC23" i="1"/>
  <c r="BC24" i="1"/>
  <c r="BC25" i="1"/>
  <c r="BC26" i="1"/>
  <c r="BC27" i="1"/>
  <c r="BC28" i="1"/>
  <c r="BC29" i="1"/>
  <c r="BC30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81" i="1"/>
  <c r="BC82" i="1"/>
  <c r="BC83" i="1"/>
  <c r="BC84" i="1"/>
  <c r="BC85" i="1"/>
  <c r="BC86" i="1"/>
  <c r="BC87" i="1"/>
  <c r="BC88" i="1"/>
  <c r="BC89" i="1"/>
  <c r="BC90" i="1"/>
  <c r="BC100" i="1"/>
  <c r="BC101" i="1"/>
  <c r="BC102" i="1"/>
  <c r="BC103" i="1"/>
  <c r="BC104" i="1"/>
  <c r="BC105" i="1"/>
  <c r="BC106" i="1"/>
  <c r="BC107" i="1"/>
  <c r="BC108" i="1"/>
  <c r="BC109" i="1"/>
  <c r="BC110" i="1"/>
  <c r="BC121" i="1"/>
  <c r="BC122" i="1"/>
  <c r="BC123" i="1"/>
  <c r="BC124" i="1"/>
  <c r="BC125" i="1"/>
  <c r="BC126" i="1"/>
  <c r="BC127" i="1"/>
  <c r="BC128" i="1"/>
  <c r="BC129" i="1"/>
  <c r="BC130" i="1"/>
  <c r="BC140" i="1"/>
  <c r="BC141" i="1"/>
  <c r="BC142" i="1"/>
  <c r="BC143" i="1"/>
  <c r="BC144" i="1"/>
  <c r="BC145" i="1"/>
  <c r="BC146" i="1"/>
  <c r="BC147" i="1"/>
  <c r="BC148" i="1"/>
  <c r="BC149" i="1"/>
  <c r="BC172" i="1"/>
  <c r="BC173" i="1"/>
  <c r="BC174" i="1"/>
  <c r="BC175" i="1"/>
  <c r="BC176" i="1"/>
  <c r="BC177" i="1"/>
  <c r="BC178" i="1"/>
  <c r="BC179" i="1"/>
  <c r="BC200" i="1"/>
  <c r="BC201" i="1"/>
  <c r="BC202" i="1"/>
  <c r="BC203" i="1"/>
  <c r="BC241" i="1"/>
  <c r="BC242" i="1"/>
  <c r="BC243" i="1"/>
  <c r="BC244" i="1"/>
  <c r="BC245" i="1"/>
  <c r="BC246" i="1"/>
  <c r="BC247" i="1"/>
  <c r="BC248" i="1"/>
  <c r="BC249" i="1"/>
  <c r="BC250" i="1"/>
  <c r="BC251" i="1"/>
  <c r="BC252" i="1"/>
  <c r="BC253" i="1"/>
  <c r="BC254" i="1"/>
  <c r="BC255" i="1"/>
  <c r="BC256" i="1"/>
  <c r="BC257" i="1"/>
  <c r="BC258" i="1"/>
  <c r="BC259" i="1"/>
  <c r="BC260" i="1"/>
  <c r="BC261" i="1"/>
  <c r="BC262" i="1"/>
  <c r="BC263" i="1"/>
  <c r="BC264" i="1"/>
  <c r="BC265" i="1"/>
  <c r="BC266" i="1"/>
  <c r="BC267" i="1"/>
  <c r="BC268" i="1"/>
  <c r="BC269" i="1"/>
  <c r="BC270" i="1"/>
  <c r="BC271" i="1"/>
  <c r="BC272" i="1"/>
  <c r="BC277" i="1"/>
  <c r="BC278" i="1"/>
  <c r="BC279" i="1"/>
  <c r="BC280" i="1"/>
  <c r="BC281" i="1"/>
  <c r="BC282" i="1"/>
  <c r="BC283" i="1"/>
  <c r="BC284" i="1"/>
  <c r="BC285" i="1"/>
  <c r="BC286" i="1"/>
  <c r="BC287" i="1"/>
  <c r="BC288" i="1"/>
  <c r="BC289" i="1"/>
  <c r="Q289" i="1" l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4" i="1"/>
  <c r="Q243" i="1"/>
  <c r="Q242" i="1"/>
  <c r="Q241" i="1"/>
  <c r="Q240" i="1"/>
  <c r="Q203" i="1"/>
  <c r="Q202" i="1"/>
  <c r="Q201" i="1"/>
  <c r="Q200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1" i="1"/>
  <c r="W22" i="1"/>
  <c r="W23" i="1"/>
  <c r="W24" i="1"/>
  <c r="W25" i="1"/>
  <c r="W26" i="1"/>
  <c r="W27" i="1"/>
  <c r="W28" i="1"/>
  <c r="W29" i="1"/>
  <c r="W30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81" i="1"/>
  <c r="W82" i="1"/>
  <c r="W83" i="1"/>
  <c r="W84" i="1"/>
  <c r="W85" i="1"/>
  <c r="W86" i="1"/>
  <c r="W87" i="1"/>
  <c r="W88" i="1"/>
  <c r="W89" i="1"/>
  <c r="W90" i="1"/>
  <c r="W93" i="1"/>
  <c r="W100" i="1"/>
  <c r="W101" i="1"/>
  <c r="W102" i="1"/>
  <c r="W103" i="1"/>
  <c r="W104" i="1"/>
  <c r="W105" i="1"/>
  <c r="W106" i="1"/>
  <c r="W107" i="1"/>
  <c r="W108" i="1"/>
  <c r="W109" i="1"/>
  <c r="W110" i="1"/>
  <c r="W122" i="1"/>
  <c r="W123" i="1"/>
  <c r="W124" i="1"/>
  <c r="W125" i="1"/>
  <c r="W126" i="1"/>
  <c r="W127" i="1"/>
  <c r="W128" i="1"/>
  <c r="W129" i="1"/>
  <c r="W130" i="1"/>
  <c r="W140" i="1"/>
  <c r="W141" i="1"/>
  <c r="W142" i="1"/>
  <c r="W143" i="1"/>
  <c r="W144" i="1"/>
  <c r="W145" i="1"/>
  <c r="W146" i="1"/>
  <c r="W147" i="1"/>
  <c r="W148" i="1"/>
  <c r="W149" i="1"/>
  <c r="W171" i="1"/>
  <c r="W172" i="1"/>
  <c r="W173" i="1"/>
  <c r="W174" i="1"/>
  <c r="W175" i="1"/>
  <c r="W176" i="1"/>
  <c r="W177" i="1"/>
  <c r="W178" i="1"/>
  <c r="W179" i="1"/>
  <c r="W200" i="1"/>
  <c r="W201" i="1"/>
  <c r="W202" i="1"/>
  <c r="W203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Q179" i="1"/>
  <c r="Q178" i="1"/>
  <c r="Q177" i="1"/>
  <c r="Q176" i="1"/>
  <c r="Q175" i="1"/>
  <c r="Q174" i="1"/>
  <c r="Q173" i="1"/>
  <c r="Q172" i="1"/>
  <c r="Q171" i="1"/>
  <c r="Q149" i="1"/>
  <c r="Q148" i="1"/>
  <c r="Q147" i="1"/>
  <c r="Q146" i="1"/>
  <c r="Q145" i="1"/>
  <c r="Q144" i="1"/>
  <c r="Q143" i="1"/>
  <c r="Q142" i="1"/>
  <c r="Q141" i="1"/>
  <c r="Q140" i="1"/>
  <c r="Q129" i="1"/>
  <c r="Q128" i="1"/>
  <c r="Q127" i="1"/>
  <c r="Q126" i="1"/>
  <c r="Q125" i="1"/>
  <c r="Q124" i="1"/>
  <c r="Q123" i="1"/>
  <c r="Q122" i="1"/>
  <c r="Q121" i="1"/>
  <c r="Q110" i="1"/>
  <c r="Q109" i="1"/>
  <c r="Q108" i="1"/>
  <c r="Q107" i="1"/>
  <c r="Q106" i="1"/>
  <c r="Q105" i="1"/>
  <c r="Q104" i="1"/>
  <c r="Q103" i="1"/>
  <c r="Q102" i="1"/>
  <c r="Q101" i="1"/>
  <c r="Q100" i="1"/>
  <c r="Q93" i="1"/>
  <c r="Q90" i="1"/>
  <c r="Q89" i="1"/>
  <c r="Q88" i="1"/>
  <c r="Q87" i="1"/>
  <c r="Q86" i="1"/>
  <c r="Q85" i="1"/>
  <c r="Q84" i="1"/>
  <c r="Q83" i="1"/>
  <c r="Q82" i="1"/>
  <c r="Q81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30" i="1"/>
  <c r="Q29" i="1"/>
  <c r="Q28" i="1"/>
  <c r="Q27" i="1"/>
  <c r="Q26" i="1"/>
  <c r="Q25" i="1"/>
  <c r="Q24" i="1"/>
  <c r="Q23" i="1"/>
  <c r="Q22" i="1"/>
  <c r="Q21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1" i="1"/>
  <c r="AP22" i="1"/>
  <c r="AP23" i="1"/>
  <c r="AP24" i="1"/>
  <c r="AP25" i="1"/>
  <c r="AP26" i="1"/>
  <c r="AP27" i="1"/>
  <c r="AP28" i="1"/>
  <c r="AP29" i="1"/>
  <c r="AP30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81" i="1"/>
  <c r="AP82" i="1"/>
  <c r="AP83" i="1"/>
  <c r="AP84" i="1"/>
  <c r="AP85" i="1"/>
  <c r="AP86" i="1"/>
  <c r="AP87" i="1"/>
  <c r="AP88" i="1"/>
  <c r="AP89" i="1"/>
  <c r="AP90" i="1"/>
  <c r="AP93" i="1"/>
  <c r="AP100" i="1"/>
  <c r="AP101" i="1"/>
  <c r="AP102" i="1"/>
  <c r="AP103" i="1"/>
  <c r="AP104" i="1"/>
  <c r="AP105" i="1"/>
  <c r="AP106" i="1"/>
  <c r="AP107" i="1"/>
  <c r="AP108" i="1"/>
  <c r="AP109" i="1"/>
  <c r="AP110" i="1"/>
  <c r="AP121" i="1"/>
  <c r="AP122" i="1"/>
  <c r="AP123" i="1"/>
  <c r="AP124" i="1"/>
  <c r="AP125" i="1"/>
  <c r="AP126" i="1"/>
  <c r="AP127" i="1"/>
  <c r="AP128" i="1"/>
  <c r="AP129" i="1"/>
  <c r="AP130" i="1"/>
  <c r="AP140" i="1"/>
  <c r="AP141" i="1"/>
  <c r="AP142" i="1"/>
  <c r="AP143" i="1"/>
  <c r="AP144" i="1"/>
  <c r="AP145" i="1"/>
  <c r="AP146" i="1"/>
  <c r="AP147" i="1"/>
  <c r="AP148" i="1"/>
  <c r="AP149" i="1"/>
  <c r="AP171" i="1"/>
  <c r="AP172" i="1"/>
  <c r="AP173" i="1"/>
  <c r="AP174" i="1"/>
  <c r="AP175" i="1"/>
  <c r="AP176" i="1"/>
  <c r="AP177" i="1"/>
  <c r="AP178" i="1"/>
  <c r="AP179" i="1"/>
  <c r="AP200" i="1"/>
  <c r="AP201" i="1"/>
  <c r="AP202" i="1"/>
  <c r="AP203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BA289" i="1" s="1"/>
  <c r="A3" i="10"/>
  <c r="C3" i="10"/>
  <c r="D3" i="10"/>
  <c r="L3" i="10"/>
  <c r="J42" i="7"/>
  <c r="J43" i="7"/>
  <c r="J44" i="7"/>
  <c r="G192" i="1" s="1"/>
  <c r="J39" i="7"/>
  <c r="J40" i="7"/>
  <c r="J41" i="7"/>
  <c r="J38" i="7"/>
  <c r="J37" i="7"/>
  <c r="J36" i="7"/>
  <c r="BD182" i="32" l="1" a="1"/>
  <c r="BD182" i="32" s="1"/>
  <c r="BA258" i="1"/>
  <c r="BD149" i="32" a="1"/>
  <c r="BD149" i="32" s="1"/>
  <c r="BA101" i="1"/>
  <c r="BD26" i="32" a="1"/>
  <c r="BD26" i="32" s="1"/>
  <c r="BA17" i="1"/>
  <c r="BD271" i="32" a="1"/>
  <c r="BD271" i="32" s="1"/>
  <c r="BA285" i="1"/>
  <c r="BD193" i="32" a="1"/>
  <c r="BD193" i="32" s="1"/>
  <c r="BA269" i="1"/>
  <c r="BD181" i="32" a="1"/>
  <c r="BD181" i="32" s="1"/>
  <c r="BA257" i="1"/>
  <c r="BD140" i="32" a="1"/>
  <c r="BD140" i="32" s="1"/>
  <c r="BA245" i="1"/>
  <c r="BD262" i="32" a="1"/>
  <c r="BD262" i="32" s="1"/>
  <c r="BA176" i="1"/>
  <c r="BD228" i="32" a="1"/>
  <c r="BD228" i="32" s="1"/>
  <c r="BA143" i="1"/>
  <c r="BD38" i="32" a="1"/>
  <c r="BD38" i="32" s="1"/>
  <c r="BA122" i="1"/>
  <c r="BD148" i="32" a="1"/>
  <c r="BD148" i="32" s="1"/>
  <c r="BA100" i="1"/>
  <c r="BD82" i="32" a="1"/>
  <c r="BD82" i="32" s="1"/>
  <c r="BA67" i="1"/>
  <c r="BD70" i="32" a="1"/>
  <c r="BD70" i="32" s="1"/>
  <c r="BA55" i="1"/>
  <c r="BD35" i="32" a="1"/>
  <c r="BD35" i="32" s="1"/>
  <c r="BA29" i="1"/>
  <c r="BD22" i="32" a="1"/>
  <c r="BD22" i="32" s="1"/>
  <c r="BA16" i="1"/>
  <c r="BD4" i="32" a="1"/>
  <c r="BD4" i="32" s="1"/>
  <c r="BA4" i="1"/>
  <c r="BD261" i="32" a="1"/>
  <c r="BD261" i="32" s="1"/>
  <c r="BA175" i="1"/>
  <c r="BD27" i="32" a="1"/>
  <c r="BD27" i="32" s="1"/>
  <c r="BA121" i="1"/>
  <c r="BD34" i="32" a="1"/>
  <c r="BD34" i="32" s="1"/>
  <c r="BA28" i="1"/>
  <c r="BD21" i="32" a="1"/>
  <c r="BD21" i="32" s="1"/>
  <c r="BA15" i="1"/>
  <c r="BD3" i="32" a="1"/>
  <c r="BD3" i="32" s="1"/>
  <c r="BA3" i="1"/>
  <c r="BD282" i="32" a="1"/>
  <c r="BD282" i="32" s="1"/>
  <c r="BA286" i="1"/>
  <c r="BD103" i="32" a="1"/>
  <c r="BD103" i="32" s="1"/>
  <c r="BA81" i="1"/>
  <c r="BD192" i="32" a="1"/>
  <c r="BD192" i="32" s="1"/>
  <c r="BA268" i="1"/>
  <c r="BD132" i="32" a="1"/>
  <c r="BD132" i="32" s="1"/>
  <c r="BA93" i="1"/>
  <c r="BD138" i="32" a="1"/>
  <c r="BD138" i="32" s="1"/>
  <c r="BA243" i="1"/>
  <c r="BD33" i="32" a="1"/>
  <c r="BD33" i="32" s="1"/>
  <c r="BA27" i="1"/>
  <c r="BD269" i="32" a="1"/>
  <c r="BD269" i="32" s="1"/>
  <c r="BA283" i="1"/>
  <c r="BD259" i="32" a="1"/>
  <c r="BD259" i="32" s="1"/>
  <c r="BA173" i="1"/>
  <c r="BD235" i="32" a="1"/>
  <c r="BD235" i="32" s="1"/>
  <c r="BA140" i="1"/>
  <c r="BD165" i="32" a="1"/>
  <c r="BD165" i="32" s="1"/>
  <c r="BA109" i="1"/>
  <c r="BD101" i="32" a="1"/>
  <c r="BD101" i="32" s="1"/>
  <c r="BA89" i="1"/>
  <c r="BD79" i="32" a="1"/>
  <c r="BD79" i="32" s="1"/>
  <c r="BA64" i="1"/>
  <c r="BD67" i="32" a="1"/>
  <c r="BD67" i="32" s="1"/>
  <c r="BA52" i="1"/>
  <c r="BD32" i="32" a="1"/>
  <c r="BD32" i="32" s="1"/>
  <c r="BA26" i="1"/>
  <c r="BD19" i="32" a="1"/>
  <c r="BD19" i="32" s="1"/>
  <c r="BA13" i="1"/>
  <c r="BD227" i="32" a="1"/>
  <c r="BD227" i="32" s="1"/>
  <c r="BA142" i="1"/>
  <c r="BD260" i="32" a="1"/>
  <c r="BD260" i="32" s="1"/>
  <c r="BA174" i="1"/>
  <c r="BD178" i="32" a="1"/>
  <c r="BD178" i="32" s="1"/>
  <c r="BA254" i="1"/>
  <c r="BD205" i="32" a="1"/>
  <c r="BD205" i="32" s="1"/>
  <c r="BA281" i="1"/>
  <c r="BD177" i="32" a="1"/>
  <c r="BD177" i="32" s="1"/>
  <c r="BA253" i="1"/>
  <c r="BD136" i="32" a="1"/>
  <c r="BD136" i="32" s="1"/>
  <c r="BA241" i="1"/>
  <c r="BD266" i="32" a="1"/>
  <c r="BD266" i="32" s="1"/>
  <c r="BA172" i="1"/>
  <c r="BD208" i="32" a="1"/>
  <c r="BD208" i="32" s="1"/>
  <c r="BA130" i="1"/>
  <c r="BD164" i="32" a="1"/>
  <c r="BD164" i="32" s="1"/>
  <c r="BA108" i="1"/>
  <c r="BD100" i="32" a="1"/>
  <c r="BD100" i="32" s="1"/>
  <c r="BA88" i="1"/>
  <c r="BD78" i="32" a="1"/>
  <c r="BD78" i="32" s="1"/>
  <c r="BA63" i="1"/>
  <c r="BD66" i="32" a="1"/>
  <c r="BD66" i="32" s="1"/>
  <c r="BA51" i="1"/>
  <c r="BD31" i="32" a="1"/>
  <c r="BD31" i="32" s="1"/>
  <c r="BA25" i="1"/>
  <c r="BD18" i="32" a="1"/>
  <c r="BD18" i="32" s="1"/>
  <c r="BA12" i="1"/>
  <c r="BD229" i="32" a="1"/>
  <c r="BD229" i="32" s="1"/>
  <c r="BA144" i="1"/>
  <c r="BD270" i="32" a="1"/>
  <c r="BD270" i="32" s="1"/>
  <c r="BA284" i="1"/>
  <c r="BD190" i="32" a="1"/>
  <c r="BD190" i="32" s="1"/>
  <c r="BA266" i="1"/>
  <c r="BD188" i="32" a="1"/>
  <c r="BD188" i="32" s="1"/>
  <c r="BA264" i="1"/>
  <c r="BD56" i="32" a="1"/>
  <c r="BD56" i="32" s="1"/>
  <c r="BA203" i="1"/>
  <c r="BD207" i="32" a="1"/>
  <c r="BD207" i="32" s="1"/>
  <c r="BA129" i="1"/>
  <c r="BD163" i="32" a="1"/>
  <c r="BD163" i="32" s="1"/>
  <c r="BA107" i="1"/>
  <c r="BD77" i="32" a="1"/>
  <c r="BD77" i="32" s="1"/>
  <c r="BA62" i="1"/>
  <c r="BD65" i="32" a="1"/>
  <c r="BD65" i="32" s="1"/>
  <c r="BA50" i="1"/>
  <c r="BD30" i="32" a="1"/>
  <c r="BD30" i="32" s="1"/>
  <c r="BA24" i="1"/>
  <c r="BD17" i="32" a="1"/>
  <c r="BD17" i="32" s="1"/>
  <c r="BA11" i="1"/>
  <c r="BD263" i="32" a="1"/>
  <c r="BD263" i="32" s="1"/>
  <c r="BA177" i="1"/>
  <c r="BD137" i="32" a="1"/>
  <c r="BD137" i="32" s="1"/>
  <c r="BA242" i="1"/>
  <c r="BD189" i="32" a="1"/>
  <c r="BD189" i="32" s="1"/>
  <c r="BA265" i="1"/>
  <c r="BD204" i="32" a="1"/>
  <c r="BD204" i="32" s="1"/>
  <c r="BA280" i="1"/>
  <c r="BD157" i="32" a="1"/>
  <c r="BD157" i="32" s="1"/>
  <c r="BA252" i="1"/>
  <c r="BD258" i="32" a="1"/>
  <c r="BD258" i="32" s="1"/>
  <c r="BA171" i="1"/>
  <c r="BD99" i="32" a="1"/>
  <c r="BD99" i="32" s="1"/>
  <c r="BA87" i="1"/>
  <c r="BD203" i="32" a="1"/>
  <c r="BD203" i="32" s="1"/>
  <c r="BA279" i="1"/>
  <c r="BD187" i="32" a="1"/>
  <c r="BD187" i="32" s="1"/>
  <c r="BA263" i="1"/>
  <c r="BD156" i="32" a="1"/>
  <c r="BD156" i="32" s="1"/>
  <c r="BA251" i="1"/>
  <c r="BD55" i="32" a="1"/>
  <c r="BD55" i="32" s="1"/>
  <c r="BA202" i="1"/>
  <c r="BD234" i="32" a="1"/>
  <c r="BD234" i="32" s="1"/>
  <c r="BA149" i="1"/>
  <c r="BD44" i="32" a="1"/>
  <c r="BD44" i="32" s="1"/>
  <c r="BA128" i="1"/>
  <c r="BD162" i="32" a="1"/>
  <c r="BD162" i="32" s="1"/>
  <c r="BA106" i="1"/>
  <c r="BD98" i="32" a="1"/>
  <c r="BD98" i="32" s="1"/>
  <c r="BA86" i="1"/>
  <c r="BD76" i="32" a="1"/>
  <c r="BD76" i="32" s="1"/>
  <c r="BA61" i="1"/>
  <c r="BD64" i="32" a="1"/>
  <c r="BD64" i="32" s="1"/>
  <c r="BA49" i="1"/>
  <c r="BD29" i="32" a="1"/>
  <c r="BD29" i="32" s="1"/>
  <c r="BA23" i="1"/>
  <c r="BD16" i="32" a="1"/>
  <c r="BD16" i="32" s="1"/>
  <c r="BA10" i="1"/>
  <c r="BD39" i="32" a="1"/>
  <c r="BD39" i="32" s="1"/>
  <c r="BA123" i="1"/>
  <c r="BD206" i="32" a="1"/>
  <c r="BD206" i="32" s="1"/>
  <c r="BA282" i="1"/>
  <c r="BD202" i="32" a="1"/>
  <c r="BD202" i="32" s="1"/>
  <c r="BA278" i="1"/>
  <c r="BD186" i="32" a="1"/>
  <c r="BD186" i="32" s="1"/>
  <c r="BA262" i="1"/>
  <c r="BD155" i="32" a="1"/>
  <c r="BD155" i="32" s="1"/>
  <c r="BA250" i="1"/>
  <c r="BD54" i="32" a="1"/>
  <c r="BD54" i="32" s="1"/>
  <c r="BA201" i="1"/>
  <c r="BD233" i="32" a="1"/>
  <c r="BD233" i="32" s="1"/>
  <c r="BA148" i="1"/>
  <c r="BD43" i="32" a="1"/>
  <c r="BD43" i="32" s="1"/>
  <c r="BA127" i="1"/>
  <c r="BD161" i="32" a="1"/>
  <c r="BD161" i="32" s="1"/>
  <c r="BA105" i="1"/>
  <c r="BD105" i="32" a="1"/>
  <c r="BD105" i="32" s="1"/>
  <c r="BA85" i="1"/>
  <c r="BD75" i="32" a="1"/>
  <c r="BD75" i="32" s="1"/>
  <c r="BA60" i="1"/>
  <c r="BD63" i="32" a="1"/>
  <c r="BD63" i="32" s="1"/>
  <c r="BA48" i="1"/>
  <c r="BD28" i="32" a="1"/>
  <c r="BD28" i="32" s="1"/>
  <c r="BA22" i="1"/>
  <c r="BD23" i="32" a="1"/>
  <c r="BD23" i="32" s="1"/>
  <c r="BA9" i="1"/>
  <c r="BD194" i="32" a="1"/>
  <c r="BD194" i="32" s="1"/>
  <c r="BA270" i="1"/>
  <c r="BD71" i="32" a="1"/>
  <c r="BD71" i="32" s="1"/>
  <c r="BA56" i="1"/>
  <c r="BD5" i="32" a="1"/>
  <c r="BD5" i="32" s="1"/>
  <c r="BA5" i="1"/>
  <c r="BD201" i="32" a="1"/>
  <c r="BD201" i="32" s="1"/>
  <c r="BA277" i="1"/>
  <c r="BD185" i="32" a="1"/>
  <c r="BD185" i="32" s="1"/>
  <c r="BA261" i="1"/>
  <c r="BD154" i="32" a="1"/>
  <c r="BD154" i="32" s="1"/>
  <c r="BA249" i="1"/>
  <c r="BD53" i="32" a="1"/>
  <c r="BD53" i="32" s="1"/>
  <c r="BA200" i="1"/>
  <c r="BD232" i="32" a="1"/>
  <c r="BD232" i="32" s="1"/>
  <c r="BA147" i="1"/>
  <c r="BD42" i="32" a="1"/>
  <c r="BD42" i="32" s="1"/>
  <c r="BA126" i="1"/>
  <c r="BD160" i="32" a="1"/>
  <c r="BD160" i="32" s="1"/>
  <c r="BA104" i="1"/>
  <c r="BD97" i="32" a="1"/>
  <c r="BD97" i="32" s="1"/>
  <c r="BA84" i="1"/>
  <c r="BD74" i="32" a="1"/>
  <c r="BD74" i="32" s="1"/>
  <c r="BA59" i="1"/>
  <c r="BD62" i="32" a="1"/>
  <c r="BD62" i="32" s="1"/>
  <c r="BA47" i="1"/>
  <c r="BD37" i="32" a="1"/>
  <c r="BD37" i="32" s="1"/>
  <c r="BA21" i="1"/>
  <c r="BD8" i="32" a="1"/>
  <c r="BD8" i="32" s="1"/>
  <c r="BA8" i="1"/>
  <c r="BD180" i="32" a="1"/>
  <c r="BD180" i="32" s="1"/>
  <c r="BA256" i="1"/>
  <c r="BD81" i="32" a="1"/>
  <c r="BD81" i="32" s="1"/>
  <c r="BA66" i="1"/>
  <c r="BD179" i="32" a="1"/>
  <c r="BD179" i="32" s="1"/>
  <c r="BA255" i="1"/>
  <c r="BD166" i="32" a="1"/>
  <c r="BD166" i="32" s="1"/>
  <c r="BA110" i="1"/>
  <c r="BD102" i="32" a="1"/>
  <c r="BD102" i="32" s="1"/>
  <c r="BA90" i="1"/>
  <c r="BD68" i="32" a="1"/>
  <c r="BD68" i="32" s="1"/>
  <c r="BA53" i="1"/>
  <c r="BD20" i="32" a="1"/>
  <c r="BD20" i="32" s="1"/>
  <c r="BA14" i="1"/>
  <c r="BD2" i="32" a="1"/>
  <c r="BD2" i="32" s="1"/>
  <c r="BA2" i="1"/>
  <c r="BD284" i="32" a="1"/>
  <c r="BD284" i="32" s="1"/>
  <c r="BA288" i="1"/>
  <c r="BD196" i="32" a="1"/>
  <c r="BD196" i="32" s="1"/>
  <c r="BA272" i="1"/>
  <c r="BD184" i="32" a="1"/>
  <c r="BD184" i="32" s="1"/>
  <c r="BA260" i="1"/>
  <c r="BD153" i="32" a="1"/>
  <c r="BD153" i="32" s="1"/>
  <c r="BA248" i="1"/>
  <c r="BD265" i="32" a="1"/>
  <c r="BD265" i="32" s="1"/>
  <c r="BA179" i="1"/>
  <c r="BD231" i="32" a="1"/>
  <c r="BD231" i="32" s="1"/>
  <c r="BA146" i="1"/>
  <c r="BD41" i="32" a="1"/>
  <c r="BD41" i="32" s="1"/>
  <c r="BA125" i="1"/>
  <c r="BD159" i="32" a="1"/>
  <c r="BD159" i="32" s="1"/>
  <c r="BA103" i="1"/>
  <c r="BD104" i="32" a="1"/>
  <c r="BD104" i="32" s="1"/>
  <c r="BA83" i="1"/>
  <c r="BD73" i="32" a="1"/>
  <c r="BD73" i="32" s="1"/>
  <c r="BA58" i="1"/>
  <c r="BD61" i="32" a="1"/>
  <c r="BD61" i="32" s="1"/>
  <c r="BA46" i="1"/>
  <c r="BD25" i="32" a="1"/>
  <c r="BD25" i="32" s="1"/>
  <c r="BA19" i="1"/>
  <c r="BD7" i="32" a="1"/>
  <c r="BD7" i="32" s="1"/>
  <c r="BA7" i="1"/>
  <c r="BD141" i="32" a="1"/>
  <c r="BD141" i="32" s="1"/>
  <c r="BA246" i="1"/>
  <c r="BD36" i="32" a="1"/>
  <c r="BD36" i="32" s="1"/>
  <c r="BA30" i="1"/>
  <c r="BD139" i="32" a="1"/>
  <c r="BD139" i="32" s="1"/>
  <c r="BA244" i="1"/>
  <c r="BD69" i="32" a="1"/>
  <c r="BD69" i="32" s="1"/>
  <c r="BA54" i="1"/>
  <c r="BD191" i="32" a="1"/>
  <c r="BD191" i="32" s="1"/>
  <c r="BA267" i="1"/>
  <c r="BD226" i="32" a="1"/>
  <c r="BD226" i="32" s="1"/>
  <c r="BA141" i="1"/>
  <c r="BD80" i="32" a="1"/>
  <c r="BD80" i="32" s="1"/>
  <c r="BA65" i="1"/>
  <c r="BD283" i="32" a="1"/>
  <c r="BD283" i="32" s="1"/>
  <c r="BA287" i="1"/>
  <c r="BD195" i="32" a="1"/>
  <c r="BD195" i="32" s="1"/>
  <c r="BA271" i="1"/>
  <c r="BD183" i="32" a="1"/>
  <c r="BD183" i="32" s="1"/>
  <c r="BA259" i="1"/>
  <c r="BD152" i="32" a="1"/>
  <c r="BD152" i="32" s="1"/>
  <c r="BA247" i="1"/>
  <c r="BD264" i="32" a="1"/>
  <c r="BD264" i="32" s="1"/>
  <c r="BA178" i="1"/>
  <c r="BD230" i="32" a="1"/>
  <c r="BD230" i="32" s="1"/>
  <c r="BA145" i="1"/>
  <c r="BD40" i="32" a="1"/>
  <c r="BD40" i="32" s="1"/>
  <c r="BA124" i="1"/>
  <c r="BD158" i="32" a="1"/>
  <c r="BD158" i="32" s="1"/>
  <c r="BA102" i="1"/>
  <c r="BD96" i="32" a="1"/>
  <c r="BD96" i="32" s="1"/>
  <c r="BA82" i="1"/>
  <c r="BD72" i="32" a="1"/>
  <c r="BD72" i="32" s="1"/>
  <c r="BA57" i="1"/>
  <c r="BD52" i="32" a="1"/>
  <c r="BD52" i="32" s="1"/>
  <c r="BA45" i="1"/>
  <c r="BD24" i="32" a="1"/>
  <c r="BD24" i="32" s="1"/>
  <c r="BA18" i="1"/>
  <c r="BD6" i="32" a="1"/>
  <c r="BD6" i="32" s="1"/>
  <c r="BA6" i="1"/>
  <c r="G74" i="1"/>
  <c r="G138" i="1"/>
  <c r="G156" i="1"/>
  <c r="G164" i="1"/>
  <c r="G112" i="1"/>
  <c r="G120" i="1"/>
  <c r="G37" i="1"/>
  <c r="G75" i="1"/>
  <c r="G131" i="1"/>
  <c r="G157" i="1"/>
  <c r="G165" i="1"/>
  <c r="G113" i="1"/>
  <c r="G20" i="1"/>
  <c r="G38" i="1"/>
  <c r="G119" i="1"/>
  <c r="G68" i="1"/>
  <c r="G76" i="1"/>
  <c r="G132" i="1"/>
  <c r="G158" i="1"/>
  <c r="G166" i="1"/>
  <c r="G114" i="1"/>
  <c r="G31" i="1"/>
  <c r="G39" i="1"/>
  <c r="G69" i="1"/>
  <c r="G77" i="1"/>
  <c r="G133" i="1"/>
  <c r="G151" i="1"/>
  <c r="G159" i="1"/>
  <c r="G167" i="1"/>
  <c r="G139" i="1"/>
  <c r="G115" i="1"/>
  <c r="G32" i="1"/>
  <c r="G40" i="1"/>
  <c r="G181" i="1"/>
  <c r="G36" i="1"/>
  <c r="G70" i="1"/>
  <c r="G78" i="1"/>
  <c r="G134" i="1"/>
  <c r="G152" i="1"/>
  <c r="G160" i="1"/>
  <c r="G168" i="1"/>
  <c r="G111" i="1"/>
  <c r="G91" i="1"/>
  <c r="G116" i="1"/>
  <c r="G33" i="1"/>
  <c r="G41" i="1"/>
  <c r="G71" i="1"/>
  <c r="G79" i="1"/>
  <c r="G135" i="1"/>
  <c r="G153" i="1"/>
  <c r="G161" i="1"/>
  <c r="G169" i="1"/>
  <c r="G150" i="1"/>
  <c r="G92" i="1"/>
  <c r="G117" i="1"/>
  <c r="G34" i="1"/>
  <c r="G42" i="1"/>
  <c r="G72" i="1"/>
  <c r="G80" i="1"/>
  <c r="G136" i="1"/>
  <c r="G154" i="1"/>
  <c r="G162" i="1"/>
  <c r="G170" i="1"/>
  <c r="G180" i="1"/>
  <c r="G118" i="1"/>
  <c r="G35" i="1"/>
  <c r="G43" i="1"/>
  <c r="G73" i="1"/>
  <c r="G137" i="1"/>
  <c r="G155" i="1"/>
  <c r="G163" i="1"/>
  <c r="G44" i="1"/>
  <c r="G274" i="1"/>
  <c r="G205" i="1"/>
  <c r="G275" i="1"/>
  <c r="G206" i="1"/>
  <c r="G276" i="1"/>
  <c r="G207" i="1"/>
  <c r="G238" i="1"/>
  <c r="G273" i="1"/>
  <c r="G204" i="1"/>
  <c r="G239" i="1"/>
  <c r="B3" i="10"/>
  <c r="D2" i="34"/>
  <c r="D3" i="34"/>
  <c r="D4" i="34"/>
  <c r="C4" i="34" s="1"/>
  <c r="G236" i="1"/>
  <c r="G237" i="1"/>
  <c r="G230" i="1"/>
  <c r="G231" i="1"/>
  <c r="G232" i="1"/>
  <c r="G233" i="1"/>
  <c r="G234" i="1"/>
  <c r="G235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1" i="1"/>
  <c r="G22" i="1"/>
  <c r="G23" i="1"/>
  <c r="G24" i="1"/>
  <c r="G25" i="1"/>
  <c r="G26" i="1"/>
  <c r="G27" i="1"/>
  <c r="G28" i="1"/>
  <c r="G29" i="1"/>
  <c r="G30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81" i="1"/>
  <c r="G82" i="1"/>
  <c r="G83" i="1"/>
  <c r="G84" i="1"/>
  <c r="G85" i="1"/>
  <c r="G86" i="1"/>
  <c r="G87" i="1"/>
  <c r="G88" i="1"/>
  <c r="G89" i="1"/>
  <c r="G90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21" i="1"/>
  <c r="G122" i="1"/>
  <c r="G123" i="1"/>
  <c r="G124" i="1"/>
  <c r="G125" i="1"/>
  <c r="G126" i="1"/>
  <c r="G127" i="1"/>
  <c r="G128" i="1"/>
  <c r="G129" i="1"/>
  <c r="G130" i="1"/>
  <c r="G140" i="1"/>
  <c r="G141" i="1"/>
  <c r="G142" i="1"/>
  <c r="G143" i="1"/>
  <c r="G144" i="1"/>
  <c r="G145" i="1"/>
  <c r="G146" i="1"/>
  <c r="G147" i="1"/>
  <c r="G148" i="1"/>
  <c r="G149" i="1"/>
  <c r="G171" i="1"/>
  <c r="G172" i="1"/>
  <c r="G173" i="1"/>
  <c r="G174" i="1"/>
  <c r="G175" i="1"/>
  <c r="G176" i="1"/>
  <c r="G177" i="1"/>
  <c r="G178" i="1"/>
  <c r="G179" i="1"/>
  <c r="G182" i="1"/>
  <c r="G183" i="1"/>
  <c r="G184" i="1"/>
  <c r="G185" i="1"/>
  <c r="G186" i="1"/>
  <c r="G187" i="1"/>
  <c r="G188" i="1"/>
  <c r="G189" i="1"/>
  <c r="G190" i="1"/>
  <c r="G191" i="1"/>
  <c r="G193" i="1"/>
  <c r="G194" i="1"/>
  <c r="G195" i="1"/>
  <c r="G196" i="1"/>
  <c r="G197" i="1"/>
  <c r="G198" i="1"/>
  <c r="G199" i="1"/>
  <c r="G200" i="1"/>
  <c r="G201" i="1"/>
  <c r="G202" i="1"/>
  <c r="G203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N3" i="10"/>
  <c r="M3" i="10"/>
  <c r="O2" i="11" a="1"/>
  <c r="O2" i="11" s="1"/>
  <c r="O3" i="11" a="1"/>
  <c r="O3" i="11" s="1"/>
  <c r="O4" i="11" a="1"/>
  <c r="O4" i="11" s="1"/>
  <c r="O5" i="11" a="1"/>
  <c r="O5" i="11" s="1"/>
  <c r="O9" i="11" a="1"/>
  <c r="O9" i="11" s="1"/>
  <c r="O10" i="11" a="1"/>
  <c r="O10" i="11" s="1"/>
  <c r="O11" i="11" a="1"/>
  <c r="O11" i="11" s="1"/>
  <c r="C2" i="15"/>
  <c r="D2" i="15"/>
  <c r="E14" i="12"/>
  <c r="E15" i="12"/>
  <c r="E20" i="12"/>
  <c r="E21" i="12"/>
  <c r="E22" i="12"/>
  <c r="E23" i="12"/>
  <c r="E24" i="12"/>
  <c r="E25" i="12"/>
  <c r="E26" i="12"/>
  <c r="C14" i="12"/>
  <c r="C15" i="12"/>
  <c r="C20" i="12"/>
  <c r="C21" i="12"/>
  <c r="C22" i="12"/>
  <c r="C23" i="12"/>
  <c r="C24" i="12"/>
  <c r="C25" i="12"/>
  <c r="C26" i="12"/>
  <c r="C2" i="13"/>
  <c r="C3" i="13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N280" i="11" l="1" a="1"/>
  <c r="N280" i="11" s="1"/>
  <c r="B3" i="34"/>
  <c r="C3" i="34"/>
  <c r="B2" i="34"/>
  <c r="C2" i="34"/>
  <c r="B4" i="34"/>
  <c r="D5" i="34"/>
  <c r="C5" i="34" s="1"/>
  <c r="N278" i="11" a="1"/>
  <c r="N278" i="11" s="1"/>
  <c r="N279" i="11" a="1"/>
  <c r="N279" i="11" s="1"/>
  <c r="N259" i="11" a="1"/>
  <c r="N259" i="11" s="1"/>
  <c r="N258" i="11" a="1"/>
  <c r="N258" i="11" s="1"/>
  <c r="N277" i="11" a="1"/>
  <c r="N277" i="11" s="1"/>
  <c r="N276" i="11" a="1"/>
  <c r="N276" i="11" s="1"/>
  <c r="N275" i="11" a="1"/>
  <c r="N275" i="11" s="1"/>
  <c r="N274" i="11" a="1"/>
  <c r="N274" i="11" s="1"/>
  <c r="N273" i="11" a="1"/>
  <c r="N273" i="11" s="1"/>
  <c r="N272" i="11" a="1"/>
  <c r="N272" i="11" s="1"/>
  <c r="N271" i="11" a="1"/>
  <c r="N271" i="11" s="1"/>
  <c r="N270" i="11" a="1"/>
  <c r="N270" i="11" s="1"/>
  <c r="N269" i="11" a="1"/>
  <c r="N269" i="11" s="1"/>
  <c r="N268" i="11" a="1"/>
  <c r="N268" i="11" s="1"/>
  <c r="N267" i="11" a="1"/>
  <c r="N267" i="11" s="1"/>
  <c r="N266" i="11" a="1"/>
  <c r="N266" i="11" s="1"/>
  <c r="N265" i="11" a="1"/>
  <c r="N265" i="11" s="1"/>
  <c r="N264" i="11" a="1"/>
  <c r="N264" i="11" s="1"/>
  <c r="N263" i="11" a="1"/>
  <c r="N263" i="11" s="1"/>
  <c r="N262" i="11" a="1"/>
  <c r="N262" i="11" s="1"/>
  <c r="N261" i="11" a="1"/>
  <c r="N261" i="11" s="1"/>
  <c r="N260" i="11" a="1"/>
  <c r="N260" i="11" s="1"/>
  <c r="N257" i="11" a="1"/>
  <c r="N257" i="11" s="1"/>
  <c r="N256" i="11" a="1"/>
  <c r="N256" i="11" s="1"/>
  <c r="N255" i="11" a="1"/>
  <c r="N255" i="11" s="1"/>
  <c r="N254" i="11" a="1"/>
  <c r="N254" i="11" s="1"/>
  <c r="N253" i="11" a="1"/>
  <c r="N253" i="11" s="1"/>
  <c r="N252" i="11" a="1"/>
  <c r="N252" i="11" s="1"/>
  <c r="N251" i="11" a="1"/>
  <c r="N251" i="11" s="1"/>
  <c r="N250" i="11" a="1"/>
  <c r="N250" i="11" s="1"/>
  <c r="N249" i="11" a="1"/>
  <c r="N249" i="11" s="1"/>
  <c r="N248" i="11" a="1"/>
  <c r="N248" i="11" s="1"/>
  <c r="N247" i="11" a="1"/>
  <c r="N247" i="11" s="1"/>
  <c r="N246" i="11" a="1"/>
  <c r="N246" i="11" s="1"/>
  <c r="N245" i="11" a="1"/>
  <c r="N245" i="11" s="1"/>
  <c r="N244" i="11" a="1"/>
  <c r="N244" i="11" s="1"/>
  <c r="N243" i="11" a="1"/>
  <c r="N243" i="11" s="1"/>
  <c r="N242" i="11" a="1"/>
  <c r="N242" i="11" s="1"/>
  <c r="N241" i="11" a="1"/>
  <c r="N241" i="11" s="1"/>
  <c r="N240" i="11" a="1"/>
  <c r="N240" i="11" s="1"/>
  <c r="N239" i="11" a="1"/>
  <c r="N239" i="11" s="1"/>
  <c r="N238" i="11" a="1"/>
  <c r="N238" i="11" s="1"/>
  <c r="N237" i="11" a="1"/>
  <c r="N237" i="11" s="1"/>
  <c r="N236" i="11" a="1"/>
  <c r="N236" i="11" s="1"/>
  <c r="N235" i="11" a="1"/>
  <c r="N235" i="11" s="1"/>
  <c r="N234" i="11" a="1"/>
  <c r="N234" i="11" s="1"/>
  <c r="N233" i="11" a="1"/>
  <c r="N233" i="11" s="1"/>
  <c r="N232" i="11" a="1"/>
  <c r="N232" i="11" s="1"/>
  <c r="N231" i="11" a="1"/>
  <c r="N231" i="11" s="1"/>
  <c r="N230" i="11" a="1"/>
  <c r="N230" i="11" s="1"/>
  <c r="N229" i="11" a="1"/>
  <c r="N229" i="11" s="1"/>
  <c r="N228" i="11" a="1"/>
  <c r="N228" i="11" s="1"/>
  <c r="N227" i="11" a="1"/>
  <c r="N227" i="11" s="1"/>
  <c r="N226" i="11" a="1"/>
  <c r="N226" i="11" s="1"/>
  <c r="N225" i="11" a="1"/>
  <c r="N225" i="11" s="1"/>
  <c r="N224" i="11" a="1"/>
  <c r="N224" i="11" s="1"/>
  <c r="N223" i="11" a="1"/>
  <c r="N223" i="11" s="1"/>
  <c r="N222" i="11" a="1"/>
  <c r="N222" i="11" s="1"/>
  <c r="N221" i="11" a="1"/>
  <c r="N221" i="11" s="1"/>
  <c r="N220" i="11" a="1"/>
  <c r="N220" i="11" s="1"/>
  <c r="N219" i="11" a="1"/>
  <c r="N219" i="11" s="1"/>
  <c r="N218" i="11" a="1"/>
  <c r="N218" i="11" s="1"/>
  <c r="N217" i="11" a="1"/>
  <c r="N217" i="11" s="1"/>
  <c r="N216" i="11" a="1"/>
  <c r="N216" i="11" s="1"/>
  <c r="N215" i="11" a="1"/>
  <c r="N215" i="11" s="1"/>
  <c r="N214" i="11" a="1"/>
  <c r="N214" i="11" s="1"/>
  <c r="N213" i="11" a="1"/>
  <c r="N213" i="11" s="1"/>
  <c r="N212" i="11" a="1"/>
  <c r="N212" i="11" s="1"/>
  <c r="N211" i="11" a="1"/>
  <c r="N211" i="11" s="1"/>
  <c r="N210" i="11" a="1"/>
  <c r="N210" i="11" s="1"/>
  <c r="N209" i="11" a="1"/>
  <c r="N209" i="11" s="1"/>
  <c r="N208" i="11" a="1"/>
  <c r="N208" i="11" s="1"/>
  <c r="N207" i="11" a="1"/>
  <c r="N207" i="11" s="1"/>
  <c r="N206" i="11" a="1"/>
  <c r="N206" i="11" s="1"/>
  <c r="N205" i="11" a="1"/>
  <c r="N205" i="11" s="1"/>
  <c r="N204" i="11" a="1"/>
  <c r="N204" i="11" s="1"/>
  <c r="N203" i="11" a="1"/>
  <c r="N203" i="11" s="1"/>
  <c r="N202" i="11" a="1"/>
  <c r="N202" i="11" s="1"/>
  <c r="N201" i="11" a="1"/>
  <c r="N201" i="11" s="1"/>
  <c r="N200" i="11" a="1"/>
  <c r="N200" i="11" s="1"/>
  <c r="N199" i="11" a="1"/>
  <c r="N199" i="11" s="1"/>
  <c r="N198" i="11" a="1"/>
  <c r="N198" i="11" s="1"/>
  <c r="N197" i="11" a="1"/>
  <c r="N197" i="11" s="1"/>
  <c r="N196" i="11" a="1"/>
  <c r="N196" i="11" s="1"/>
  <c r="N195" i="11" a="1"/>
  <c r="N195" i="11" s="1"/>
  <c r="N194" i="11" a="1"/>
  <c r="N194" i="11" s="1"/>
  <c r="N193" i="11" a="1"/>
  <c r="N193" i="11" s="1"/>
  <c r="N192" i="11" a="1"/>
  <c r="N192" i="11" s="1"/>
  <c r="N191" i="11" a="1"/>
  <c r="N191" i="11" s="1"/>
  <c r="N190" i="11" a="1"/>
  <c r="N190" i="11" s="1"/>
  <c r="N189" i="11" a="1"/>
  <c r="N189" i="11" s="1"/>
  <c r="N188" i="11" a="1"/>
  <c r="N188" i="11" s="1"/>
  <c r="N187" i="11" a="1"/>
  <c r="N187" i="11" s="1"/>
  <c r="N186" i="11" a="1"/>
  <c r="N186" i="11" s="1"/>
  <c r="N8" i="11" a="1"/>
  <c r="N8" i="11" s="1"/>
  <c r="N6" i="11" a="1"/>
  <c r="N6" i="11" s="1"/>
  <c r="N7" i="11" a="1"/>
  <c r="N7" i="11" s="1"/>
  <c r="N185" i="11" a="1"/>
  <c r="N185" i="11" s="1"/>
  <c r="N184" i="11" a="1"/>
  <c r="N184" i="11" s="1"/>
  <c r="N183" i="11" a="1"/>
  <c r="N183" i="11" s="1"/>
  <c r="N182" i="11" a="1"/>
  <c r="N182" i="11" s="1"/>
  <c r="N178" i="11" a="1"/>
  <c r="N178" i="11" s="1"/>
  <c r="N179" i="11" a="1"/>
  <c r="N179" i="11" s="1"/>
  <c r="N180" i="11" a="1"/>
  <c r="N180" i="11" s="1"/>
  <c r="N181" i="11" a="1"/>
  <c r="N181" i="11" s="1"/>
  <c r="N177" i="11" a="1"/>
  <c r="N177" i="11" s="1"/>
  <c r="N176" i="11" a="1"/>
  <c r="N176" i="11" s="1"/>
  <c r="N175" i="11" a="1"/>
  <c r="N175" i="11" s="1"/>
  <c r="N174" i="11" a="1"/>
  <c r="N174" i="11" s="1"/>
  <c r="N173" i="11" a="1"/>
  <c r="N173" i="11" s="1"/>
  <c r="N172" i="11" a="1"/>
  <c r="N172" i="11" s="1"/>
  <c r="N171" i="11" a="1"/>
  <c r="N171" i="11" s="1"/>
  <c r="N170" i="11" a="1"/>
  <c r="N170" i="11" s="1"/>
  <c r="N169" i="11" a="1"/>
  <c r="N169" i="11" s="1"/>
  <c r="N168" i="11" a="1"/>
  <c r="N168" i="11" s="1"/>
  <c r="N167" i="11" a="1"/>
  <c r="N167" i="11" s="1"/>
  <c r="N166" i="11" a="1"/>
  <c r="N166" i="11" s="1"/>
  <c r="N165" i="11" a="1"/>
  <c r="N165" i="11" s="1"/>
  <c r="N164" i="11" a="1"/>
  <c r="N164" i="11" s="1"/>
  <c r="N163" i="11" a="1"/>
  <c r="N163" i="11" s="1"/>
  <c r="N162" i="11" a="1"/>
  <c r="N162" i="11" s="1"/>
  <c r="N161" i="11" a="1"/>
  <c r="N161" i="11" s="1"/>
  <c r="N160" i="11" a="1"/>
  <c r="N160" i="11" s="1"/>
  <c r="N159" i="11" a="1"/>
  <c r="N159" i="11" s="1"/>
  <c r="N158" i="11" a="1"/>
  <c r="N158" i="11" s="1"/>
  <c r="N157" i="11" a="1"/>
  <c r="N157" i="11" s="1"/>
  <c r="N156" i="11" a="1"/>
  <c r="N156" i="11" s="1"/>
  <c r="N155" i="11" a="1"/>
  <c r="N155" i="11" s="1"/>
  <c r="N154" i="11" a="1"/>
  <c r="N154" i="11" s="1"/>
  <c r="N153" i="11" a="1"/>
  <c r="N153" i="11" s="1"/>
  <c r="N152" i="11" a="1"/>
  <c r="N152" i="11" s="1"/>
  <c r="N151" i="11" a="1"/>
  <c r="N151" i="11" s="1"/>
  <c r="N150" i="11" a="1"/>
  <c r="N150" i="11" s="1"/>
  <c r="N149" i="11" a="1"/>
  <c r="N149" i="11" s="1"/>
  <c r="N148" i="11" a="1"/>
  <c r="N148" i="11" s="1"/>
  <c r="N147" i="11" a="1"/>
  <c r="N147" i="11" s="1"/>
  <c r="N146" i="11" a="1"/>
  <c r="N146" i="11" s="1"/>
  <c r="N145" i="11" a="1"/>
  <c r="N145" i="11" s="1"/>
  <c r="N144" i="11" a="1"/>
  <c r="N144" i="11" s="1"/>
  <c r="N143" i="11" a="1"/>
  <c r="N143" i="11" s="1"/>
  <c r="N142" i="11" a="1"/>
  <c r="N142" i="11" s="1"/>
  <c r="N141" i="11" a="1"/>
  <c r="N141" i="11" s="1"/>
  <c r="N140" i="11" a="1"/>
  <c r="N140" i="11" s="1"/>
  <c r="N139" i="11" a="1"/>
  <c r="N139" i="11" s="1"/>
  <c r="N138" i="11" a="1"/>
  <c r="N138" i="11" s="1"/>
  <c r="N137" i="11" a="1"/>
  <c r="N137" i="11" s="1"/>
  <c r="N136" i="11" a="1"/>
  <c r="N136" i="11" s="1"/>
  <c r="N135" i="11" a="1"/>
  <c r="N135" i="11" s="1"/>
  <c r="N134" i="11" a="1"/>
  <c r="N134" i="11" s="1"/>
  <c r="N133" i="11" a="1"/>
  <c r="N133" i="11" s="1"/>
  <c r="N132" i="11" a="1"/>
  <c r="N132" i="11" s="1"/>
  <c r="N131" i="11" a="1"/>
  <c r="N131" i="11" s="1"/>
  <c r="N130" i="11" a="1"/>
  <c r="N130" i="11" s="1"/>
  <c r="N129" i="11" a="1"/>
  <c r="N129" i="11" s="1"/>
  <c r="N128" i="11" a="1"/>
  <c r="N128" i="11" s="1"/>
  <c r="N127" i="11" a="1"/>
  <c r="N127" i="11" s="1"/>
  <c r="N126" i="11" a="1"/>
  <c r="N126" i="11" s="1"/>
  <c r="N125" i="11" a="1"/>
  <c r="N125" i="11" s="1"/>
  <c r="N124" i="11" a="1"/>
  <c r="N124" i="11" s="1"/>
  <c r="N123" i="11" a="1"/>
  <c r="N123" i="11" s="1"/>
  <c r="N122" i="11" a="1"/>
  <c r="N122" i="11" s="1"/>
  <c r="N121" i="11" a="1"/>
  <c r="N121" i="11" s="1"/>
  <c r="N120" i="11" a="1"/>
  <c r="N120" i="11" s="1"/>
  <c r="N119" i="11" a="1"/>
  <c r="N119" i="11" s="1"/>
  <c r="N118" i="11" a="1"/>
  <c r="N118" i="11" s="1"/>
  <c r="N117" i="11" a="1"/>
  <c r="N117" i="11" s="1"/>
  <c r="N116" i="11" a="1"/>
  <c r="N116" i="11" s="1"/>
  <c r="N115" i="11" a="1"/>
  <c r="N115" i="11" s="1"/>
  <c r="N114" i="11" a="1"/>
  <c r="N114" i="11" s="1"/>
  <c r="N113" i="11" a="1"/>
  <c r="N113" i="11" s="1"/>
  <c r="N112" i="11" a="1"/>
  <c r="N112" i="11" s="1"/>
  <c r="N111" i="11" a="1"/>
  <c r="N111" i="11" s="1"/>
  <c r="N110" i="11" a="1"/>
  <c r="N110" i="11" s="1"/>
  <c r="N109" i="11" a="1"/>
  <c r="N109" i="11" s="1"/>
  <c r="N108" i="11" a="1"/>
  <c r="N108" i="11" s="1"/>
  <c r="N107" i="11" a="1"/>
  <c r="N107" i="11" s="1"/>
  <c r="N106" i="11" a="1"/>
  <c r="N106" i="11" s="1"/>
  <c r="N105" i="11" a="1"/>
  <c r="N105" i="11" s="1"/>
  <c r="N104" i="11" a="1"/>
  <c r="N104" i="11" s="1"/>
  <c r="N103" i="11" a="1"/>
  <c r="N103" i="11" s="1"/>
  <c r="N102" i="11" a="1"/>
  <c r="N102" i="11" s="1"/>
  <c r="N101" i="11" a="1"/>
  <c r="N101" i="11" s="1"/>
  <c r="N100" i="11" a="1"/>
  <c r="N100" i="11" s="1"/>
  <c r="N99" i="11" a="1"/>
  <c r="N99" i="11" s="1"/>
  <c r="N98" i="11" a="1"/>
  <c r="N98" i="11" s="1"/>
  <c r="N97" i="11" a="1"/>
  <c r="N97" i="11" s="1"/>
  <c r="N96" i="11" a="1"/>
  <c r="N96" i="11" s="1"/>
  <c r="N95" i="11" a="1"/>
  <c r="N95" i="11" s="1"/>
  <c r="N94" i="11" a="1"/>
  <c r="N94" i="11" s="1"/>
  <c r="N93" i="11" a="1"/>
  <c r="N93" i="11" s="1"/>
  <c r="N92" i="11" a="1"/>
  <c r="N92" i="11" s="1"/>
  <c r="N91" i="11" a="1"/>
  <c r="N91" i="11" s="1"/>
  <c r="N90" i="11" a="1"/>
  <c r="N90" i="11" s="1"/>
  <c r="N89" i="11" a="1"/>
  <c r="N89" i="11" s="1"/>
  <c r="N88" i="11" a="1"/>
  <c r="N88" i="11" s="1"/>
  <c r="N87" i="11" a="1"/>
  <c r="N87" i="11" s="1"/>
  <c r="N86" i="11" a="1"/>
  <c r="N86" i="11" s="1"/>
  <c r="N85" i="11" a="1"/>
  <c r="N85" i="11" s="1"/>
  <c r="N84" i="11" a="1"/>
  <c r="N84" i="11" s="1"/>
  <c r="N83" i="11" a="1"/>
  <c r="N83" i="11" s="1"/>
  <c r="N82" i="11" a="1"/>
  <c r="N82" i="11" s="1"/>
  <c r="N81" i="11" a="1"/>
  <c r="N81" i="11" s="1"/>
  <c r="N80" i="11" a="1"/>
  <c r="N80" i="11" s="1"/>
  <c r="N79" i="11" a="1"/>
  <c r="N79" i="11" s="1"/>
  <c r="N78" i="11" a="1"/>
  <c r="N78" i="11" s="1"/>
  <c r="N77" i="11" a="1"/>
  <c r="N77" i="11" s="1"/>
  <c r="N76" i="11" a="1"/>
  <c r="N76" i="11" s="1"/>
  <c r="N75" i="11" a="1"/>
  <c r="N75" i="11" s="1"/>
  <c r="N74" i="11" a="1"/>
  <c r="N74" i="11" s="1"/>
  <c r="N73" i="11" a="1"/>
  <c r="N73" i="11" s="1"/>
  <c r="N72" i="11" a="1"/>
  <c r="N72" i="11" s="1"/>
  <c r="N71" i="11" a="1"/>
  <c r="N71" i="11" s="1"/>
  <c r="N70" i="11" a="1"/>
  <c r="N70" i="11" s="1"/>
  <c r="N69" i="11" a="1"/>
  <c r="N69" i="11" s="1"/>
  <c r="N68" i="11" a="1"/>
  <c r="N68" i="11" s="1"/>
  <c r="N67" i="11" a="1"/>
  <c r="N67" i="11" s="1"/>
  <c r="N66" i="11" a="1"/>
  <c r="N66" i="11" s="1"/>
  <c r="N65" i="11" a="1"/>
  <c r="N65" i="11" s="1"/>
  <c r="N64" i="11" a="1"/>
  <c r="N64" i="11" s="1"/>
  <c r="N63" i="11" a="1"/>
  <c r="N63" i="11" s="1"/>
  <c r="N62" i="11" a="1"/>
  <c r="N62" i="11" s="1"/>
  <c r="N61" i="11" a="1"/>
  <c r="N61" i="11" s="1"/>
  <c r="N60" i="11" a="1"/>
  <c r="N60" i="11" s="1"/>
  <c r="N59" i="11" a="1"/>
  <c r="N59" i="11" s="1"/>
  <c r="N58" i="11" a="1"/>
  <c r="N58" i="11" s="1"/>
  <c r="N57" i="11" a="1"/>
  <c r="N57" i="11" s="1"/>
  <c r="N56" i="11" a="1"/>
  <c r="N56" i="11" s="1"/>
  <c r="N55" i="11" a="1"/>
  <c r="N55" i="11" s="1"/>
  <c r="N54" i="11" a="1"/>
  <c r="N54" i="11" s="1"/>
  <c r="N53" i="11" a="1"/>
  <c r="N53" i="11" s="1"/>
  <c r="N52" i="11" a="1"/>
  <c r="N52" i="11" s="1"/>
  <c r="N51" i="11" a="1"/>
  <c r="N51" i="11" s="1"/>
  <c r="N50" i="11" a="1"/>
  <c r="N50" i="11" s="1"/>
  <c r="N49" i="11" a="1"/>
  <c r="N49" i="11" s="1"/>
  <c r="N48" i="11" a="1"/>
  <c r="N48" i="11" s="1"/>
  <c r="N47" i="11" a="1"/>
  <c r="N47" i="11" s="1"/>
  <c r="N46" i="11" a="1"/>
  <c r="N46" i="11" s="1"/>
  <c r="N45" i="11" a="1"/>
  <c r="N45" i="11" s="1"/>
  <c r="N44" i="11" a="1"/>
  <c r="N44" i="11" s="1"/>
  <c r="N43" i="11" a="1"/>
  <c r="N43" i="11" s="1"/>
  <c r="N42" i="11" a="1"/>
  <c r="N42" i="11" s="1"/>
  <c r="N41" i="11" a="1"/>
  <c r="N41" i="11" s="1"/>
  <c r="N40" i="11" a="1"/>
  <c r="N40" i="11" s="1"/>
  <c r="N39" i="11" a="1"/>
  <c r="N39" i="11" s="1"/>
  <c r="N38" i="11" a="1"/>
  <c r="N38" i="11" s="1"/>
  <c r="N37" i="11" a="1"/>
  <c r="N37" i="11" s="1"/>
  <c r="N36" i="11" a="1"/>
  <c r="N36" i="11" s="1"/>
  <c r="N35" i="11" a="1"/>
  <c r="N35" i="11" s="1"/>
  <c r="N34" i="11" a="1"/>
  <c r="N34" i="11" s="1"/>
  <c r="N33" i="11" a="1"/>
  <c r="N33" i="11" s="1"/>
  <c r="N32" i="11" a="1"/>
  <c r="N32" i="11" s="1"/>
  <c r="N31" i="11" a="1"/>
  <c r="N31" i="11" s="1"/>
  <c r="N30" i="11" a="1"/>
  <c r="N30" i="11" s="1"/>
  <c r="N29" i="11" a="1"/>
  <c r="N29" i="11" s="1"/>
  <c r="N28" i="11" a="1"/>
  <c r="N28" i="11" s="1"/>
  <c r="N27" i="11" a="1"/>
  <c r="N27" i="11" s="1"/>
  <c r="N26" i="11" a="1"/>
  <c r="N26" i="11" s="1"/>
  <c r="N25" i="11" a="1"/>
  <c r="N25" i="11" s="1"/>
  <c r="N24" i="11" a="1"/>
  <c r="N24" i="11" s="1"/>
  <c r="N23" i="11" a="1"/>
  <c r="N23" i="11" s="1"/>
  <c r="N22" i="11" a="1"/>
  <c r="N22" i="11" s="1"/>
  <c r="N21" i="11" a="1"/>
  <c r="N21" i="11" s="1"/>
  <c r="N20" i="11" a="1"/>
  <c r="N20" i="11" s="1"/>
  <c r="N19" i="11" a="1"/>
  <c r="N19" i="11" s="1"/>
  <c r="N18" i="11" a="1"/>
  <c r="N18" i="11" s="1"/>
  <c r="N17" i="11" a="1"/>
  <c r="N17" i="11" s="1"/>
  <c r="N16" i="11" a="1"/>
  <c r="N16" i="11" s="1"/>
  <c r="N15" i="11" a="1"/>
  <c r="N15" i="11" s="1"/>
  <c r="N14" i="11" a="1"/>
  <c r="N14" i="11" s="1"/>
  <c r="N13" i="11" a="1"/>
  <c r="N13" i="11" s="1"/>
  <c r="N12" i="11" a="1"/>
  <c r="N12" i="11" s="1"/>
  <c r="N10" i="11" a="1"/>
  <c r="N10" i="11" s="1"/>
  <c r="N4" i="11" a="1"/>
  <c r="N4" i="11" s="1"/>
  <c r="N3" i="11" a="1"/>
  <c r="N3" i="11" s="1"/>
  <c r="N5" i="11" a="1"/>
  <c r="N5" i="11" s="1"/>
  <c r="N2" i="11" a="1"/>
  <c r="N2" i="11" s="1"/>
  <c r="N9" i="11" a="1"/>
  <c r="N9" i="11" s="1"/>
  <c r="N11" i="11" a="1"/>
  <c r="N11" i="11" s="1"/>
  <c r="L2" i="10"/>
  <c r="H3" i="11"/>
  <c r="W3" i="11" s="1"/>
  <c r="H4" i="11"/>
  <c r="W4" i="11" s="1"/>
  <c r="H5" i="11"/>
  <c r="W5" i="11" s="1"/>
  <c r="H9" i="11"/>
  <c r="W9" i="11" s="1"/>
  <c r="H10" i="11"/>
  <c r="W10" i="11" s="1"/>
  <c r="H11" i="11"/>
  <c r="W11" i="11" s="1"/>
  <c r="E3" i="11"/>
  <c r="E4" i="11"/>
  <c r="E5" i="11"/>
  <c r="E9" i="11"/>
  <c r="E10" i="11"/>
  <c r="E11" i="11"/>
  <c r="M3" i="11"/>
  <c r="M4" i="11"/>
  <c r="M5" i="11"/>
  <c r="M9" i="11"/>
  <c r="M10" i="11"/>
  <c r="M11" i="11"/>
  <c r="R3" i="11"/>
  <c r="R4" i="11"/>
  <c r="R5" i="11"/>
  <c r="R9" i="11"/>
  <c r="R10" i="11"/>
  <c r="R11" i="11"/>
  <c r="E2" i="11"/>
  <c r="H2" i="11"/>
  <c r="W2" i="11" s="1"/>
  <c r="M2" i="11"/>
  <c r="R2" i="11"/>
  <c r="J34" i="7"/>
  <c r="J33" i="7"/>
  <c r="J35" i="7"/>
  <c r="J31" i="7"/>
  <c r="J30" i="7"/>
  <c r="J32" i="7"/>
  <c r="J28" i="7"/>
  <c r="J27" i="7"/>
  <c r="J29" i="7"/>
  <c r="Q2" i="11" l="1"/>
  <c r="B5" i="34"/>
  <c r="C27" i="12"/>
  <c r="E27" i="12"/>
  <c r="E3" i="12"/>
  <c r="E4" i="12"/>
  <c r="E5" i="12"/>
  <c r="E2" i="12"/>
  <c r="E6" i="12"/>
  <c r="C11" i="12"/>
  <c r="C12" i="12"/>
  <c r="C13" i="12"/>
  <c r="C9" i="12"/>
  <c r="C7" i="12"/>
  <c r="C8" i="12"/>
  <c r="C10" i="12"/>
  <c r="E11" i="12"/>
  <c r="E12" i="12"/>
  <c r="E13" i="12"/>
  <c r="E7" i="12"/>
  <c r="E8" i="12"/>
  <c r="E10" i="12"/>
  <c r="E9" i="12"/>
  <c r="D2" i="13"/>
  <c r="C3" i="12"/>
  <c r="C4" i="12"/>
  <c r="C5" i="12"/>
  <c r="C2" i="12"/>
  <c r="C6" i="12"/>
  <c r="D3" i="13"/>
  <c r="C2" i="10"/>
  <c r="D2" i="10" l="1"/>
  <c r="M2" i="10" l="1"/>
  <c r="N2" i="10"/>
  <c r="Q3" i="11" l="1"/>
  <c r="BO18" i="37"/>
  <c r="BP18" i="37" s="1"/>
  <c r="BO68" i="37"/>
  <c r="BP68" i="37" s="1"/>
  <c r="BO164" i="37"/>
  <c r="BP164" i="37" s="1"/>
  <c r="BO283" i="37"/>
  <c r="BP283" i="37" s="1"/>
  <c r="BO56" i="37"/>
  <c r="BP56" i="37" s="1"/>
  <c r="BO247" i="37"/>
  <c r="BP247" i="37" s="1"/>
  <c r="BO140" i="37"/>
  <c r="BP140" i="37" s="1"/>
  <c r="BO104" i="37"/>
  <c r="BP104" i="37" s="1"/>
  <c r="BO32" i="37"/>
  <c r="BP32" i="37" s="1"/>
  <c r="BO20" i="37"/>
  <c r="BP20" i="37" s="1"/>
  <c r="BO92" i="37"/>
  <c r="BP92" i="37" s="1"/>
  <c r="BO116" i="37"/>
  <c r="BP116" i="37" s="1"/>
  <c r="BO80" i="37"/>
  <c r="BP80" i="37" s="1"/>
  <c r="AG8" i="1"/>
  <c r="AD8" i="1"/>
  <c r="N8" i="1"/>
  <c r="Z8" i="1"/>
  <c r="AZ8" i="32" a="1"/>
  <c r="AZ8" i="32" s="1"/>
  <c r="S8" i="1"/>
  <c r="BO44" i="37"/>
  <c r="BP44" i="37" s="1"/>
  <c r="BO2" i="37"/>
  <c r="BP2" i="37" s="1"/>
  <c r="BO211" i="37"/>
  <c r="BP211" i="37" s="1"/>
  <c r="BO138" i="37"/>
  <c r="BP138" i="37" s="1"/>
  <c r="BO162" i="37"/>
  <c r="BP162" i="37" s="1"/>
  <c r="BO186" i="37"/>
  <c r="BP186" i="37" s="1"/>
  <c r="BO188" i="37"/>
  <c r="BP188" i="37" s="1"/>
  <c r="BO30" i="37"/>
  <c r="BP30" i="37" s="1"/>
  <c r="BO54" i="37"/>
  <c r="BP54" i="37" s="1"/>
  <c r="BO257" i="37"/>
  <c r="BP257" i="37" s="1"/>
  <c r="BO90" i="37"/>
  <c r="BP90" i="37" s="1"/>
  <c r="BO114" i="37"/>
  <c r="BP114" i="37" s="1"/>
  <c r="BO152" i="37"/>
  <c r="BP152" i="37" s="1"/>
  <c r="BO235" i="37"/>
  <c r="BP235" i="37" s="1"/>
  <c r="BO271" i="37"/>
  <c r="BP271" i="37" s="1"/>
  <c r="BO150" i="37"/>
  <c r="BP150" i="37" s="1"/>
  <c r="BO245" i="37"/>
  <c r="BP245" i="37" s="1"/>
  <c r="BO199" i="37"/>
  <c r="BP199" i="37" s="1"/>
  <c r="BO78" i="37"/>
  <c r="BP78" i="37" s="1"/>
  <c r="BO102" i="37"/>
  <c r="BP102" i="37" s="1"/>
  <c r="BO209" i="37"/>
  <c r="BP209" i="37" s="1"/>
  <c r="BO281" i="37"/>
  <c r="BP281" i="37" s="1"/>
  <c r="BO176" i="37"/>
  <c r="BP176" i="37" s="1"/>
  <c r="BO126" i="37"/>
  <c r="BP126" i="37" s="1"/>
  <c r="BO197" i="37"/>
  <c r="BP197" i="37" s="1"/>
  <c r="BO269" i="37"/>
  <c r="BP269" i="37" s="1"/>
  <c r="BO128" i="37"/>
  <c r="BP128" i="37" s="1"/>
  <c r="Z140" i="1"/>
  <c r="AZ235" i="32" a="1"/>
  <c r="AZ235" i="32" s="1"/>
  <c r="N140" i="1"/>
  <c r="S140" i="1"/>
  <c r="AG140" i="1"/>
  <c r="AD140" i="1"/>
  <c r="BO223" i="37"/>
  <c r="BP223" i="37" s="1"/>
  <c r="BO259" i="37"/>
  <c r="BP259" i="37" s="1"/>
  <c r="AZ269" i="32" a="1"/>
  <c r="AZ269" i="32" s="1"/>
  <c r="AG283" i="1"/>
  <c r="N283" i="1"/>
  <c r="Z283" i="1"/>
  <c r="AD283" i="1"/>
  <c r="S283" i="1"/>
  <c r="BO42" i="37"/>
  <c r="BP42" i="37" s="1"/>
  <c r="AG66" i="1"/>
  <c r="AD66" i="1"/>
  <c r="Z66" i="1"/>
  <c r="AZ81" i="32" a="1"/>
  <c r="AZ81" i="32" s="1"/>
  <c r="N66" i="1"/>
  <c r="S66" i="1"/>
  <c r="AZ42" i="32" a="1"/>
  <c r="AZ42" i="32" s="1"/>
  <c r="AG126" i="1"/>
  <c r="AD126" i="1"/>
  <c r="S126" i="1"/>
  <c r="N126" i="1"/>
  <c r="Z126" i="1"/>
  <c r="BO221" i="37"/>
  <c r="BP221" i="37" s="1"/>
  <c r="Z233" i="1"/>
  <c r="AZ289" i="32" a="1"/>
  <c r="AZ289" i="32" s="1"/>
  <c r="AD233" i="1"/>
  <c r="N233" i="1"/>
  <c r="S233" i="1"/>
  <c r="AG233" i="1"/>
  <c r="N247" i="1"/>
  <c r="AZ152" i="32" a="1"/>
  <c r="AZ152" i="32" s="1"/>
  <c r="AD247" i="1"/>
  <c r="Z247" i="1"/>
  <c r="S247" i="1"/>
  <c r="AG247" i="1"/>
  <c r="BO8" i="37"/>
  <c r="BP8" i="37" s="1"/>
  <c r="N20" i="1"/>
  <c r="AD20" i="1"/>
  <c r="AZ85" i="32" a="1"/>
  <c r="AZ85" i="32" s="1"/>
  <c r="S20" i="1"/>
  <c r="AG20" i="1"/>
  <c r="Z20" i="1"/>
  <c r="N32" i="1"/>
  <c r="AD32" i="1"/>
  <c r="AZ87" i="32" a="1"/>
  <c r="AZ87" i="32" s="1"/>
  <c r="Z32" i="1"/>
  <c r="AG32" i="1"/>
  <c r="S32" i="1"/>
  <c r="AG44" i="1"/>
  <c r="AD44" i="1"/>
  <c r="N44" i="1"/>
  <c r="S44" i="1"/>
  <c r="Z44" i="1"/>
  <c r="AZ131" i="32" a="1"/>
  <c r="AZ131" i="32" s="1"/>
  <c r="AD56" i="1"/>
  <c r="Z56" i="1"/>
  <c r="N56" i="1"/>
  <c r="AZ71" i="32" a="1"/>
  <c r="AZ71" i="32" s="1"/>
  <c r="AG56" i="1"/>
  <c r="S56" i="1"/>
  <c r="AD68" i="1"/>
  <c r="Z68" i="1"/>
  <c r="N68" i="1"/>
  <c r="AZ151" i="32" a="1"/>
  <c r="AZ151" i="32" s="1"/>
  <c r="AG68" i="1"/>
  <c r="S68" i="1"/>
  <c r="S80" i="1"/>
  <c r="Z80" i="1"/>
  <c r="N80" i="1"/>
  <c r="AG80" i="1"/>
  <c r="AZ198" i="32" a="1"/>
  <c r="AZ198" i="32" s="1"/>
  <c r="AD80" i="1"/>
  <c r="AG92" i="1"/>
  <c r="AZ46" i="32" a="1"/>
  <c r="AZ46" i="32" s="1"/>
  <c r="Z92" i="1"/>
  <c r="N92" i="1"/>
  <c r="AD92" i="1"/>
  <c r="S92" i="1"/>
  <c r="AD104" i="1"/>
  <c r="AZ160" i="32" a="1"/>
  <c r="AZ160" i="32" s="1"/>
  <c r="S104" i="1"/>
  <c r="AG104" i="1"/>
  <c r="N104" i="1"/>
  <c r="Z104" i="1"/>
  <c r="AZ58" i="32" a="1"/>
  <c r="AZ58" i="32" s="1"/>
  <c r="N116" i="1"/>
  <c r="AG116" i="1"/>
  <c r="AD116" i="1"/>
  <c r="Z116" i="1"/>
  <c r="S116" i="1"/>
  <c r="AZ44" i="32" a="1"/>
  <c r="AZ44" i="32" s="1"/>
  <c r="AD128" i="1"/>
  <c r="AG128" i="1"/>
  <c r="Z128" i="1"/>
  <c r="N128" i="1"/>
  <c r="S128" i="1"/>
  <c r="AD152" i="1"/>
  <c r="S152" i="1"/>
  <c r="AG152" i="1"/>
  <c r="Z152" i="1"/>
  <c r="N152" i="1"/>
  <c r="AZ220" i="32" a="1"/>
  <c r="AZ220" i="32" s="1"/>
  <c r="AG164" i="1"/>
  <c r="Z164" i="1"/>
  <c r="AZ242" i="32" a="1"/>
  <c r="AZ242" i="32" s="1"/>
  <c r="AD164" i="1"/>
  <c r="N164" i="1"/>
  <c r="S164" i="1"/>
  <c r="Z176" i="1"/>
  <c r="AZ262" i="32" a="1"/>
  <c r="AZ262" i="32" s="1"/>
  <c r="N176" i="1"/>
  <c r="S176" i="1"/>
  <c r="AG176" i="1"/>
  <c r="AD176" i="1"/>
  <c r="AG188" i="1"/>
  <c r="Z188" i="1"/>
  <c r="N188" i="1"/>
  <c r="AZ278" i="32" a="1"/>
  <c r="AZ278" i="32" s="1"/>
  <c r="AD188" i="1"/>
  <c r="S188" i="1"/>
  <c r="AZ15" i="32" a="1"/>
  <c r="AZ15" i="32" s="1"/>
  <c r="N199" i="1"/>
  <c r="AD199" i="1"/>
  <c r="S199" i="1"/>
  <c r="AG199" i="1"/>
  <c r="Z199" i="1"/>
  <c r="Z211" i="1"/>
  <c r="S211" i="1"/>
  <c r="AG211" i="1"/>
  <c r="N211" i="1"/>
  <c r="AD211" i="1"/>
  <c r="AZ113" i="32" a="1"/>
  <c r="AZ113" i="32" s="1"/>
  <c r="AD223" i="1"/>
  <c r="Z223" i="1"/>
  <c r="S223" i="1"/>
  <c r="AZ120" i="32" a="1"/>
  <c r="AZ120" i="32" s="1"/>
  <c r="AG223" i="1"/>
  <c r="N223" i="1"/>
  <c r="AG235" i="1"/>
  <c r="Z235" i="1"/>
  <c r="AZ291" i="32" a="1"/>
  <c r="AZ291" i="32" s="1"/>
  <c r="AD235" i="1"/>
  <c r="N235" i="1"/>
  <c r="S235" i="1"/>
  <c r="AG259" i="1"/>
  <c r="Z259" i="1"/>
  <c r="N259" i="1"/>
  <c r="AZ183" i="32" a="1"/>
  <c r="AZ183" i="32" s="1"/>
  <c r="S259" i="1"/>
  <c r="AD259" i="1"/>
  <c r="S271" i="1"/>
  <c r="AD271" i="1"/>
  <c r="AG271" i="1"/>
  <c r="Z271" i="1"/>
  <c r="N271" i="1"/>
  <c r="AZ195" i="32" a="1"/>
  <c r="AZ195" i="32" s="1"/>
  <c r="S6" i="1"/>
  <c r="N6" i="1"/>
  <c r="Z6" i="1"/>
  <c r="AZ6" i="32" a="1"/>
  <c r="AZ6" i="32" s="1"/>
  <c r="AG6" i="1"/>
  <c r="AD6" i="1"/>
  <c r="BO6" i="37"/>
  <c r="BP6" i="37" s="1"/>
  <c r="AD18" i="1"/>
  <c r="AZ24" i="32" a="1"/>
  <c r="AZ24" i="32" s="1"/>
  <c r="Z18" i="1"/>
  <c r="S18" i="1"/>
  <c r="AG18" i="1"/>
  <c r="N18" i="1"/>
  <c r="N30" i="1"/>
  <c r="Z30" i="1"/>
  <c r="AG30" i="1"/>
  <c r="AZ36" i="32" a="1"/>
  <c r="AZ36" i="32" s="1"/>
  <c r="AD30" i="1"/>
  <c r="S30" i="1"/>
  <c r="N42" i="1"/>
  <c r="AD42" i="1"/>
  <c r="Z42" i="1"/>
  <c r="S42" i="1"/>
  <c r="AG42" i="1"/>
  <c r="AZ107" i="32" a="1"/>
  <c r="AZ107" i="32" s="1"/>
  <c r="N54" i="1"/>
  <c r="Z54" i="1"/>
  <c r="AZ69" i="32" a="1"/>
  <c r="AZ69" i="32" s="1"/>
  <c r="AG54" i="1"/>
  <c r="AD54" i="1"/>
  <c r="S54" i="1"/>
  <c r="BO66" i="37"/>
  <c r="BP66" i="37" s="1"/>
  <c r="Z78" i="1"/>
  <c r="AZ176" i="32" a="1"/>
  <c r="AZ176" i="32" s="1"/>
  <c r="S78" i="1"/>
  <c r="AG78" i="1"/>
  <c r="AD78" i="1"/>
  <c r="N78" i="1"/>
  <c r="Z90" i="1"/>
  <c r="AZ102" i="32" a="1"/>
  <c r="AZ102" i="32" s="1"/>
  <c r="S90" i="1"/>
  <c r="AG90" i="1"/>
  <c r="AD90" i="1"/>
  <c r="N90" i="1"/>
  <c r="AD102" i="1"/>
  <c r="AZ158" i="32" a="1"/>
  <c r="AZ158" i="32" s="1"/>
  <c r="S102" i="1"/>
  <c r="AG102" i="1"/>
  <c r="N102" i="1"/>
  <c r="Z102" i="1"/>
  <c r="S114" i="1"/>
  <c r="N114" i="1"/>
  <c r="AG114" i="1"/>
  <c r="Z114" i="1"/>
  <c r="AZ51" i="32" a="1"/>
  <c r="AZ51" i="32" s="1"/>
  <c r="AD114" i="1"/>
  <c r="S138" i="1"/>
  <c r="Z138" i="1"/>
  <c r="AZ216" i="32" a="1"/>
  <c r="AZ216" i="32" s="1"/>
  <c r="AD138" i="1"/>
  <c r="N138" i="1"/>
  <c r="AG138" i="1"/>
  <c r="AZ256" i="32" a="1"/>
  <c r="AZ256" i="32" s="1"/>
  <c r="S150" i="1"/>
  <c r="N150" i="1"/>
  <c r="AD150" i="1"/>
  <c r="Z150" i="1"/>
  <c r="AG150" i="1"/>
  <c r="Z162" i="1"/>
  <c r="AD162" i="1"/>
  <c r="N162" i="1"/>
  <c r="AZ240" i="32" a="1"/>
  <c r="AZ240" i="32" s="1"/>
  <c r="AG162" i="1"/>
  <c r="S162" i="1"/>
  <c r="N174" i="1"/>
  <c r="Z174" i="1"/>
  <c r="AZ260" i="32" a="1"/>
  <c r="AZ260" i="32" s="1"/>
  <c r="AD174" i="1"/>
  <c r="S174" i="1"/>
  <c r="AG174" i="1"/>
  <c r="BO174" i="37"/>
  <c r="BP174" i="37" s="1"/>
  <c r="S186" i="1"/>
  <c r="AD186" i="1"/>
  <c r="AG186" i="1"/>
  <c r="N186" i="1"/>
  <c r="Z186" i="1"/>
  <c r="AZ276" i="32" a="1"/>
  <c r="AZ276" i="32" s="1"/>
  <c r="Z197" i="1"/>
  <c r="AG197" i="1"/>
  <c r="AZ13" i="32" a="1"/>
  <c r="AZ13" i="32" s="1"/>
  <c r="AD197" i="1"/>
  <c r="S197" i="1"/>
  <c r="N197" i="1"/>
  <c r="AZ111" i="32" a="1"/>
  <c r="AZ111" i="32" s="1"/>
  <c r="AG209" i="1"/>
  <c r="S209" i="1"/>
  <c r="N209" i="1"/>
  <c r="AD209" i="1"/>
  <c r="Z209" i="1"/>
  <c r="AZ127" i="32" a="1"/>
  <c r="AZ127" i="32" s="1"/>
  <c r="S221" i="1"/>
  <c r="AG221" i="1"/>
  <c r="Z221" i="1"/>
  <c r="N221" i="1"/>
  <c r="AD221" i="1"/>
  <c r="BO233" i="37"/>
  <c r="BP233" i="37" s="1"/>
  <c r="S245" i="1"/>
  <c r="AD245" i="1"/>
  <c r="N245" i="1"/>
  <c r="Z245" i="1"/>
  <c r="AG245" i="1"/>
  <c r="AZ140" i="32" a="1"/>
  <c r="AZ140" i="32" s="1"/>
  <c r="AD257" i="1"/>
  <c r="Z257" i="1"/>
  <c r="N257" i="1"/>
  <c r="AZ181" i="32" a="1"/>
  <c r="AZ181" i="32" s="1"/>
  <c r="S257" i="1"/>
  <c r="AG257" i="1"/>
  <c r="AD269" i="1"/>
  <c r="N269" i="1"/>
  <c r="Z269" i="1"/>
  <c r="AZ193" i="32" a="1"/>
  <c r="AZ193" i="32" s="1"/>
  <c r="S269" i="1"/>
  <c r="AG269" i="1"/>
  <c r="Z281" i="1"/>
  <c r="AZ205" i="32" a="1"/>
  <c r="AZ205" i="32" s="1"/>
  <c r="N281" i="1"/>
  <c r="S281" i="1"/>
  <c r="AG281" i="1"/>
  <c r="AD281" i="1"/>
  <c r="BO74" i="37"/>
  <c r="BP74" i="37" s="1"/>
  <c r="BO26" i="37"/>
  <c r="BP26" i="37" s="1"/>
  <c r="BO158" i="37"/>
  <c r="BP158" i="37" s="1"/>
  <c r="BO241" i="37"/>
  <c r="BP241" i="37" s="1"/>
  <c r="BO229" i="37"/>
  <c r="BP229" i="37" s="1"/>
  <c r="BO81" i="37"/>
  <c r="BP81" i="37" s="1"/>
  <c r="BO177" i="37"/>
  <c r="BP177" i="37" s="1"/>
  <c r="BO110" i="37"/>
  <c r="BP110" i="37" s="1"/>
  <c r="BO146" i="37"/>
  <c r="BP146" i="37" s="1"/>
  <c r="BO57" i="37"/>
  <c r="BP57" i="37" s="1"/>
  <c r="BO38" i="37"/>
  <c r="BP38" i="37" s="1"/>
  <c r="BO134" i="37"/>
  <c r="BP134" i="37" s="1"/>
  <c r="BO14" i="37"/>
  <c r="BP14" i="37" s="1"/>
  <c r="BO50" i="37"/>
  <c r="BP50" i="37" s="1"/>
  <c r="BO277" i="37"/>
  <c r="BP277" i="37" s="1"/>
  <c r="BO9" i="37"/>
  <c r="BP9" i="37" s="1"/>
  <c r="BO33" i="37"/>
  <c r="BP33" i="37" s="1"/>
  <c r="BO141" i="37"/>
  <c r="BP141" i="37" s="1"/>
  <c r="BO205" i="37"/>
  <c r="BP205" i="37" s="1"/>
  <c r="BO265" i="37"/>
  <c r="BP265" i="37" s="1"/>
  <c r="BO170" i="37"/>
  <c r="BP170" i="37" s="1"/>
  <c r="BO217" i="37"/>
  <c r="BP217" i="37" s="1"/>
  <c r="BO21" i="37"/>
  <c r="BP21" i="37" s="1"/>
  <c r="BO200" i="37"/>
  <c r="BP200" i="37" s="1"/>
  <c r="BO122" i="37"/>
  <c r="BP122" i="37" s="1"/>
  <c r="BO246" i="37"/>
  <c r="BP246" i="37" s="1"/>
  <c r="BO43" i="37"/>
  <c r="BP43" i="37" s="1"/>
  <c r="AG14" i="1"/>
  <c r="S14" i="1"/>
  <c r="AD14" i="1"/>
  <c r="Z14" i="1"/>
  <c r="AZ20" i="32" a="1"/>
  <c r="AZ20" i="32" s="1"/>
  <c r="N14" i="1"/>
  <c r="S38" i="1"/>
  <c r="AG38" i="1"/>
  <c r="AD38" i="1"/>
  <c r="Z38" i="1"/>
  <c r="N38" i="1"/>
  <c r="AZ93" i="32" a="1"/>
  <c r="AZ93" i="32" s="1"/>
  <c r="BO62" i="37"/>
  <c r="BP62" i="37" s="1"/>
  <c r="BO86" i="37"/>
  <c r="BP86" i="37" s="1"/>
  <c r="AZ146" i="32" a="1"/>
  <c r="AZ146" i="32" s="1"/>
  <c r="S98" i="1"/>
  <c r="N98" i="1"/>
  <c r="Z98" i="1"/>
  <c r="AD98" i="1"/>
  <c r="AG98" i="1"/>
  <c r="S134" i="1"/>
  <c r="AG134" i="1"/>
  <c r="Z134" i="1"/>
  <c r="AD134" i="1"/>
  <c r="N134" i="1"/>
  <c r="AZ212" i="32" a="1"/>
  <c r="AZ212" i="32" s="1"/>
  <c r="BO182" i="37"/>
  <c r="BP182" i="37" s="1"/>
  <c r="BO193" i="37"/>
  <c r="BP193" i="37" s="1"/>
  <c r="BO253" i="37"/>
  <c r="BP253" i="37" s="1"/>
  <c r="S277" i="1"/>
  <c r="AG277" i="1"/>
  <c r="AD277" i="1"/>
  <c r="Z277" i="1"/>
  <c r="AZ201" i="32" a="1"/>
  <c r="AZ201" i="32" s="1"/>
  <c r="N277" i="1"/>
  <c r="N26" i="1"/>
  <c r="Z26" i="1"/>
  <c r="AG26" i="1"/>
  <c r="AZ32" i="32" a="1"/>
  <c r="AZ32" i="32" s="1"/>
  <c r="AD26" i="1"/>
  <c r="S26" i="1"/>
  <c r="N50" i="1"/>
  <c r="S50" i="1"/>
  <c r="Z50" i="1"/>
  <c r="AZ65" i="32" a="1"/>
  <c r="AZ65" i="32" s="1"/>
  <c r="AG50" i="1"/>
  <c r="AD50" i="1"/>
  <c r="N62" i="1"/>
  <c r="Z62" i="1"/>
  <c r="AD62" i="1"/>
  <c r="AZ77" i="32" a="1"/>
  <c r="AZ77" i="32" s="1"/>
  <c r="S62" i="1"/>
  <c r="AG62" i="1"/>
  <c r="AZ172" i="32" a="1"/>
  <c r="AZ172" i="32" s="1"/>
  <c r="AG74" i="1"/>
  <c r="S74" i="1"/>
  <c r="AD74" i="1"/>
  <c r="Z74" i="1"/>
  <c r="N74" i="1"/>
  <c r="AG86" i="1"/>
  <c r="AD86" i="1"/>
  <c r="Z86" i="1"/>
  <c r="N86" i="1"/>
  <c r="AZ98" i="32" a="1"/>
  <c r="AZ98" i="32" s="1"/>
  <c r="S86" i="1"/>
  <c r="BO98" i="37"/>
  <c r="BP98" i="37" s="1"/>
  <c r="AG110" i="1"/>
  <c r="N110" i="1"/>
  <c r="Z110" i="1"/>
  <c r="AD110" i="1"/>
  <c r="AZ166" i="32" a="1"/>
  <c r="AZ166" i="32" s="1"/>
  <c r="S110" i="1"/>
  <c r="AG122" i="1"/>
  <c r="N122" i="1"/>
  <c r="Z122" i="1"/>
  <c r="AZ38" i="32" a="1"/>
  <c r="AZ38" i="32" s="1"/>
  <c r="AD122" i="1"/>
  <c r="S122" i="1"/>
  <c r="AD146" i="1"/>
  <c r="Z146" i="1"/>
  <c r="N146" i="1"/>
  <c r="AZ231" i="32" a="1"/>
  <c r="AZ231" i="32" s="1"/>
  <c r="S146" i="1"/>
  <c r="AG146" i="1"/>
  <c r="AG158" i="1"/>
  <c r="Z158" i="1"/>
  <c r="AZ236" i="32" a="1"/>
  <c r="AZ236" i="32" s="1"/>
  <c r="N158" i="1"/>
  <c r="S158" i="1"/>
  <c r="AD158" i="1"/>
  <c r="AD170" i="1"/>
  <c r="Z170" i="1"/>
  <c r="AZ248" i="32" a="1"/>
  <c r="AZ248" i="32" s="1"/>
  <c r="S170" i="1"/>
  <c r="N170" i="1"/>
  <c r="AG170" i="1"/>
  <c r="Z182" i="1"/>
  <c r="AZ272" i="32" a="1"/>
  <c r="AZ272" i="32" s="1"/>
  <c r="S182" i="1"/>
  <c r="AD182" i="1"/>
  <c r="N182" i="1"/>
  <c r="AG182" i="1"/>
  <c r="Z193" i="1"/>
  <c r="AD193" i="1"/>
  <c r="AZ9" i="32" a="1"/>
  <c r="AZ9" i="32" s="1"/>
  <c r="S193" i="1"/>
  <c r="N193" i="1"/>
  <c r="AG193" i="1"/>
  <c r="S205" i="1"/>
  <c r="AZ250" i="32" a="1"/>
  <c r="AZ250" i="32" s="1"/>
  <c r="N205" i="1"/>
  <c r="AD205" i="1"/>
  <c r="AG205" i="1"/>
  <c r="Z205" i="1"/>
  <c r="AD217" i="1"/>
  <c r="S217" i="1"/>
  <c r="N217" i="1"/>
  <c r="AG217" i="1"/>
  <c r="AZ123" i="32" a="1"/>
  <c r="AZ123" i="32" s="1"/>
  <c r="Z217" i="1"/>
  <c r="N229" i="1"/>
  <c r="AD229" i="1"/>
  <c r="Z229" i="1"/>
  <c r="AZ118" i="32" a="1"/>
  <c r="AZ118" i="32" s="1"/>
  <c r="AG229" i="1"/>
  <c r="S229" i="1"/>
  <c r="AD241" i="1"/>
  <c r="Z241" i="1"/>
  <c r="AG241" i="1"/>
  <c r="AZ136" i="32" a="1"/>
  <c r="AZ136" i="32" s="1"/>
  <c r="N241" i="1"/>
  <c r="S241" i="1"/>
  <c r="Z253" i="1"/>
  <c r="AG253" i="1"/>
  <c r="AZ177" i="32" a="1"/>
  <c r="AZ177" i="32" s="1"/>
  <c r="AD253" i="1"/>
  <c r="S253" i="1"/>
  <c r="N253" i="1"/>
  <c r="AZ189" i="32" a="1"/>
  <c r="AZ189" i="32" s="1"/>
  <c r="AG265" i="1"/>
  <c r="N265" i="1"/>
  <c r="S265" i="1"/>
  <c r="AD265" i="1"/>
  <c r="Z265" i="1"/>
  <c r="BO115" i="37"/>
  <c r="BP115" i="37" s="1"/>
  <c r="BO151" i="37"/>
  <c r="BP151" i="37" s="1"/>
  <c r="BO210" i="37"/>
  <c r="BP210" i="37" s="1"/>
  <c r="BO47" i="37"/>
  <c r="BP47" i="37" s="1"/>
  <c r="BO23" i="37"/>
  <c r="BP23" i="37" s="1"/>
  <c r="BO91" i="37"/>
  <c r="BP91" i="37" s="1"/>
  <c r="BO11" i="37"/>
  <c r="BP11" i="37" s="1"/>
  <c r="BO248" i="37"/>
  <c r="BP248" i="37" s="1"/>
  <c r="BO284" i="37"/>
  <c r="BP284" i="37" s="1"/>
  <c r="BO127" i="37"/>
  <c r="BP127" i="37" s="1"/>
  <c r="BO163" i="37"/>
  <c r="BP163" i="37" s="1"/>
  <c r="BO15" i="37"/>
  <c r="BP15" i="37" s="1"/>
  <c r="BO189" i="37"/>
  <c r="BP189" i="37" s="1"/>
  <c r="BO45" i="37"/>
  <c r="BP45" i="37" s="1"/>
  <c r="BO129" i="37"/>
  <c r="BP129" i="37" s="1"/>
  <c r="BO153" i="37"/>
  <c r="BP153" i="37" s="1"/>
  <c r="BO224" i="37"/>
  <c r="BP224" i="37" s="1"/>
  <c r="BO67" i="37"/>
  <c r="BP67" i="37" s="1"/>
  <c r="BO175" i="37"/>
  <c r="BP175" i="37" s="1"/>
  <c r="BO282" i="37"/>
  <c r="BP282" i="37" s="1"/>
  <c r="BO51" i="37"/>
  <c r="BP51" i="37" s="1"/>
  <c r="BO167" i="37"/>
  <c r="BP167" i="37" s="1"/>
  <c r="BO117" i="37"/>
  <c r="BP117" i="37" s="1"/>
  <c r="BO31" i="37"/>
  <c r="BP31" i="37" s="1"/>
  <c r="BO139" i="37"/>
  <c r="BP139" i="37" s="1"/>
  <c r="BO198" i="37"/>
  <c r="BP198" i="37" s="1"/>
  <c r="BO222" i="37"/>
  <c r="BP222" i="37" s="1"/>
  <c r="BO258" i="37"/>
  <c r="BP258" i="37" s="1"/>
  <c r="BO39" i="37"/>
  <c r="BP39" i="37" s="1"/>
  <c r="BO63" i="37"/>
  <c r="BP63" i="37" s="1"/>
  <c r="BO71" i="37"/>
  <c r="BP71" i="37" s="1"/>
  <c r="BO105" i="37"/>
  <c r="BP105" i="37" s="1"/>
  <c r="BO272" i="37"/>
  <c r="BP272" i="37" s="1"/>
  <c r="BO19" i="37"/>
  <c r="BP19" i="37" s="1"/>
  <c r="BO55" i="37"/>
  <c r="BP55" i="37" s="1"/>
  <c r="BO103" i="37"/>
  <c r="BP103" i="37" s="1"/>
  <c r="BO234" i="37"/>
  <c r="BP234" i="37" s="1"/>
  <c r="BO270" i="37"/>
  <c r="BP270" i="37" s="1"/>
  <c r="AZ23" i="32" a="1"/>
  <c r="AZ23" i="32" s="1"/>
  <c r="S9" i="1"/>
  <c r="AG9" i="1"/>
  <c r="AD9" i="1"/>
  <c r="N9" i="1"/>
  <c r="Z9" i="1"/>
  <c r="BO212" i="37"/>
  <c r="BP212" i="37" s="1"/>
  <c r="BO187" i="37"/>
  <c r="BP187" i="37" s="1"/>
  <c r="AD21" i="1"/>
  <c r="Z21" i="1"/>
  <c r="AZ37" i="32" a="1"/>
  <c r="AZ37" i="32" s="1"/>
  <c r="S21" i="1"/>
  <c r="AG21" i="1"/>
  <c r="N21" i="1"/>
  <c r="AG33" i="1"/>
  <c r="AZ88" i="32" a="1"/>
  <c r="AZ88" i="32" s="1"/>
  <c r="N33" i="1"/>
  <c r="AD33" i="1"/>
  <c r="Z33" i="1"/>
  <c r="S33" i="1"/>
  <c r="S45" i="1"/>
  <c r="N45" i="1"/>
  <c r="Z45" i="1"/>
  <c r="AZ52" i="32" a="1"/>
  <c r="AZ52" i="32" s="1"/>
  <c r="AG45" i="1"/>
  <c r="AD45" i="1"/>
  <c r="AG177" i="1"/>
  <c r="AD177" i="1"/>
  <c r="Z177" i="1"/>
  <c r="AZ263" i="32" a="1"/>
  <c r="AZ263" i="32" s="1"/>
  <c r="N177" i="1"/>
  <c r="S177" i="1"/>
  <c r="AD200" i="1"/>
  <c r="Z200" i="1"/>
  <c r="AG200" i="1"/>
  <c r="AZ53" i="32" a="1"/>
  <c r="AZ53" i="32" s="1"/>
  <c r="N200" i="1"/>
  <c r="S200" i="1"/>
  <c r="N246" i="1"/>
  <c r="Z246" i="1"/>
  <c r="AZ141" i="32" a="1"/>
  <c r="AZ141" i="32" s="1"/>
  <c r="AG246" i="1"/>
  <c r="AD246" i="1"/>
  <c r="S246" i="1"/>
  <c r="BO202" i="37"/>
  <c r="BP202" i="37" s="1"/>
  <c r="N57" i="1"/>
  <c r="AZ72" i="32" a="1"/>
  <c r="AZ72" i="32" s="1"/>
  <c r="Z57" i="1"/>
  <c r="AD57" i="1"/>
  <c r="S57" i="1"/>
  <c r="AG57" i="1"/>
  <c r="BO69" i="37"/>
  <c r="BP69" i="37" s="1"/>
  <c r="AG81" i="1"/>
  <c r="Z81" i="1"/>
  <c r="N81" i="1"/>
  <c r="AZ103" i="32" a="1"/>
  <c r="AZ103" i="32" s="1"/>
  <c r="AD81" i="1"/>
  <c r="S81" i="1"/>
  <c r="AD117" i="1"/>
  <c r="N117" i="1"/>
  <c r="S117" i="1"/>
  <c r="AG117" i="1"/>
  <c r="Z117" i="1"/>
  <c r="AZ59" i="32" a="1"/>
  <c r="AZ59" i="32" s="1"/>
  <c r="N141" i="1"/>
  <c r="AD141" i="1"/>
  <c r="Z141" i="1"/>
  <c r="AZ226" i="32" a="1"/>
  <c r="AZ226" i="32" s="1"/>
  <c r="S141" i="1"/>
  <c r="AG141" i="1"/>
  <c r="AD165" i="1"/>
  <c r="Z165" i="1"/>
  <c r="AG165" i="1"/>
  <c r="N165" i="1"/>
  <c r="AZ243" i="32" a="1"/>
  <c r="AZ243" i="32" s="1"/>
  <c r="S165" i="1"/>
  <c r="AG236" i="1"/>
  <c r="Z236" i="1"/>
  <c r="S236" i="1"/>
  <c r="AZ292" i="32" a="1"/>
  <c r="AZ292" i="32" s="1"/>
  <c r="AD236" i="1"/>
  <c r="N236" i="1"/>
  <c r="AG260" i="1"/>
  <c r="N260" i="1"/>
  <c r="Z260" i="1"/>
  <c r="AZ184" i="32" a="1"/>
  <c r="AZ184" i="32" s="1"/>
  <c r="AD260" i="1"/>
  <c r="S260" i="1"/>
  <c r="AD7" i="1"/>
  <c r="Z7" i="1"/>
  <c r="AG7" i="1"/>
  <c r="AZ7" i="32" a="1"/>
  <c r="AZ7" i="32" s="1"/>
  <c r="N7" i="1"/>
  <c r="S7" i="1"/>
  <c r="N79" i="1"/>
  <c r="AD79" i="1"/>
  <c r="AG79" i="1"/>
  <c r="Z79" i="1"/>
  <c r="AZ197" i="32" a="1"/>
  <c r="AZ197" i="32" s="1"/>
  <c r="S79" i="1"/>
  <c r="Z69" i="1"/>
  <c r="AD69" i="1"/>
  <c r="AZ167" i="32" a="1"/>
  <c r="AZ167" i="32" s="1"/>
  <c r="N69" i="1"/>
  <c r="S69" i="1"/>
  <c r="AG69" i="1"/>
  <c r="Z93" i="1"/>
  <c r="N93" i="1"/>
  <c r="AG93" i="1"/>
  <c r="AZ132" i="32" a="1"/>
  <c r="AZ132" i="32" s="1"/>
  <c r="AD93" i="1"/>
  <c r="S93" i="1"/>
  <c r="BO93" i="37"/>
  <c r="BP93" i="37" s="1"/>
  <c r="AZ161" i="32" a="1"/>
  <c r="AZ161" i="32" s="1"/>
  <c r="AD105" i="1"/>
  <c r="Z105" i="1"/>
  <c r="S105" i="1"/>
  <c r="AG105" i="1"/>
  <c r="N105" i="1"/>
  <c r="S129" i="1"/>
  <c r="N129" i="1"/>
  <c r="AD129" i="1"/>
  <c r="Z129" i="1"/>
  <c r="AG129" i="1"/>
  <c r="AZ207" i="32" a="1"/>
  <c r="AZ207" i="32" s="1"/>
  <c r="Z153" i="1"/>
  <c r="S153" i="1"/>
  <c r="AG153" i="1"/>
  <c r="N153" i="1"/>
  <c r="AD153" i="1"/>
  <c r="AZ221" i="32" a="1"/>
  <c r="AZ221" i="32" s="1"/>
  <c r="BO165" i="37"/>
  <c r="BP165" i="37" s="1"/>
  <c r="Z189" i="1"/>
  <c r="S189" i="1"/>
  <c r="AZ279" i="32" a="1"/>
  <c r="AZ279" i="32" s="1"/>
  <c r="N189" i="1"/>
  <c r="AG189" i="1"/>
  <c r="AD189" i="1"/>
  <c r="AG212" i="1"/>
  <c r="AD212" i="1"/>
  <c r="Z212" i="1"/>
  <c r="AZ114" i="32" a="1"/>
  <c r="AZ114" i="32" s="1"/>
  <c r="S212" i="1"/>
  <c r="N212" i="1"/>
  <c r="S224" i="1"/>
  <c r="N224" i="1"/>
  <c r="Z224" i="1"/>
  <c r="AD224" i="1"/>
  <c r="AG224" i="1"/>
  <c r="AZ121" i="32" a="1"/>
  <c r="AZ121" i="32" s="1"/>
  <c r="BO236" i="37"/>
  <c r="BP236" i="37" s="1"/>
  <c r="AG248" i="1"/>
  <c r="N248" i="1"/>
  <c r="Z248" i="1"/>
  <c r="AZ153" i="32" a="1"/>
  <c r="AZ153" i="32" s="1"/>
  <c r="AD248" i="1"/>
  <c r="S248" i="1"/>
  <c r="BO260" i="37"/>
  <c r="BP260" i="37" s="1"/>
  <c r="AZ196" i="32" a="1"/>
  <c r="AZ196" i="32" s="1"/>
  <c r="Z272" i="1"/>
  <c r="S272" i="1"/>
  <c r="AG272" i="1"/>
  <c r="N272" i="1"/>
  <c r="AD272" i="1"/>
  <c r="AG284" i="1"/>
  <c r="N284" i="1"/>
  <c r="Z284" i="1"/>
  <c r="AZ270" i="32" a="1"/>
  <c r="AZ270" i="32" s="1"/>
  <c r="AD284" i="1"/>
  <c r="S284" i="1"/>
  <c r="BO7" i="37"/>
  <c r="BP7" i="37" s="1"/>
  <c r="AZ25" i="32" a="1"/>
  <c r="AZ25" i="32" s="1"/>
  <c r="AD19" i="1"/>
  <c r="Z19" i="1"/>
  <c r="S19" i="1"/>
  <c r="AG19" i="1"/>
  <c r="N19" i="1"/>
  <c r="AG31" i="1"/>
  <c r="N31" i="1"/>
  <c r="AZ86" i="32" a="1"/>
  <c r="AZ86" i="32" s="1"/>
  <c r="S31" i="1"/>
  <c r="Z31" i="1"/>
  <c r="AD31" i="1"/>
  <c r="AD43" i="1"/>
  <c r="AG43" i="1"/>
  <c r="N43" i="1"/>
  <c r="AZ130" i="32" a="1"/>
  <c r="AZ130" i="32" s="1"/>
  <c r="Z43" i="1"/>
  <c r="S43" i="1"/>
  <c r="AZ70" i="32" a="1"/>
  <c r="AZ70" i="32" s="1"/>
  <c r="N55" i="1"/>
  <c r="Z55" i="1"/>
  <c r="S55" i="1"/>
  <c r="AG55" i="1"/>
  <c r="AD55" i="1"/>
  <c r="S67" i="1"/>
  <c r="AG67" i="1"/>
  <c r="Z67" i="1"/>
  <c r="N67" i="1"/>
  <c r="AZ82" i="32" a="1"/>
  <c r="AZ82" i="32" s="1"/>
  <c r="AD67" i="1"/>
  <c r="BO79" i="37"/>
  <c r="BP79" i="37" s="1"/>
  <c r="AZ45" i="32" a="1"/>
  <c r="AZ45" i="32" s="1"/>
  <c r="AG91" i="1"/>
  <c r="Z91" i="1"/>
  <c r="N91" i="1"/>
  <c r="AD91" i="1"/>
  <c r="S91" i="1"/>
  <c r="S103" i="1"/>
  <c r="AD103" i="1"/>
  <c r="AG103" i="1"/>
  <c r="N103" i="1"/>
  <c r="Z103" i="1"/>
  <c r="AZ159" i="32" a="1"/>
  <c r="AZ159" i="32" s="1"/>
  <c r="AZ57" i="32" a="1"/>
  <c r="AZ57" i="32" s="1"/>
  <c r="N115" i="1"/>
  <c r="Z115" i="1"/>
  <c r="AD115" i="1"/>
  <c r="AG115" i="1"/>
  <c r="S115" i="1"/>
  <c r="AD127" i="1"/>
  <c r="AG127" i="1"/>
  <c r="Z127" i="1"/>
  <c r="AZ43" i="32" a="1"/>
  <c r="AZ43" i="32" s="1"/>
  <c r="N127" i="1"/>
  <c r="S127" i="1"/>
  <c r="S139" i="1"/>
  <c r="AG139" i="1"/>
  <c r="AD139" i="1"/>
  <c r="N139" i="1"/>
  <c r="Z139" i="1"/>
  <c r="AZ253" i="32" a="1"/>
  <c r="AZ253" i="32" s="1"/>
  <c r="N151" i="1"/>
  <c r="AZ219" i="32" a="1"/>
  <c r="AZ219" i="32" s="1"/>
  <c r="AG151" i="1"/>
  <c r="Z151" i="1"/>
  <c r="AD151" i="1"/>
  <c r="S151" i="1"/>
  <c r="N163" i="1"/>
  <c r="S163" i="1"/>
  <c r="AD163" i="1"/>
  <c r="AG163" i="1"/>
  <c r="Z163" i="1"/>
  <c r="AZ241" i="32" a="1"/>
  <c r="AZ241" i="32" s="1"/>
  <c r="S175" i="1"/>
  <c r="AG175" i="1"/>
  <c r="AD175" i="1"/>
  <c r="N175" i="1"/>
  <c r="Z175" i="1"/>
  <c r="AZ261" i="32" a="1"/>
  <c r="AZ261" i="32" s="1"/>
  <c r="AZ277" i="32" a="1"/>
  <c r="AZ277" i="32" s="1"/>
  <c r="S187" i="1"/>
  <c r="N187" i="1"/>
  <c r="Z187" i="1"/>
  <c r="AG187" i="1"/>
  <c r="AD187" i="1"/>
  <c r="AD198" i="1"/>
  <c r="S198" i="1"/>
  <c r="AG198" i="1"/>
  <c r="AZ14" i="32" a="1"/>
  <c r="AZ14" i="32" s="1"/>
  <c r="Z198" i="1"/>
  <c r="N198" i="1"/>
  <c r="Z210" i="1"/>
  <c r="AD210" i="1"/>
  <c r="AZ112" i="32" a="1"/>
  <c r="AZ112" i="32" s="1"/>
  <c r="AG210" i="1"/>
  <c r="S210" i="1"/>
  <c r="N210" i="1"/>
  <c r="S222" i="1"/>
  <c r="Z222" i="1"/>
  <c r="N222" i="1"/>
  <c r="AZ119" i="32" a="1"/>
  <c r="AZ119" i="32" s="1"/>
  <c r="AG222" i="1"/>
  <c r="AD222" i="1"/>
  <c r="AD234" i="1"/>
  <c r="Z234" i="1"/>
  <c r="AZ290" i="32" a="1"/>
  <c r="AZ290" i="32" s="1"/>
  <c r="N234" i="1"/>
  <c r="AG234" i="1"/>
  <c r="S234" i="1"/>
  <c r="AD258" i="1"/>
  <c r="Z258" i="1"/>
  <c r="AG258" i="1"/>
  <c r="AZ182" i="32" a="1"/>
  <c r="AZ182" i="32" s="1"/>
  <c r="S258" i="1"/>
  <c r="N258" i="1"/>
  <c r="Z270" i="1"/>
  <c r="AZ194" i="32" a="1"/>
  <c r="AZ194" i="32" s="1"/>
  <c r="AG270" i="1"/>
  <c r="S270" i="1"/>
  <c r="AD270" i="1"/>
  <c r="N270" i="1"/>
  <c r="S282" i="1"/>
  <c r="AG282" i="1"/>
  <c r="AD282" i="1"/>
  <c r="Z282" i="1"/>
  <c r="N282" i="1"/>
  <c r="AZ206" i="32" a="1"/>
  <c r="AZ206" i="32" s="1"/>
  <c r="BO75" i="37"/>
  <c r="BP75" i="37" s="1"/>
  <c r="BO59" i="37"/>
  <c r="BP59" i="37" s="1"/>
  <c r="BO179" i="37"/>
  <c r="BP179" i="37" s="1"/>
  <c r="BO250" i="37"/>
  <c r="BP250" i="37" s="1"/>
  <c r="BO17" i="37"/>
  <c r="BP17" i="37" s="1"/>
  <c r="BO89" i="37"/>
  <c r="BP89" i="37" s="1"/>
  <c r="BO185" i="37"/>
  <c r="BP185" i="37" s="1"/>
  <c r="BO48" i="37"/>
  <c r="BP48" i="37" s="1"/>
  <c r="BO77" i="37"/>
  <c r="BP77" i="37" s="1"/>
  <c r="BO208" i="37"/>
  <c r="BP208" i="37" s="1"/>
  <c r="BO36" i="37"/>
  <c r="BP36" i="37" s="1"/>
  <c r="BO65" i="37"/>
  <c r="BP65" i="37" s="1"/>
  <c r="AZ3" i="32" a="1"/>
  <c r="AZ3" i="32" s="1"/>
  <c r="AG3" i="1"/>
  <c r="AD3" i="1"/>
  <c r="S3" i="1"/>
  <c r="Z3" i="1"/>
  <c r="N3" i="1"/>
  <c r="BO27" i="37"/>
  <c r="BP27" i="37" s="1"/>
  <c r="BO144" i="37"/>
  <c r="BP144" i="37" s="1"/>
  <c r="BO83" i="37"/>
  <c r="BP83" i="37" s="1"/>
  <c r="BO119" i="37"/>
  <c r="BP119" i="37" s="1"/>
  <c r="BO41" i="37"/>
  <c r="BP41" i="37" s="1"/>
  <c r="BO53" i="37"/>
  <c r="BP53" i="37" s="1"/>
  <c r="BO113" i="37"/>
  <c r="BP113" i="37" s="1"/>
  <c r="BO149" i="37"/>
  <c r="BP149" i="37" s="1"/>
  <c r="BO173" i="37"/>
  <c r="BP173" i="37" s="1"/>
  <c r="BO196" i="37"/>
  <c r="BP196" i="37" s="1"/>
  <c r="BO35" i="37"/>
  <c r="BP35" i="37" s="1"/>
  <c r="BO191" i="37"/>
  <c r="BP191" i="37" s="1"/>
  <c r="BO262" i="37"/>
  <c r="BP262" i="37" s="1"/>
  <c r="BO137" i="37"/>
  <c r="BP137" i="37" s="1"/>
  <c r="BO131" i="37"/>
  <c r="BP131" i="37" s="1"/>
  <c r="BO238" i="37"/>
  <c r="BP238" i="37" s="1"/>
  <c r="BO5" i="37"/>
  <c r="BP5" i="37" s="1"/>
  <c r="BO29" i="37"/>
  <c r="BP29" i="37" s="1"/>
  <c r="BO125" i="37"/>
  <c r="BP125" i="37" s="1"/>
  <c r="BO155" i="37"/>
  <c r="BP155" i="37" s="1"/>
  <c r="BO214" i="37"/>
  <c r="BP214" i="37" s="1"/>
  <c r="BO226" i="37"/>
  <c r="BP226" i="37" s="1"/>
  <c r="BO274" i="37"/>
  <c r="BP274" i="37" s="1"/>
  <c r="BO232" i="37"/>
  <c r="BP232" i="37" s="1"/>
  <c r="BO180" i="37"/>
  <c r="BP180" i="37" s="1"/>
  <c r="BO287" i="37"/>
  <c r="BP287" i="37" s="1"/>
  <c r="BO87" i="37"/>
  <c r="BP87" i="37" s="1"/>
  <c r="N59" i="1"/>
  <c r="Z59" i="1"/>
  <c r="AG59" i="1"/>
  <c r="AZ74" i="32" a="1"/>
  <c r="AZ74" i="32" s="1"/>
  <c r="AD59" i="1"/>
  <c r="S59" i="1"/>
  <c r="Z179" i="1"/>
  <c r="AD179" i="1"/>
  <c r="AZ265" i="32" a="1"/>
  <c r="AZ265" i="32" s="1"/>
  <c r="AG179" i="1"/>
  <c r="N179" i="1"/>
  <c r="S179" i="1"/>
  <c r="AG250" i="1"/>
  <c r="N250" i="1"/>
  <c r="Z250" i="1"/>
  <c r="AZ155" i="32" a="1"/>
  <c r="AZ155" i="32" s="1"/>
  <c r="AD250" i="1"/>
  <c r="S250" i="1"/>
  <c r="BO286" i="37"/>
  <c r="BP286" i="37" s="1"/>
  <c r="AG89" i="1"/>
  <c r="AD89" i="1"/>
  <c r="Z89" i="1"/>
  <c r="AZ101" i="32" a="1"/>
  <c r="AZ101" i="32" s="1"/>
  <c r="N89" i="1"/>
  <c r="S89" i="1"/>
  <c r="BO101" i="37"/>
  <c r="BP101" i="37" s="1"/>
  <c r="BO220" i="37"/>
  <c r="BP220" i="37" s="1"/>
  <c r="BO84" i="37"/>
  <c r="BP84" i="37" s="1"/>
  <c r="BO3" i="37"/>
  <c r="BP3" i="37" s="1"/>
  <c r="AZ21" i="32" a="1"/>
  <c r="AZ21" i="32" s="1"/>
  <c r="S15" i="1"/>
  <c r="AD15" i="1"/>
  <c r="N15" i="1"/>
  <c r="Z15" i="1"/>
  <c r="AG15" i="1"/>
  <c r="AG27" i="1"/>
  <c r="AD27" i="1"/>
  <c r="Z27" i="1"/>
  <c r="S27" i="1"/>
  <c r="AZ33" i="32" a="1"/>
  <c r="AZ33" i="32" s="1"/>
  <c r="N27" i="1"/>
  <c r="AD39" i="1"/>
  <c r="AG39" i="1"/>
  <c r="N39" i="1"/>
  <c r="AZ94" i="32" a="1"/>
  <c r="AZ94" i="32" s="1"/>
  <c r="Z39" i="1"/>
  <c r="S39" i="1"/>
  <c r="AZ66" i="32" a="1"/>
  <c r="AZ66" i="32" s="1"/>
  <c r="AD51" i="1"/>
  <c r="S51" i="1"/>
  <c r="AG51" i="1"/>
  <c r="Z51" i="1"/>
  <c r="N51" i="1"/>
  <c r="Z63" i="1"/>
  <c r="S63" i="1"/>
  <c r="AG63" i="1"/>
  <c r="AD63" i="1"/>
  <c r="AZ78" i="32" a="1"/>
  <c r="AZ78" i="32" s="1"/>
  <c r="N63" i="1"/>
  <c r="AZ173" i="32" a="1"/>
  <c r="AZ173" i="32" s="1"/>
  <c r="AD75" i="1"/>
  <c r="AG75" i="1"/>
  <c r="Z75" i="1"/>
  <c r="N75" i="1"/>
  <c r="S75" i="1"/>
  <c r="S87" i="1"/>
  <c r="AD87" i="1"/>
  <c r="Z87" i="1"/>
  <c r="AG87" i="1"/>
  <c r="AZ99" i="32" a="1"/>
  <c r="AZ99" i="32" s="1"/>
  <c r="N87" i="1"/>
  <c r="S11" i="1"/>
  <c r="AD11" i="1"/>
  <c r="AG11" i="1"/>
  <c r="N11" i="1"/>
  <c r="AZ17" i="32" a="1"/>
  <c r="AZ17" i="32" s="1"/>
  <c r="Z11" i="1"/>
  <c r="BO95" i="37"/>
  <c r="BP95" i="37" s="1"/>
  <c r="N143" i="1"/>
  <c r="AG143" i="1"/>
  <c r="Z143" i="1"/>
  <c r="AZ228" i="32" a="1"/>
  <c r="AZ228" i="32" s="1"/>
  <c r="AD143" i="1"/>
  <c r="S143" i="1"/>
  <c r="AG41" i="1"/>
  <c r="AD41" i="1"/>
  <c r="S41" i="1"/>
  <c r="Z41" i="1"/>
  <c r="N41" i="1"/>
  <c r="AZ106" i="32" a="1"/>
  <c r="AZ106" i="32" s="1"/>
  <c r="BO161" i="37"/>
  <c r="BP161" i="37" s="1"/>
  <c r="BO256" i="37"/>
  <c r="BP256" i="37" s="1"/>
  <c r="AD23" i="1"/>
  <c r="Z23" i="1"/>
  <c r="S23" i="1"/>
  <c r="AZ29" i="32" a="1"/>
  <c r="AZ29" i="32" s="1"/>
  <c r="AG23" i="1"/>
  <c r="N23" i="1"/>
  <c r="N35" i="1"/>
  <c r="S35" i="1"/>
  <c r="AG35" i="1"/>
  <c r="Z35" i="1"/>
  <c r="AZ90" i="32" a="1"/>
  <c r="AZ90" i="32" s="1"/>
  <c r="AD35" i="1"/>
  <c r="AD47" i="1"/>
  <c r="S47" i="1"/>
  <c r="AG47" i="1"/>
  <c r="N47" i="1"/>
  <c r="Z47" i="1"/>
  <c r="AZ62" i="32" a="1"/>
  <c r="AZ62" i="32" s="1"/>
  <c r="N71" i="1"/>
  <c r="AG71" i="1"/>
  <c r="AD71" i="1"/>
  <c r="Z71" i="1"/>
  <c r="AZ169" i="32" a="1"/>
  <c r="AZ169" i="32" s="1"/>
  <c r="S71" i="1"/>
  <c r="AD83" i="1"/>
  <c r="Z83" i="1"/>
  <c r="AZ104" i="32" a="1"/>
  <c r="AZ104" i="32" s="1"/>
  <c r="N83" i="1"/>
  <c r="S83" i="1"/>
  <c r="AG83" i="1"/>
  <c r="Z95" i="1"/>
  <c r="AD95" i="1"/>
  <c r="AZ143" i="32" a="1"/>
  <c r="AZ143" i="32" s="1"/>
  <c r="N95" i="1"/>
  <c r="S95" i="1"/>
  <c r="AG95" i="1"/>
  <c r="AD107" i="1"/>
  <c r="Z107" i="1"/>
  <c r="N107" i="1"/>
  <c r="AZ163" i="32" a="1"/>
  <c r="AZ163" i="32" s="1"/>
  <c r="S107" i="1"/>
  <c r="AG107" i="1"/>
  <c r="BO107" i="37"/>
  <c r="BP107" i="37" s="1"/>
  <c r="Z119" i="1"/>
  <c r="S119" i="1"/>
  <c r="AG119" i="1"/>
  <c r="AD119" i="1"/>
  <c r="N119" i="1"/>
  <c r="AZ83" i="32" a="1"/>
  <c r="AZ83" i="32" s="1"/>
  <c r="AD131" i="1"/>
  <c r="Z131" i="1"/>
  <c r="S131" i="1"/>
  <c r="AZ209" i="32" a="1"/>
  <c r="AZ209" i="32" s="1"/>
  <c r="AG131" i="1"/>
  <c r="N131" i="1"/>
  <c r="BO143" i="37"/>
  <c r="BP143" i="37" s="1"/>
  <c r="AG155" i="1"/>
  <c r="N155" i="1"/>
  <c r="AD155" i="1"/>
  <c r="S155" i="1"/>
  <c r="Z155" i="1"/>
  <c r="AZ223" i="32" a="1"/>
  <c r="AZ223" i="32" s="1"/>
  <c r="Z167" i="1"/>
  <c r="AD167" i="1"/>
  <c r="AZ245" i="32" a="1"/>
  <c r="AZ245" i="32" s="1"/>
  <c r="AG167" i="1"/>
  <c r="N167" i="1"/>
  <c r="S167" i="1"/>
  <c r="AG191" i="1"/>
  <c r="N191" i="1"/>
  <c r="Z191" i="1"/>
  <c r="S191" i="1"/>
  <c r="AD191" i="1"/>
  <c r="AZ281" i="32" a="1"/>
  <c r="AZ281" i="32" s="1"/>
  <c r="N202" i="1"/>
  <c r="Z202" i="1"/>
  <c r="AZ55" i="32" a="1"/>
  <c r="AZ55" i="32" s="1"/>
  <c r="AD202" i="1"/>
  <c r="S202" i="1"/>
  <c r="AG202" i="1"/>
  <c r="N214" i="1"/>
  <c r="Z214" i="1"/>
  <c r="S214" i="1"/>
  <c r="AZ116" i="32" a="1"/>
  <c r="AZ116" i="32" s="1"/>
  <c r="AD214" i="1"/>
  <c r="AG214" i="1"/>
  <c r="N226" i="1"/>
  <c r="S226" i="1"/>
  <c r="AG226" i="1"/>
  <c r="AD226" i="1"/>
  <c r="Z226" i="1"/>
  <c r="AZ108" i="32" a="1"/>
  <c r="AZ108" i="32" s="1"/>
  <c r="AD238" i="1"/>
  <c r="AG238" i="1"/>
  <c r="Z238" i="1"/>
  <c r="S238" i="1"/>
  <c r="N238" i="1"/>
  <c r="AZ47" i="32" a="1"/>
  <c r="AZ47" i="32" s="1"/>
  <c r="AD262" i="1"/>
  <c r="Z262" i="1"/>
  <c r="AZ186" i="32" a="1"/>
  <c r="AZ186" i="32" s="1"/>
  <c r="S262" i="1"/>
  <c r="AG262" i="1"/>
  <c r="N262" i="1"/>
  <c r="AG274" i="1"/>
  <c r="N274" i="1"/>
  <c r="AZ200" i="32" a="1"/>
  <c r="AZ200" i="32" s="1"/>
  <c r="S274" i="1"/>
  <c r="Z274" i="1"/>
  <c r="AD274" i="1"/>
  <c r="Z286" i="1"/>
  <c r="AZ282" i="32" a="1"/>
  <c r="AZ282" i="32" s="1"/>
  <c r="AD286" i="1"/>
  <c r="S286" i="1"/>
  <c r="AG286" i="1"/>
  <c r="N286" i="1"/>
  <c r="AG5" i="1"/>
  <c r="AZ5" i="32" a="1"/>
  <c r="AZ5" i="32" s="1"/>
  <c r="N5" i="1"/>
  <c r="S5" i="1"/>
  <c r="AD5" i="1"/>
  <c r="Z5" i="1"/>
  <c r="N17" i="1"/>
  <c r="AZ26" i="32" a="1"/>
  <c r="AZ26" i="32" s="1"/>
  <c r="AD17" i="1"/>
  <c r="S17" i="1"/>
  <c r="AG17" i="1"/>
  <c r="Z17" i="1"/>
  <c r="AZ35" i="32" a="1"/>
  <c r="AZ35" i="32" s="1"/>
  <c r="S29" i="1"/>
  <c r="AG29" i="1"/>
  <c r="N29" i="1"/>
  <c r="Z29" i="1"/>
  <c r="AD29" i="1"/>
  <c r="S53" i="1"/>
  <c r="AG53" i="1"/>
  <c r="N53" i="1"/>
  <c r="Z53" i="1"/>
  <c r="AD53" i="1"/>
  <c r="AZ68" i="32" a="1"/>
  <c r="AZ68" i="32" s="1"/>
  <c r="AD65" i="1"/>
  <c r="Z65" i="1"/>
  <c r="AG65" i="1"/>
  <c r="AZ80" i="32" a="1"/>
  <c r="AZ80" i="32" s="1"/>
  <c r="N65" i="1"/>
  <c r="S65" i="1"/>
  <c r="S77" i="1"/>
  <c r="Z77" i="1"/>
  <c r="AG77" i="1"/>
  <c r="AD77" i="1"/>
  <c r="AZ175" i="32" a="1"/>
  <c r="AZ175" i="32" s="1"/>
  <c r="N77" i="1"/>
  <c r="Z101" i="1"/>
  <c r="N101" i="1"/>
  <c r="AZ149" i="32" a="1"/>
  <c r="AZ149" i="32" s="1"/>
  <c r="S101" i="1"/>
  <c r="AG101" i="1"/>
  <c r="AD101" i="1"/>
  <c r="AG113" i="1"/>
  <c r="S113" i="1"/>
  <c r="AZ50" i="32" a="1"/>
  <c r="AZ50" i="32" s="1"/>
  <c r="AD113" i="1"/>
  <c r="Z113" i="1"/>
  <c r="N113" i="1"/>
  <c r="AG125" i="1"/>
  <c r="Z125" i="1"/>
  <c r="AZ41" i="32" a="1"/>
  <c r="AZ41" i="32" s="1"/>
  <c r="N125" i="1"/>
  <c r="S125" i="1"/>
  <c r="AD125" i="1"/>
  <c r="AZ215" i="32" a="1"/>
  <c r="AZ215" i="32" s="1"/>
  <c r="S137" i="1"/>
  <c r="Z137" i="1"/>
  <c r="AG137" i="1"/>
  <c r="N137" i="1"/>
  <c r="AD137" i="1"/>
  <c r="S149" i="1"/>
  <c r="AG149" i="1"/>
  <c r="N149" i="1"/>
  <c r="Z149" i="1"/>
  <c r="AD149" i="1"/>
  <c r="AZ234" i="32" a="1"/>
  <c r="AZ234" i="32" s="1"/>
  <c r="AZ239" i="32" a="1"/>
  <c r="AZ239" i="32" s="1"/>
  <c r="AD161" i="1"/>
  <c r="N161" i="1"/>
  <c r="AG161" i="1"/>
  <c r="S161" i="1"/>
  <c r="Z161" i="1"/>
  <c r="S173" i="1"/>
  <c r="AG173" i="1"/>
  <c r="N173" i="1"/>
  <c r="Z173" i="1"/>
  <c r="AD173" i="1"/>
  <c r="AZ259" i="32" a="1"/>
  <c r="AZ259" i="32" s="1"/>
  <c r="AG185" i="1"/>
  <c r="Z185" i="1"/>
  <c r="N185" i="1"/>
  <c r="AZ275" i="32" a="1"/>
  <c r="AZ275" i="32" s="1"/>
  <c r="S185" i="1"/>
  <c r="AD185" i="1"/>
  <c r="AZ12" i="32" a="1"/>
  <c r="AZ12" i="32" s="1"/>
  <c r="S196" i="1"/>
  <c r="AG196" i="1"/>
  <c r="AD196" i="1"/>
  <c r="N196" i="1"/>
  <c r="Z196" i="1"/>
  <c r="Z208" i="1"/>
  <c r="N208" i="1"/>
  <c r="AZ128" i="32" a="1"/>
  <c r="AZ128" i="32" s="1"/>
  <c r="AG208" i="1"/>
  <c r="S208" i="1"/>
  <c r="AD208" i="1"/>
  <c r="AD220" i="1"/>
  <c r="AG220" i="1"/>
  <c r="Z220" i="1"/>
  <c r="AZ126" i="32" a="1"/>
  <c r="AZ126" i="32" s="1"/>
  <c r="S220" i="1"/>
  <c r="N220" i="1"/>
  <c r="BO60" i="37"/>
  <c r="BP60" i="37" s="1"/>
  <c r="BO58" i="37"/>
  <c r="BP58" i="37" s="1"/>
  <c r="BO201" i="37"/>
  <c r="BP201" i="37" s="1"/>
  <c r="BO25" i="37"/>
  <c r="BP25" i="37" s="1"/>
  <c r="BO37" i="37"/>
  <c r="BP37" i="37" s="1"/>
  <c r="BO145" i="37"/>
  <c r="BP145" i="37" s="1"/>
  <c r="BO183" i="37"/>
  <c r="BP183" i="37" s="1"/>
  <c r="Z232" i="1"/>
  <c r="AD232" i="1"/>
  <c r="AZ288" i="32" a="1"/>
  <c r="AZ288" i="32" s="1"/>
  <c r="N232" i="1"/>
  <c r="S232" i="1"/>
  <c r="AG232" i="1"/>
  <c r="BO168" i="37"/>
  <c r="BP168" i="37" s="1"/>
  <c r="BO275" i="37"/>
  <c r="BP275" i="37" s="1"/>
  <c r="BO213" i="37"/>
  <c r="BP213" i="37" s="1"/>
  <c r="BO263" i="37"/>
  <c r="BP263" i="37" s="1"/>
  <c r="BO142" i="37"/>
  <c r="BP142" i="37" s="1"/>
  <c r="BO178" i="37"/>
  <c r="BP178" i="37" s="1"/>
  <c r="BO85" i="37"/>
  <c r="BP85" i="37" s="1"/>
  <c r="BO106" i="37"/>
  <c r="BP106" i="37" s="1"/>
  <c r="BO118" i="37"/>
  <c r="BP118" i="37" s="1"/>
  <c r="BO166" i="37"/>
  <c r="BP166" i="37" s="1"/>
  <c r="BO40" i="37"/>
  <c r="BP40" i="37" s="1"/>
  <c r="BO203" i="37"/>
  <c r="BP203" i="37" s="1"/>
  <c r="BO22" i="37"/>
  <c r="BP22" i="37" s="1"/>
  <c r="BO46" i="37"/>
  <c r="BP46" i="37" s="1"/>
  <c r="BO109" i="37"/>
  <c r="BP109" i="37" s="1"/>
  <c r="BO169" i="37"/>
  <c r="BP169" i="37" s="1"/>
  <c r="BO120" i="37"/>
  <c r="BP120" i="37" s="1"/>
  <c r="BO70" i="37"/>
  <c r="BP70" i="37" s="1"/>
  <c r="BO94" i="37"/>
  <c r="BP94" i="37" s="1"/>
  <c r="BO97" i="37"/>
  <c r="BP97" i="37" s="1"/>
  <c r="BO133" i="37"/>
  <c r="BP133" i="37" s="1"/>
  <c r="Z12" i="1"/>
  <c r="AZ18" i="32" a="1"/>
  <c r="AZ18" i="32" s="1"/>
  <c r="AG12" i="1"/>
  <c r="N12" i="1"/>
  <c r="AD12" i="1"/>
  <c r="S12" i="1"/>
  <c r="BO24" i="37"/>
  <c r="BP24" i="37" s="1"/>
  <c r="BO251" i="37"/>
  <c r="BP251" i="37" s="1"/>
  <c r="BO130" i="37"/>
  <c r="BP130" i="37" s="1"/>
  <c r="BO240" i="37"/>
  <c r="BP240" i="37" s="1"/>
  <c r="BO72" i="37"/>
  <c r="BP72" i="37" s="1"/>
  <c r="BO82" i="37"/>
  <c r="BP82" i="37" s="1"/>
  <c r="BO244" i="37"/>
  <c r="BP244" i="37" s="1"/>
  <c r="AD268" i="1"/>
  <c r="Z268" i="1"/>
  <c r="AG268" i="1"/>
  <c r="N268" i="1"/>
  <c r="AZ192" i="32" a="1"/>
  <c r="AZ192" i="32" s="1"/>
  <c r="S268" i="1"/>
  <c r="BO268" i="37"/>
  <c r="BP268" i="37" s="1"/>
  <c r="BO280" i="37"/>
  <c r="BP280" i="37" s="1"/>
  <c r="BO132" i="37"/>
  <c r="BP132" i="37" s="1"/>
  <c r="BO227" i="37"/>
  <c r="BP227" i="37" s="1"/>
  <c r="BO10" i="37"/>
  <c r="BP10" i="37" s="1"/>
  <c r="BO34" i="37"/>
  <c r="BP34" i="37" s="1"/>
  <c r="BO190" i="37"/>
  <c r="BP190" i="37" s="1"/>
  <c r="BO237" i="37"/>
  <c r="BP237" i="37" s="1"/>
  <c r="BO61" i="37"/>
  <c r="BP61" i="37" s="1"/>
  <c r="BO124" i="37"/>
  <c r="BP124" i="37" s="1"/>
  <c r="BO96" i="37"/>
  <c r="BP96" i="37" s="1"/>
  <c r="BO156" i="37"/>
  <c r="BP156" i="37" s="1"/>
  <c r="AD82" i="1"/>
  <c r="Z82" i="1"/>
  <c r="AG82" i="1"/>
  <c r="AZ96" i="32" a="1"/>
  <c r="AZ96" i="32" s="1"/>
  <c r="S82" i="1"/>
  <c r="N82" i="1"/>
  <c r="BO249" i="37"/>
  <c r="BP249" i="37" s="1"/>
  <c r="BO13" i="37"/>
  <c r="BP13" i="37" s="1"/>
  <c r="Z244" i="1"/>
  <c r="AG244" i="1"/>
  <c r="AZ139" i="32" a="1"/>
  <c r="AZ139" i="32" s="1"/>
  <c r="S244" i="1"/>
  <c r="AD244" i="1"/>
  <c r="N244" i="1"/>
  <c r="AD256" i="1"/>
  <c r="Z256" i="1"/>
  <c r="AG256" i="1"/>
  <c r="N256" i="1"/>
  <c r="S256" i="1"/>
  <c r="AZ180" i="32" a="1"/>
  <c r="AZ180" i="32" s="1"/>
  <c r="Z280" i="1"/>
  <c r="AZ204" i="32" a="1"/>
  <c r="AZ204" i="32" s="1"/>
  <c r="AG280" i="1"/>
  <c r="AD280" i="1"/>
  <c r="S280" i="1"/>
  <c r="N280" i="1"/>
  <c r="BO12" i="37"/>
  <c r="BP12" i="37" s="1"/>
  <c r="Z24" i="1"/>
  <c r="AZ30" i="32" a="1"/>
  <c r="AZ30" i="32" s="1"/>
  <c r="S24" i="1"/>
  <c r="AD24" i="1"/>
  <c r="AG24" i="1"/>
  <c r="N24" i="1"/>
  <c r="N36" i="1"/>
  <c r="AD36" i="1"/>
  <c r="AZ91" i="32" a="1"/>
  <c r="AZ91" i="32" s="1"/>
  <c r="AG36" i="1"/>
  <c r="Z36" i="1"/>
  <c r="S36" i="1"/>
  <c r="AD48" i="1"/>
  <c r="Z48" i="1"/>
  <c r="S48" i="1"/>
  <c r="AG48" i="1"/>
  <c r="N48" i="1"/>
  <c r="AZ63" i="32" a="1"/>
  <c r="AZ63" i="32" s="1"/>
  <c r="BO108" i="37"/>
  <c r="BP108" i="37" s="1"/>
  <c r="Z168" i="1"/>
  <c r="AD168" i="1"/>
  <c r="N168" i="1"/>
  <c r="AG168" i="1"/>
  <c r="S168" i="1"/>
  <c r="AZ246" i="32" a="1"/>
  <c r="AZ246" i="32" s="1"/>
  <c r="BO215" i="37"/>
  <c r="BP215" i="37" s="1"/>
  <c r="Z239" i="1"/>
  <c r="AZ48" i="32" a="1"/>
  <c r="AZ48" i="32" s="1"/>
  <c r="N239" i="1"/>
  <c r="AD239" i="1"/>
  <c r="S239" i="1"/>
  <c r="AG239" i="1"/>
  <c r="S22" i="1"/>
  <c r="AG22" i="1"/>
  <c r="N22" i="1"/>
  <c r="Z22" i="1"/>
  <c r="AD22" i="1"/>
  <c r="AZ28" i="32" a="1"/>
  <c r="AZ28" i="32" s="1"/>
  <c r="N34" i="1"/>
  <c r="AG34" i="1"/>
  <c r="AD34" i="1"/>
  <c r="S34" i="1"/>
  <c r="Z34" i="1"/>
  <c r="AZ89" i="32" a="1"/>
  <c r="AZ89" i="32" s="1"/>
  <c r="N118" i="1"/>
  <c r="S118" i="1"/>
  <c r="AG118" i="1"/>
  <c r="AD118" i="1"/>
  <c r="Z118" i="1"/>
  <c r="AZ60" i="32" a="1"/>
  <c r="AZ60" i="32" s="1"/>
  <c r="BO154" i="37"/>
  <c r="BP154" i="37" s="1"/>
  <c r="S166" i="1"/>
  <c r="N166" i="1"/>
  <c r="AG166" i="1"/>
  <c r="AD166" i="1"/>
  <c r="Z166" i="1"/>
  <c r="AZ244" i="32" a="1"/>
  <c r="AZ244" i="32" s="1"/>
  <c r="AG178" i="1"/>
  <c r="N178" i="1"/>
  <c r="Z178" i="1"/>
  <c r="AZ264" i="32" a="1"/>
  <c r="AZ264" i="32" s="1"/>
  <c r="AD178" i="1"/>
  <c r="S178" i="1"/>
  <c r="BO49" i="37"/>
  <c r="BP49" i="37" s="1"/>
  <c r="BO121" i="37"/>
  <c r="BP121" i="37" s="1"/>
  <c r="BO99" i="37"/>
  <c r="BP99" i="37" s="1"/>
  <c r="AD60" i="1"/>
  <c r="AG60" i="1"/>
  <c r="Z60" i="1"/>
  <c r="AZ75" i="32" a="1"/>
  <c r="AZ75" i="32" s="1"/>
  <c r="N60" i="1"/>
  <c r="S60" i="1"/>
  <c r="Z72" i="1"/>
  <c r="AZ170" i="32" a="1"/>
  <c r="AZ170" i="32" s="1"/>
  <c r="S72" i="1"/>
  <c r="N72" i="1"/>
  <c r="AD72" i="1"/>
  <c r="AG72" i="1"/>
  <c r="AD84" i="1"/>
  <c r="Z84" i="1"/>
  <c r="AG84" i="1"/>
  <c r="N84" i="1"/>
  <c r="AZ97" i="32" a="1"/>
  <c r="AZ97" i="32" s="1"/>
  <c r="S84" i="1"/>
  <c r="S96" i="1"/>
  <c r="N96" i="1"/>
  <c r="Z96" i="1"/>
  <c r="AZ144" i="32" a="1"/>
  <c r="AZ144" i="32" s="1"/>
  <c r="AD96" i="1"/>
  <c r="AG96" i="1"/>
  <c r="N108" i="1"/>
  <c r="AZ164" i="32" a="1"/>
  <c r="AZ164" i="32" s="1"/>
  <c r="AD108" i="1"/>
  <c r="Z108" i="1"/>
  <c r="S108" i="1"/>
  <c r="AG108" i="1"/>
  <c r="AZ84" i="32" a="1"/>
  <c r="AZ84" i="32" s="1"/>
  <c r="S120" i="1"/>
  <c r="N120" i="1"/>
  <c r="AD120" i="1"/>
  <c r="AG120" i="1"/>
  <c r="Z120" i="1"/>
  <c r="Z132" i="1"/>
  <c r="AG132" i="1"/>
  <c r="AZ210" i="32" a="1"/>
  <c r="AZ210" i="32" s="1"/>
  <c r="S132" i="1"/>
  <c r="AD132" i="1"/>
  <c r="N132" i="1"/>
  <c r="AD144" i="1"/>
  <c r="Z144" i="1"/>
  <c r="AG144" i="1"/>
  <c r="N144" i="1"/>
  <c r="AZ229" i="32" a="1"/>
  <c r="AZ229" i="32" s="1"/>
  <c r="S144" i="1"/>
  <c r="Z156" i="1"/>
  <c r="N156" i="1"/>
  <c r="AZ224" i="32" a="1"/>
  <c r="AZ224" i="32" s="1"/>
  <c r="S156" i="1"/>
  <c r="AD156" i="1"/>
  <c r="AG156" i="1"/>
  <c r="AG180" i="1"/>
  <c r="AZ267" i="32" a="1"/>
  <c r="AZ267" i="32" s="1"/>
  <c r="Z180" i="1"/>
  <c r="N180" i="1"/>
  <c r="AD180" i="1"/>
  <c r="S180" i="1"/>
  <c r="AZ294" i="32" a="1"/>
  <c r="AZ294" i="32" s="1"/>
  <c r="S203" i="1"/>
  <c r="Z203" i="1"/>
  <c r="N203" i="1"/>
  <c r="AZ56" i="32" a="1"/>
  <c r="AZ56" i="32" s="1"/>
  <c r="AG203" i="1"/>
  <c r="AD203" i="1"/>
  <c r="AZ117" i="32" a="1"/>
  <c r="AZ117" i="32" s="1"/>
  <c r="S215" i="1"/>
  <c r="AD215" i="1"/>
  <c r="AG215" i="1"/>
  <c r="N215" i="1"/>
  <c r="Z215" i="1"/>
  <c r="AZ109" i="32" a="1"/>
  <c r="AZ109" i="32" s="1"/>
  <c r="N227" i="1"/>
  <c r="S227" i="1"/>
  <c r="AD227" i="1"/>
  <c r="Z227" i="1"/>
  <c r="AG227" i="1"/>
  <c r="BO239" i="37"/>
  <c r="BP239" i="37" s="1"/>
  <c r="AZ156" i="32" a="1"/>
  <c r="AZ156" i="32" s="1"/>
  <c r="N251" i="1"/>
  <c r="S251" i="1"/>
  <c r="AG251" i="1"/>
  <c r="AD251" i="1"/>
  <c r="Z251" i="1"/>
  <c r="AG263" i="1"/>
  <c r="AD263" i="1"/>
  <c r="Z263" i="1"/>
  <c r="AZ187" i="32" a="1"/>
  <c r="AZ187" i="32" s="1"/>
  <c r="N263" i="1"/>
  <c r="S263" i="1"/>
  <c r="Z275" i="1"/>
  <c r="AZ217" i="32" a="1"/>
  <c r="AZ217" i="32" s="1"/>
  <c r="AD275" i="1"/>
  <c r="N275" i="1"/>
  <c r="S275" i="1"/>
  <c r="AG275" i="1"/>
  <c r="AD287" i="1"/>
  <c r="AG287" i="1"/>
  <c r="Z287" i="1"/>
  <c r="AZ283" i="32" a="1"/>
  <c r="AZ283" i="32" s="1"/>
  <c r="N287" i="1"/>
  <c r="S287" i="1"/>
  <c r="Z10" i="1"/>
  <c r="AD10" i="1"/>
  <c r="AZ16" i="32" a="1"/>
  <c r="AZ16" i="32" s="1"/>
  <c r="S10" i="1"/>
  <c r="AG10" i="1"/>
  <c r="N10" i="1"/>
  <c r="S46" i="1"/>
  <c r="AD46" i="1"/>
  <c r="Z46" i="1"/>
  <c r="AG46" i="1"/>
  <c r="AZ61" i="32" a="1"/>
  <c r="AZ61" i="32" s="1"/>
  <c r="N46" i="1"/>
  <c r="AG58" i="1"/>
  <c r="N58" i="1"/>
  <c r="Z58" i="1"/>
  <c r="AZ73" i="32" a="1"/>
  <c r="AZ73" i="32" s="1"/>
  <c r="AD58" i="1"/>
  <c r="S58" i="1"/>
  <c r="Z70" i="1"/>
  <c r="S70" i="1"/>
  <c r="AD70" i="1"/>
  <c r="AG70" i="1"/>
  <c r="N70" i="1"/>
  <c r="AZ168" i="32" a="1"/>
  <c r="AZ168" i="32" s="1"/>
  <c r="AD94" i="1"/>
  <c r="AG94" i="1"/>
  <c r="N94" i="1"/>
  <c r="Z94" i="1"/>
  <c r="AZ142" i="32" a="1"/>
  <c r="AZ142" i="32" s="1"/>
  <c r="S94" i="1"/>
  <c r="Z106" i="1"/>
  <c r="AZ162" i="32" a="1"/>
  <c r="AZ162" i="32" s="1"/>
  <c r="S106" i="1"/>
  <c r="AG106" i="1"/>
  <c r="AD106" i="1"/>
  <c r="N106" i="1"/>
  <c r="AZ208" i="32" a="1"/>
  <c r="AZ208" i="32" s="1"/>
  <c r="S130" i="1"/>
  <c r="AG130" i="1"/>
  <c r="AD130" i="1"/>
  <c r="Z130" i="1"/>
  <c r="N130" i="1"/>
  <c r="AG142" i="1"/>
  <c r="AD142" i="1"/>
  <c r="Z142" i="1"/>
  <c r="N142" i="1"/>
  <c r="AZ227" i="32" a="1"/>
  <c r="AZ227" i="32" s="1"/>
  <c r="S142" i="1"/>
  <c r="AZ222" i="32" a="1"/>
  <c r="AZ222" i="32" s="1"/>
  <c r="Z154" i="1"/>
  <c r="AG154" i="1"/>
  <c r="AD154" i="1"/>
  <c r="S154" i="1"/>
  <c r="N154" i="1"/>
  <c r="N190" i="1"/>
  <c r="AD190" i="1"/>
  <c r="S190" i="1"/>
  <c r="Z190" i="1"/>
  <c r="AG190" i="1"/>
  <c r="AZ280" i="32" a="1"/>
  <c r="AZ280" i="32" s="1"/>
  <c r="AG201" i="1"/>
  <c r="N201" i="1"/>
  <c r="Z201" i="1"/>
  <c r="AZ54" i="32" a="1"/>
  <c r="AZ54" i="32" s="1"/>
  <c r="S201" i="1"/>
  <c r="AD201" i="1"/>
  <c r="BO135" i="37"/>
  <c r="BP135" i="37" s="1"/>
  <c r="BO171" i="37"/>
  <c r="BP171" i="37" s="1"/>
  <c r="BO194" i="37"/>
  <c r="BP194" i="37" s="1"/>
  <c r="BO206" i="37"/>
  <c r="BP206" i="37" s="1"/>
  <c r="BO181" i="37"/>
  <c r="BP181" i="37" s="1"/>
  <c r="BO228" i="37"/>
  <c r="BP228" i="37" s="1"/>
  <c r="BO278" i="37"/>
  <c r="BP278" i="37" s="1"/>
  <c r="BO160" i="37"/>
  <c r="BP160" i="37" s="1"/>
  <c r="BO255" i="37"/>
  <c r="BP255" i="37" s="1"/>
  <c r="BO192" i="37"/>
  <c r="BP192" i="37" s="1"/>
  <c r="BO288" i="37"/>
  <c r="BP288" i="37" s="1"/>
  <c r="BO111" i="37"/>
  <c r="BP111" i="37" s="1"/>
  <c r="BO123" i="37"/>
  <c r="BP123" i="37" s="1"/>
  <c r="BO254" i="37"/>
  <c r="BP254" i="37" s="1"/>
  <c r="BO16" i="37"/>
  <c r="BP16" i="37" s="1"/>
  <c r="BO261" i="37"/>
  <c r="BP261" i="37" s="1"/>
  <c r="BO157" i="37"/>
  <c r="BP157" i="37" s="1"/>
  <c r="BO147" i="37"/>
  <c r="BP147" i="37" s="1"/>
  <c r="BO159" i="37"/>
  <c r="BP159" i="37" s="1"/>
  <c r="BO195" i="37"/>
  <c r="BP195" i="37" s="1"/>
  <c r="BO264" i="37"/>
  <c r="BP264" i="37" s="1"/>
  <c r="BO148" i="37"/>
  <c r="BP148" i="37" s="1"/>
  <c r="BO243" i="37"/>
  <c r="BP243" i="37" s="1"/>
  <c r="BO225" i="37"/>
  <c r="BP225" i="37" s="1"/>
  <c r="Z249" i="1"/>
  <c r="AZ154" i="32" a="1"/>
  <c r="AZ154" i="32" s="1"/>
  <c r="S249" i="1"/>
  <c r="N249" i="1"/>
  <c r="AG249" i="1"/>
  <c r="AD249" i="1"/>
  <c r="BO216" i="37"/>
  <c r="BP216" i="37" s="1"/>
  <c r="BO289" i="37"/>
  <c r="BP289" i="37" s="1"/>
  <c r="BO64" i="37"/>
  <c r="BP64" i="37" s="1"/>
  <c r="BO219" i="37"/>
  <c r="BP219" i="37" s="1"/>
  <c r="BO73" i="37"/>
  <c r="BP73" i="37" s="1"/>
  <c r="Z61" i="1"/>
  <c r="AZ76" i="32" a="1"/>
  <c r="AZ76" i="32" s="1"/>
  <c r="AD61" i="1"/>
  <c r="N61" i="1"/>
  <c r="S61" i="1"/>
  <c r="AG61" i="1"/>
  <c r="AD133" i="1"/>
  <c r="AG133" i="1"/>
  <c r="N133" i="1"/>
  <c r="Z133" i="1"/>
  <c r="S133" i="1"/>
  <c r="AZ211" i="32" a="1"/>
  <c r="AZ211" i="32" s="1"/>
  <c r="BO204" i="37"/>
  <c r="BP204" i="37" s="1"/>
  <c r="BO230" i="37"/>
  <c r="BP230" i="37" s="1"/>
  <c r="BO266" i="37"/>
  <c r="BP266" i="37" s="1"/>
  <c r="AD213" i="1"/>
  <c r="Z213" i="1"/>
  <c r="AZ115" i="32" a="1"/>
  <c r="AZ115" i="32" s="1"/>
  <c r="AG213" i="1"/>
  <c r="N213" i="1"/>
  <c r="S213" i="1"/>
  <c r="AD225" i="1"/>
  <c r="N225" i="1"/>
  <c r="Z225" i="1"/>
  <c r="S225" i="1"/>
  <c r="AZ129" i="32" a="1"/>
  <c r="AZ129" i="32" s="1"/>
  <c r="AG225" i="1"/>
  <c r="AG237" i="1"/>
  <c r="Z237" i="1"/>
  <c r="S237" i="1"/>
  <c r="AD237" i="1"/>
  <c r="N237" i="1"/>
  <c r="AZ293" i="32" a="1"/>
  <c r="AZ293" i="32" s="1"/>
  <c r="Z13" i="1"/>
  <c r="AZ19" i="32" a="1"/>
  <c r="AZ19" i="32" s="1"/>
  <c r="S13" i="1"/>
  <c r="N13" i="1"/>
  <c r="AG13" i="1"/>
  <c r="AD13" i="1"/>
  <c r="N25" i="1"/>
  <c r="AD25" i="1"/>
  <c r="Z25" i="1"/>
  <c r="AG25" i="1"/>
  <c r="AZ31" i="32" a="1"/>
  <c r="AZ31" i="32" s="1"/>
  <c r="S25" i="1"/>
  <c r="Z37" i="1"/>
  <c r="AZ92" i="32" a="1"/>
  <c r="AZ92" i="32" s="1"/>
  <c r="N37" i="1"/>
  <c r="AG37" i="1"/>
  <c r="AD37" i="1"/>
  <c r="S37" i="1"/>
  <c r="N49" i="1"/>
  <c r="Z49" i="1"/>
  <c r="AD49" i="1"/>
  <c r="AG49" i="1"/>
  <c r="AZ64" i="32" a="1"/>
  <c r="AZ64" i="32" s="1"/>
  <c r="S49" i="1"/>
  <c r="AZ171" i="32" a="1"/>
  <c r="AZ171" i="32" s="1"/>
  <c r="AG73" i="1"/>
  <c r="Z73" i="1"/>
  <c r="S73" i="1"/>
  <c r="AD73" i="1"/>
  <c r="N73" i="1"/>
  <c r="Z85" i="1"/>
  <c r="S85" i="1"/>
  <c r="AD85" i="1"/>
  <c r="AZ105" i="32" a="1"/>
  <c r="AZ105" i="32" s="1"/>
  <c r="AG85" i="1"/>
  <c r="N85" i="1"/>
  <c r="S97" i="1"/>
  <c r="AD97" i="1"/>
  <c r="Z97" i="1"/>
  <c r="N97" i="1"/>
  <c r="AZ145" i="32" a="1"/>
  <c r="AZ145" i="32" s="1"/>
  <c r="AG97" i="1"/>
  <c r="N109" i="1"/>
  <c r="AZ165" i="32" a="1"/>
  <c r="AZ165" i="32" s="1"/>
  <c r="Z109" i="1"/>
  <c r="S109" i="1"/>
  <c r="AG109" i="1"/>
  <c r="AD109" i="1"/>
  <c r="AZ27" i="32" a="1"/>
  <c r="AZ27" i="32" s="1"/>
  <c r="S121" i="1"/>
  <c r="N121" i="1"/>
  <c r="Z121" i="1"/>
  <c r="AG121" i="1"/>
  <c r="AD121" i="1"/>
  <c r="AZ247" i="32" a="1"/>
  <c r="AZ247" i="32" s="1"/>
  <c r="AG169" i="1"/>
  <c r="N169" i="1"/>
  <c r="AD169" i="1"/>
  <c r="Z169" i="1"/>
  <c r="S169" i="1"/>
  <c r="N240" i="1"/>
  <c r="AG240" i="1"/>
  <c r="Z240" i="1"/>
  <c r="AD240" i="1"/>
  <c r="AZ133" i="32" a="1"/>
  <c r="AZ133" i="32" s="1"/>
  <c r="S240" i="1"/>
  <c r="BO252" i="37"/>
  <c r="BP252" i="37" s="1"/>
  <c r="BO276" i="37"/>
  <c r="BP276" i="37" s="1"/>
  <c r="BO218" i="37"/>
  <c r="BP218" i="37" s="1"/>
  <c r="BO172" i="37"/>
  <c r="BP172" i="37" s="1"/>
  <c r="BO267" i="37"/>
  <c r="BP267" i="37" s="1"/>
  <c r="S159" i="1"/>
  <c r="AD159" i="1"/>
  <c r="AG159" i="1"/>
  <c r="N159" i="1"/>
  <c r="Z159" i="1"/>
  <c r="AZ237" i="32" a="1"/>
  <c r="AZ237" i="32" s="1"/>
  <c r="BO242" i="37"/>
  <c r="BP242" i="37" s="1"/>
  <c r="BO207" i="37"/>
  <c r="BP207" i="37" s="1"/>
  <c r="S145" i="1"/>
  <c r="AG145" i="1"/>
  <c r="AD145" i="1"/>
  <c r="Z145" i="1"/>
  <c r="N145" i="1"/>
  <c r="AZ230" i="32" a="1"/>
  <c r="AZ230" i="32" s="1"/>
  <c r="N157" i="1"/>
  <c r="AZ225" i="32" a="1"/>
  <c r="AZ225" i="32" s="1"/>
  <c r="S157" i="1"/>
  <c r="Z157" i="1"/>
  <c r="AG157" i="1"/>
  <c r="AD157" i="1"/>
  <c r="S181" i="1"/>
  <c r="AG181" i="1"/>
  <c r="Z181" i="1"/>
  <c r="AD181" i="1"/>
  <c r="AZ268" i="32" a="1"/>
  <c r="AZ268" i="32" s="1"/>
  <c r="N181" i="1"/>
  <c r="S192" i="1"/>
  <c r="Z192" i="1"/>
  <c r="AG192" i="1"/>
  <c r="AD192" i="1"/>
  <c r="N192" i="1"/>
  <c r="AG204" i="1"/>
  <c r="AD204" i="1"/>
  <c r="Z204" i="1"/>
  <c r="AZ249" i="32" a="1"/>
  <c r="AZ249" i="32" s="1"/>
  <c r="S204" i="1"/>
  <c r="N204" i="1"/>
  <c r="Z216" i="1"/>
  <c r="S216" i="1"/>
  <c r="N216" i="1"/>
  <c r="AG216" i="1"/>
  <c r="AD216" i="1"/>
  <c r="AZ122" i="32" a="1"/>
  <c r="AZ122" i="32" s="1"/>
  <c r="S228" i="1"/>
  <c r="Z228" i="1"/>
  <c r="N228" i="1"/>
  <c r="AG228" i="1"/>
  <c r="AZ110" i="32" a="1"/>
  <c r="AZ110" i="32" s="1"/>
  <c r="AD228" i="1"/>
  <c r="Z252" i="1"/>
  <c r="AZ157" i="32" a="1"/>
  <c r="AZ157" i="32" s="1"/>
  <c r="AG252" i="1"/>
  <c r="N252" i="1"/>
  <c r="S252" i="1"/>
  <c r="AD252" i="1"/>
  <c r="S264" i="1"/>
  <c r="N264" i="1"/>
  <c r="Z264" i="1"/>
  <c r="AG264" i="1"/>
  <c r="AD264" i="1"/>
  <c r="AZ188" i="32" a="1"/>
  <c r="AZ188" i="32" s="1"/>
  <c r="N276" i="1"/>
  <c r="AD276" i="1"/>
  <c r="AG276" i="1"/>
  <c r="AZ218" i="32" a="1"/>
  <c r="AZ218" i="32" s="1"/>
  <c r="Z276" i="1"/>
  <c r="S276" i="1"/>
  <c r="N288" i="1"/>
  <c r="AG288" i="1"/>
  <c r="AD288" i="1"/>
  <c r="Z288" i="1"/>
  <c r="AZ284" i="32" a="1"/>
  <c r="AZ284" i="32" s="1"/>
  <c r="S288" i="1"/>
  <c r="Z99" i="1"/>
  <c r="AG99" i="1"/>
  <c r="AD99" i="1"/>
  <c r="AZ147" i="32" a="1"/>
  <c r="AZ147" i="32" s="1"/>
  <c r="S99" i="1"/>
  <c r="N99" i="1"/>
  <c r="AG111" i="1"/>
  <c r="AZ255" i="32" a="1"/>
  <c r="AZ255" i="32" s="1"/>
  <c r="AD111" i="1"/>
  <c r="Z111" i="1"/>
  <c r="N111" i="1"/>
  <c r="S111" i="1"/>
  <c r="N123" i="1"/>
  <c r="AG123" i="1"/>
  <c r="AD123" i="1"/>
  <c r="Z123" i="1"/>
  <c r="AZ39" i="32" a="1"/>
  <c r="AZ39" i="32" s="1"/>
  <c r="S123" i="1"/>
  <c r="AZ213" i="32" a="1"/>
  <c r="AZ213" i="32" s="1"/>
  <c r="Z135" i="1"/>
  <c r="N135" i="1"/>
  <c r="AG135" i="1"/>
  <c r="AD135" i="1"/>
  <c r="S135" i="1"/>
  <c r="AG147" i="1"/>
  <c r="S147" i="1"/>
  <c r="N147" i="1"/>
  <c r="AD147" i="1"/>
  <c r="Z147" i="1"/>
  <c r="AZ232" i="32" a="1"/>
  <c r="AZ232" i="32" s="1"/>
  <c r="S171" i="1"/>
  <c r="AG171" i="1"/>
  <c r="AD171" i="1"/>
  <c r="N171" i="1"/>
  <c r="Z171" i="1"/>
  <c r="AZ258" i="32" a="1"/>
  <c r="AZ258" i="32" s="1"/>
  <c r="BO4" i="37"/>
  <c r="BP4" i="37" s="1"/>
  <c r="BO136" i="37"/>
  <c r="BP136" i="37" s="1"/>
  <c r="BO100" i="37"/>
  <c r="BP100" i="37" s="1"/>
  <c r="BO52" i="37"/>
  <c r="BP52" i="37" s="1"/>
  <c r="BO76" i="37"/>
  <c r="BP76" i="37" s="1"/>
  <c r="BO88" i="37"/>
  <c r="BP88" i="37" s="1"/>
  <c r="BO112" i="37"/>
  <c r="BP112" i="37" s="1"/>
  <c r="BO279" i="37"/>
  <c r="BP279" i="37" s="1"/>
  <c r="BO28" i="37"/>
  <c r="BP28" i="37" s="1"/>
  <c r="BO273" i="37"/>
  <c r="BP273" i="37" s="1"/>
  <c r="AD266" i="1"/>
  <c r="AG266" i="1"/>
  <c r="Z266" i="1"/>
  <c r="AZ190" i="32" a="1"/>
  <c r="AZ190" i="32" s="1"/>
  <c r="S266" i="1"/>
  <c r="N266" i="1"/>
  <c r="N278" i="1"/>
  <c r="AZ202" i="32" a="1"/>
  <c r="AZ202" i="32" s="1"/>
  <c r="S278" i="1"/>
  <c r="AG278" i="1"/>
  <c r="Z278" i="1"/>
  <c r="AD278" i="1"/>
  <c r="AZ34" i="32" a="1"/>
  <c r="AZ34" i="32" s="1"/>
  <c r="Z28" i="1"/>
  <c r="S28" i="1"/>
  <c r="AD28" i="1"/>
  <c r="N28" i="1"/>
  <c r="AG28" i="1"/>
  <c r="Z184" i="1"/>
  <c r="AG184" i="1"/>
  <c r="AD184" i="1"/>
  <c r="S184" i="1"/>
  <c r="N184" i="1"/>
  <c r="AZ274" i="32" a="1"/>
  <c r="AZ274" i="32" s="1"/>
  <c r="BO231" i="37"/>
  <c r="BP231" i="37" s="1"/>
  <c r="Z279" i="1"/>
  <c r="AZ203" i="32" a="1"/>
  <c r="AZ203" i="32" s="1"/>
  <c r="S279" i="1"/>
  <c r="AG279" i="1"/>
  <c r="AD279" i="1"/>
  <c r="N279" i="1"/>
  <c r="AZ273" i="32" a="1"/>
  <c r="AZ273" i="32" s="1"/>
  <c r="AG183" i="1"/>
  <c r="S183" i="1"/>
  <c r="AD183" i="1"/>
  <c r="N183" i="1"/>
  <c r="Z183" i="1"/>
  <c r="AZ10" i="32" a="1"/>
  <c r="AZ10" i="32" s="1"/>
  <c r="N194" i="1"/>
  <c r="Z194" i="1"/>
  <c r="AG194" i="1"/>
  <c r="S194" i="1"/>
  <c r="AD194" i="1"/>
  <c r="N206" i="1"/>
  <c r="AD206" i="1"/>
  <c r="AZ251" i="32" a="1"/>
  <c r="AZ251" i="32" s="1"/>
  <c r="AG206" i="1"/>
  <c r="S206" i="1"/>
  <c r="Z206" i="1"/>
  <c r="S218" i="1"/>
  <c r="N218" i="1"/>
  <c r="AD218" i="1"/>
  <c r="Z218" i="1"/>
  <c r="AZ124" i="32" a="1"/>
  <c r="AZ124" i="32" s="1"/>
  <c r="AG218" i="1"/>
  <c r="AG230" i="1"/>
  <c r="N230" i="1"/>
  <c r="Z230" i="1"/>
  <c r="AZ286" i="32" a="1"/>
  <c r="AZ286" i="32" s="1"/>
  <c r="AD230" i="1"/>
  <c r="S230" i="1"/>
  <c r="N242" i="1"/>
  <c r="AD242" i="1"/>
  <c r="AZ137" i="32" a="1"/>
  <c r="AZ137" i="32" s="1"/>
  <c r="S242" i="1"/>
  <c r="AG242" i="1"/>
  <c r="Z242" i="1"/>
  <c r="S254" i="1"/>
  <c r="AG254" i="1"/>
  <c r="Z254" i="1"/>
  <c r="AD254" i="1"/>
  <c r="AZ178" i="32" a="1"/>
  <c r="AZ178" i="32" s="1"/>
  <c r="N254" i="1"/>
  <c r="Z289" i="1"/>
  <c r="S289" i="1"/>
  <c r="AD289" i="1"/>
  <c r="N289" i="1"/>
  <c r="AG289" i="1"/>
  <c r="N4" i="1"/>
  <c r="AZ4" i="32" a="1"/>
  <c r="AZ4" i="32" s="1"/>
  <c r="Z4" i="1"/>
  <c r="S4" i="1"/>
  <c r="AD4" i="1"/>
  <c r="AG4" i="1"/>
  <c r="AG16" i="1"/>
  <c r="AD16" i="1"/>
  <c r="N16" i="1"/>
  <c r="AZ22" i="32" a="1"/>
  <c r="AZ22" i="32" s="1"/>
  <c r="S16" i="1"/>
  <c r="Z16" i="1"/>
  <c r="AZ95" i="32" a="1"/>
  <c r="AZ95" i="32" s="1"/>
  <c r="N40" i="1"/>
  <c r="AG40" i="1"/>
  <c r="S40" i="1"/>
  <c r="Z40" i="1"/>
  <c r="AD40" i="1"/>
  <c r="AG52" i="1"/>
  <c r="Z52" i="1"/>
  <c r="AZ67" i="32" a="1"/>
  <c r="AZ67" i="32" s="1"/>
  <c r="S52" i="1"/>
  <c r="N52" i="1"/>
  <c r="AD52" i="1"/>
  <c r="S64" i="1"/>
  <c r="Z64" i="1"/>
  <c r="AZ79" i="32" a="1"/>
  <c r="AZ79" i="32" s="1"/>
  <c r="N64" i="1"/>
  <c r="AD64" i="1"/>
  <c r="AG64" i="1"/>
  <c r="AD76" i="1"/>
  <c r="AG76" i="1"/>
  <c r="Z76" i="1"/>
  <c r="N76" i="1"/>
  <c r="AZ174" i="32" a="1"/>
  <c r="AZ174" i="32" s="1"/>
  <c r="S76" i="1"/>
  <c r="AG88" i="1"/>
  <c r="Z88" i="1"/>
  <c r="AZ100" i="32" a="1"/>
  <c r="AZ100" i="32" s="1"/>
  <c r="S88" i="1"/>
  <c r="AD88" i="1"/>
  <c r="N88" i="1"/>
  <c r="S100" i="1"/>
  <c r="AG100" i="1"/>
  <c r="AD100" i="1"/>
  <c r="Z100" i="1"/>
  <c r="AZ148" i="32" a="1"/>
  <c r="AZ148" i="32" s="1"/>
  <c r="N100" i="1"/>
  <c r="AD112" i="1"/>
  <c r="Z112" i="1"/>
  <c r="AZ49" i="32" a="1"/>
  <c r="AZ49" i="32" s="1"/>
  <c r="AG112" i="1"/>
  <c r="N112" i="1"/>
  <c r="S112" i="1"/>
  <c r="S124" i="1"/>
  <c r="Z124" i="1"/>
  <c r="AG124" i="1"/>
  <c r="AZ40" i="32" a="1"/>
  <c r="AZ40" i="32" s="1"/>
  <c r="N124" i="1"/>
  <c r="AD124" i="1"/>
  <c r="AG136" i="1"/>
  <c r="N136" i="1"/>
  <c r="AZ214" i="32" a="1"/>
  <c r="AZ214" i="32" s="1"/>
  <c r="AD136" i="1"/>
  <c r="S136" i="1"/>
  <c r="Z136" i="1"/>
  <c r="N148" i="1"/>
  <c r="Z148" i="1"/>
  <c r="AZ233" i="32" a="1"/>
  <c r="AZ233" i="32" s="1"/>
  <c r="AD148" i="1"/>
  <c r="S148" i="1"/>
  <c r="AG148" i="1"/>
  <c r="Z160" i="1"/>
  <c r="S160" i="1"/>
  <c r="N160" i="1"/>
  <c r="AD160" i="1"/>
  <c r="AZ238" i="32" a="1"/>
  <c r="AZ238" i="32" s="1"/>
  <c r="AG160" i="1"/>
  <c r="AZ266" i="32" a="1"/>
  <c r="AZ266" i="32" s="1"/>
  <c r="N172" i="1"/>
  <c r="AD172" i="1"/>
  <c r="S172" i="1"/>
  <c r="Z172" i="1"/>
  <c r="AG172" i="1"/>
  <c r="BO184" i="37"/>
  <c r="BP184" i="37" s="1"/>
  <c r="N195" i="1"/>
  <c r="S195" i="1"/>
  <c r="AG195" i="1"/>
  <c r="Z195" i="1"/>
  <c r="AZ11" i="32" a="1"/>
  <c r="AZ11" i="32" s="1"/>
  <c r="AD195" i="1"/>
  <c r="AD207" i="1"/>
  <c r="AG207" i="1"/>
  <c r="AZ252" i="32" a="1"/>
  <c r="AZ252" i="32" s="1"/>
  <c r="N207" i="1"/>
  <c r="S207" i="1"/>
  <c r="Z207" i="1"/>
  <c r="N219" i="1"/>
  <c r="AD219" i="1"/>
  <c r="Z219" i="1"/>
  <c r="AG219" i="1"/>
  <c r="AZ125" i="32" a="1"/>
  <c r="AZ125" i="32" s="1"/>
  <c r="S219" i="1"/>
  <c r="AZ287" i="32" a="1"/>
  <c r="AZ287" i="32" s="1"/>
  <c r="AD231" i="1"/>
  <c r="N231" i="1"/>
  <c r="Z231" i="1"/>
  <c r="S231" i="1"/>
  <c r="AG231" i="1"/>
  <c r="AZ138" i="32" a="1"/>
  <c r="AZ138" i="32" s="1"/>
  <c r="S243" i="1"/>
  <c r="N243" i="1"/>
  <c r="AD243" i="1"/>
  <c r="Z243" i="1"/>
  <c r="AG243" i="1"/>
  <c r="S255" i="1"/>
  <c r="Z255" i="1"/>
  <c r="AG255" i="1"/>
  <c r="AD255" i="1"/>
  <c r="AZ179" i="32" a="1"/>
  <c r="AZ179" i="32" s="1"/>
  <c r="N255" i="1"/>
  <c r="AD267" i="1"/>
  <c r="AZ191" i="32" a="1"/>
  <c r="AZ191" i="32" s="1"/>
  <c r="AG267" i="1"/>
  <c r="S267" i="1"/>
  <c r="N267" i="1"/>
  <c r="Z267" i="1"/>
  <c r="S261" i="1"/>
  <c r="AG261" i="1"/>
  <c r="Z261" i="1"/>
  <c r="AZ185" i="32" a="1"/>
  <c r="AZ185" i="32" s="1"/>
  <c r="AD261" i="1"/>
  <c r="N261" i="1"/>
  <c r="AD273" i="1"/>
  <c r="AZ199" i="32" a="1"/>
  <c r="AZ199" i="32" s="1"/>
  <c r="N273" i="1"/>
  <c r="S273" i="1"/>
  <c r="AG273" i="1"/>
  <c r="Z273" i="1"/>
  <c r="S285" i="1"/>
  <c r="N285" i="1"/>
  <c r="AG285" i="1"/>
  <c r="Z285" i="1"/>
  <c r="AD285" i="1"/>
  <c r="AZ271" i="32" a="1"/>
  <c r="AZ271" i="32" s="1"/>
  <c r="BO285" i="37"/>
  <c r="BP285" i="37" s="1"/>
  <c r="AV26" i="37" a="1"/>
  <c r="AV26" i="37" s="1"/>
  <c r="AV51" i="37" a="1"/>
  <c r="AV51" i="37" s="1"/>
  <c r="AV256" i="37" a="1"/>
  <c r="AV256" i="37" s="1"/>
  <c r="AV182" i="37" a="1"/>
  <c r="AV182" i="37" s="1"/>
  <c r="AV205" i="37" a="1"/>
  <c r="AV205" i="37" s="1"/>
  <c r="AV112" i="37" a="1"/>
  <c r="AV112" i="37" s="1"/>
  <c r="AV195" i="37" a="1"/>
  <c r="AV195" i="37" s="1"/>
  <c r="AV218" i="37" a="1"/>
  <c r="AV218" i="37" s="1"/>
  <c r="AV251" i="37" a="1"/>
  <c r="AV251" i="37" s="1"/>
  <c r="AV184" i="37" a="1"/>
  <c r="AV184" i="37" s="1"/>
  <c r="AV144" i="37" a="1"/>
  <c r="AV144" i="37" s="1"/>
  <c r="AV199" i="37" a="1"/>
  <c r="AV199" i="37" s="1"/>
  <c r="AV47" i="37" a="1"/>
  <c r="AV47" i="37" s="1"/>
  <c r="AV59" i="37" a="1"/>
  <c r="AV59" i="37" s="1"/>
  <c r="AV198" i="37" a="1"/>
  <c r="AV198" i="37" s="1"/>
  <c r="AV19" i="37" a="1"/>
  <c r="AV19" i="37" s="1"/>
  <c r="AV96" i="37" a="1"/>
  <c r="AV96" i="37" s="1"/>
  <c r="AV22" i="37" a="1"/>
  <c r="AV22" i="37" s="1"/>
  <c r="AV9" i="37" a="1"/>
  <c r="AV9" i="37" s="1"/>
  <c r="AV122" i="37" a="1"/>
  <c r="AV122" i="37" s="1"/>
  <c r="AV253" i="37" a="1"/>
  <c r="AV253" i="37" s="1"/>
  <c r="AV12" i="37" a="1"/>
  <c r="AV12" i="37" s="1"/>
  <c r="AV86" i="37" a="1"/>
  <c r="AV86" i="37" s="1"/>
  <c r="AV262" i="37" a="1"/>
  <c r="AV262" i="37" s="1"/>
  <c r="AV172" i="37" a="1"/>
  <c r="AV172" i="37" s="1"/>
  <c r="AV103" i="37" a="1"/>
  <c r="AV103" i="37" s="1"/>
  <c r="AV73" i="37" a="1"/>
  <c r="AV73" i="37" s="1"/>
  <c r="AV162" i="37" a="1"/>
  <c r="AV162" i="37" s="1"/>
  <c r="AV179" i="37" a="1"/>
  <c r="AV179" i="37" s="1"/>
  <c r="AV200" i="37" a="1"/>
  <c r="AV200" i="37" s="1"/>
  <c r="AV271" i="37" a="1"/>
  <c r="AV271" i="37" s="1"/>
  <c r="AV23" i="37" a="1"/>
  <c r="AV23" i="37" s="1"/>
  <c r="AV69" i="37" a="1"/>
  <c r="AV69" i="37" s="1"/>
  <c r="AV17" i="37" a="1"/>
  <c r="AV17" i="37" s="1"/>
  <c r="AV263" i="37" a="1"/>
  <c r="AV263" i="37" s="1"/>
  <c r="AV116" i="37" a="1"/>
  <c r="AV116" i="37" s="1"/>
  <c r="AV193" i="37" a="1"/>
  <c r="AV193" i="37" s="1"/>
  <c r="AV110" i="37" a="1"/>
  <c r="AV110" i="37" s="1"/>
  <c r="AV186" i="37" a="1"/>
  <c r="AV186" i="37" s="1"/>
  <c r="AV143" i="37" a="1"/>
  <c r="AV143" i="37" s="1"/>
  <c r="AV163" i="37" a="1"/>
  <c r="AV163" i="37" s="1"/>
  <c r="AV232" i="37" a="1"/>
  <c r="AV232" i="37" s="1"/>
  <c r="AV285" i="37" a="1"/>
  <c r="AV285" i="37" s="1"/>
  <c r="AV165" i="37" a="1"/>
  <c r="AV165" i="37" s="1"/>
  <c r="AV281" i="37" a="1"/>
  <c r="AV281" i="37" s="1"/>
  <c r="AV230" i="37" a="1"/>
  <c r="AV230" i="37" s="1"/>
  <c r="AV226" i="37" a="1"/>
  <c r="AV226" i="37" s="1"/>
  <c r="AV3" i="37" a="1"/>
  <c r="AV3" i="37" s="1"/>
  <c r="AV261" i="37" a="1"/>
  <c r="AV261" i="37" s="1"/>
  <c r="AV104" i="37" a="1"/>
  <c r="AV104" i="37" s="1"/>
  <c r="AV29" i="37" a="1"/>
  <c r="AV29" i="37" s="1"/>
  <c r="AV121" i="37" a="1"/>
  <c r="AV121" i="37" s="1"/>
  <c r="AV264" i="37" a="1"/>
  <c r="AV264" i="37" s="1"/>
  <c r="AV119" i="37" a="1"/>
  <c r="AV119" i="37" s="1"/>
  <c r="AV18" i="37" a="1"/>
  <c r="AV18" i="37" s="1"/>
  <c r="AV149" i="37" a="1"/>
  <c r="AV149" i="37" s="1"/>
  <c r="AV89" i="37" a="1"/>
  <c r="AV89" i="37" s="1"/>
  <c r="AV211" i="37" a="1"/>
  <c r="AV211" i="37" s="1"/>
  <c r="AV40" i="37" a="1"/>
  <c r="AV40" i="37" s="1"/>
  <c r="AV127" i="37" a="1"/>
  <c r="AV127" i="37" s="1"/>
  <c r="AV164" i="37" a="1"/>
  <c r="AV164" i="37" s="1"/>
  <c r="AV243" i="37" a="1"/>
  <c r="AV243" i="37" s="1"/>
  <c r="AV183" i="37" a="1"/>
  <c r="AV183" i="37" s="1"/>
  <c r="AV4" i="37" a="1"/>
  <c r="AV4" i="37" s="1"/>
  <c r="M256" i="11"/>
  <c r="Q256" i="11" s="1"/>
  <c r="AV275" i="37" a="1"/>
  <c r="AV275" i="37" s="1"/>
  <c r="AV145" i="37" a="1"/>
  <c r="AV145" i="37" s="1"/>
  <c r="AV276" i="37" a="1"/>
  <c r="AV276" i="37" s="1"/>
  <c r="AV221" i="37" a="1"/>
  <c r="AV221" i="37" s="1"/>
  <c r="AV214" i="37" a="1"/>
  <c r="AV214" i="37" s="1"/>
  <c r="AV139" i="37" a="1"/>
  <c r="AV139" i="37" s="1"/>
  <c r="AV160" i="37" a="1"/>
  <c r="AV160" i="37" s="1"/>
  <c r="AV187" i="37" a="1"/>
  <c r="AV187" i="37" s="1"/>
  <c r="AV118" i="37" a="1"/>
  <c r="AV118" i="37" s="1"/>
  <c r="AV254" i="37" a="1"/>
  <c r="AV254" i="37" s="1"/>
  <c r="AV5" i="37" a="1"/>
  <c r="AV5" i="37" s="1"/>
  <c r="M196" i="11"/>
  <c r="Q196" i="11" s="1"/>
  <c r="AV79" i="37" a="1"/>
  <c r="AV79" i="37" s="1"/>
  <c r="AV213" i="37" a="1"/>
  <c r="AV213" i="37" s="1"/>
  <c r="AV189" i="37" a="1"/>
  <c r="AV189" i="37" s="1"/>
  <c r="AV58" i="37" a="1"/>
  <c r="AV58" i="37" s="1"/>
  <c r="AV197" i="37" a="1"/>
  <c r="AV197" i="37" s="1"/>
  <c r="AV222" i="37" a="1"/>
  <c r="AV222" i="37" s="1"/>
  <c r="AV71" i="37" a="1"/>
  <c r="AV71" i="37" s="1"/>
  <c r="AV41" i="37" a="1"/>
  <c r="AV41" i="37" s="1"/>
  <c r="AV203" i="37" a="1"/>
  <c r="AV203" i="37" s="1"/>
  <c r="AV53" i="37" a="1"/>
  <c r="AV53" i="37" s="1"/>
  <c r="AV161" i="37" a="1"/>
  <c r="AV161" i="37" s="1"/>
  <c r="AV64" i="37" a="1"/>
  <c r="AV64" i="37" s="1"/>
  <c r="AV206" i="37" a="1"/>
  <c r="AV206" i="37" s="1"/>
  <c r="AV166" i="37" a="1"/>
  <c r="AV166" i="37" s="1"/>
  <c r="M31" i="11"/>
  <c r="Q31" i="11" s="1"/>
  <c r="AV93" i="37" a="1"/>
  <c r="AV93" i="37" s="1"/>
  <c r="AV42" i="37" a="1"/>
  <c r="AV42" i="37" s="1"/>
  <c r="AV105" i="37" a="1"/>
  <c r="AV105" i="37" s="1"/>
  <c r="AV159" i="37" a="1"/>
  <c r="AV159" i="37" s="1"/>
  <c r="AV252" i="37" a="1"/>
  <c r="AV252" i="37" s="1"/>
  <c r="AV109" i="37" a="1"/>
  <c r="AV109" i="37" s="1"/>
  <c r="AV267" i="37" a="1"/>
  <c r="AV267" i="37" s="1"/>
  <c r="AV80" i="37" a="1"/>
  <c r="AV80" i="37" s="1"/>
  <c r="AV209" i="37" a="1"/>
  <c r="AV209" i="37" s="1"/>
  <c r="AV234" i="37" a="1"/>
  <c r="AV234" i="37" s="1"/>
  <c r="AV265" i="37" a="1"/>
  <c r="AV265" i="37" s="1"/>
  <c r="AV224" i="37" a="1"/>
  <c r="AV224" i="37" s="1"/>
  <c r="AV84" i="37" a="1"/>
  <c r="AV84" i="37" s="1"/>
  <c r="AV130" i="37" a="1"/>
  <c r="AV130" i="37" s="1"/>
  <c r="AV44" i="37" a="1"/>
  <c r="AV44" i="37" s="1"/>
  <c r="AV2" i="37" a="1"/>
  <c r="AV2" i="37" s="1"/>
  <c r="AV95" i="37" a="1"/>
  <c r="AV95" i="37" s="1"/>
  <c r="AV35" i="37" a="1"/>
  <c r="AV35" i="37" s="1"/>
  <c r="AV120" i="37" a="1"/>
  <c r="AV120" i="37" s="1"/>
  <c r="AV32" i="37" a="1"/>
  <c r="AV32" i="37" s="1"/>
  <c r="AV43" i="37" a="1"/>
  <c r="AV43" i="37" s="1"/>
  <c r="AV138" i="37" a="1"/>
  <c r="AV138" i="37" s="1"/>
  <c r="AV174" i="37" a="1"/>
  <c r="AV174" i="37" s="1"/>
  <c r="AV247" i="37" a="1"/>
  <c r="AV247" i="37" s="1"/>
  <c r="AV140" i="37" a="1"/>
  <c r="AV140" i="37" s="1"/>
  <c r="AV50" i="37" a="1"/>
  <c r="AV50" i="37" s="1"/>
  <c r="AV49" i="37" a="1"/>
  <c r="AV49" i="37" s="1"/>
  <c r="AV66" i="37" a="1"/>
  <c r="AV66" i="37" s="1"/>
  <c r="AV225" i="37" a="1"/>
  <c r="AV225" i="37" s="1"/>
  <c r="AV239" i="37" a="1"/>
  <c r="AV239" i="37" s="1"/>
  <c r="AV151" i="37" a="1"/>
  <c r="AV151" i="37" s="1"/>
  <c r="AV63" i="37" a="1"/>
  <c r="AV63" i="37" s="1"/>
  <c r="AV242" i="37" a="1"/>
  <c r="AV242" i="37" s="1"/>
  <c r="AV70" i="37" a="1"/>
  <c r="AV70" i="37" s="1"/>
  <c r="AV185" i="37" a="1"/>
  <c r="AV185" i="37" s="1"/>
  <c r="AV207" i="37" a="1"/>
  <c r="AV207" i="37" s="1"/>
  <c r="AV158" i="37" a="1"/>
  <c r="AV158" i="37" s="1"/>
  <c r="AV258" i="37" a="1"/>
  <c r="AV258" i="37" s="1"/>
  <c r="M268" i="11"/>
  <c r="Q268" i="11" s="1"/>
  <c r="AV277" i="37" a="1"/>
  <c r="AV277" i="37" s="1"/>
  <c r="AV38" i="37" a="1"/>
  <c r="AV38" i="37" s="1"/>
  <c r="AV134" i="37" a="1"/>
  <c r="AV134" i="37" s="1"/>
  <c r="AV217" i="37" a="1"/>
  <c r="AV217" i="37" s="1"/>
  <c r="AV194" i="37" a="1"/>
  <c r="AV194" i="37" s="1"/>
  <c r="AV135" i="37" a="1"/>
  <c r="AV135" i="37" s="1"/>
  <c r="AV168" i="37" a="1"/>
  <c r="AV168" i="37" s="1"/>
  <c r="AV180" i="37" a="1"/>
  <c r="AV180" i="37" s="1"/>
  <c r="AV54" i="37" a="1"/>
  <c r="AV54" i="37" s="1"/>
  <c r="AV100" i="37" a="1"/>
  <c r="AV100" i="37" s="1"/>
  <c r="AV128" i="37" a="1"/>
  <c r="AV128" i="37" s="1"/>
  <c r="AV154" i="37" a="1"/>
  <c r="AV154" i="37" s="1"/>
  <c r="AV123" i="37" a="1"/>
  <c r="AV123" i="37" s="1"/>
  <c r="AV212" i="37" a="1"/>
  <c r="AV212" i="37" s="1"/>
  <c r="AV153" i="37" a="1"/>
  <c r="AV153" i="37" s="1"/>
  <c r="AV142" i="37" a="1"/>
  <c r="AV142" i="37" s="1"/>
  <c r="AV191" i="37" a="1"/>
  <c r="AV191" i="37" s="1"/>
  <c r="AV236" i="37" a="1"/>
  <c r="AV236" i="37" s="1"/>
  <c r="AV27" i="37" a="1"/>
  <c r="AV27" i="37" s="1"/>
  <c r="AV99" i="37" a="1"/>
  <c r="AV99" i="37" s="1"/>
  <c r="M120" i="11"/>
  <c r="Q120" i="11" s="1"/>
  <c r="AV137" i="37" a="1"/>
  <c r="AV137" i="37" s="1"/>
  <c r="AV16" i="37" a="1"/>
  <c r="AV16" i="37" s="1"/>
  <c r="AV255" i="37" a="1"/>
  <c r="AV255" i="37" s="1"/>
  <c r="AV28" i="37" a="1"/>
  <c r="AV28" i="37" s="1"/>
  <c r="AV192" i="37" a="1"/>
  <c r="AV192" i="37" s="1"/>
  <c r="AV233" i="37" a="1"/>
  <c r="AV233" i="37" s="1"/>
  <c r="AV113" i="37" a="1"/>
  <c r="AV113" i="37" s="1"/>
  <c r="AV289" i="37" a="1"/>
  <c r="AV289" i="37" s="1"/>
  <c r="AV98" i="37" a="1"/>
  <c r="AV98" i="37" s="1"/>
  <c r="AV111" i="37" a="1"/>
  <c r="AV111" i="37" s="1"/>
  <c r="AV33" i="37" a="1"/>
  <c r="AV33" i="37" s="1"/>
  <c r="AV88" i="37" a="1"/>
  <c r="AV88" i="37" s="1"/>
  <c r="AV92" i="37" a="1"/>
  <c r="AV92" i="37" s="1"/>
  <c r="AV286" i="37" a="1"/>
  <c r="AV286" i="37" s="1"/>
  <c r="AV227" i="37" a="1"/>
  <c r="AV227" i="37" s="1"/>
  <c r="M12" i="11"/>
  <c r="AV68" i="37" a="1"/>
  <c r="AV68" i="37" s="1"/>
  <c r="AV270" i="37" a="1"/>
  <c r="AV270" i="37" s="1"/>
  <c r="AV272" i="37" a="1"/>
  <c r="AV272" i="37" s="1"/>
  <c r="AV246" i="37" a="1"/>
  <c r="AV246" i="37" s="1"/>
  <c r="AV202" i="37" a="1"/>
  <c r="AV202" i="37" s="1"/>
  <c r="AV87" i="37" a="1"/>
  <c r="AV87" i="37" s="1"/>
  <c r="AV150" i="37" a="1"/>
  <c r="AV150" i="37" s="1"/>
  <c r="AV62" i="37" a="1"/>
  <c r="AV62" i="37" s="1"/>
  <c r="AV250" i="37" a="1"/>
  <c r="AV250" i="37" s="1"/>
  <c r="AV106" i="37" a="1"/>
  <c r="AV106" i="37" s="1"/>
  <c r="AV46" i="37" a="1"/>
  <c r="AV46" i="37" s="1"/>
  <c r="AV284" i="37" a="1"/>
  <c r="AV284" i="37" s="1"/>
  <c r="AV114" i="37" a="1"/>
  <c r="AV114" i="37" s="1"/>
  <c r="AV266" i="37" a="1"/>
  <c r="AV266" i="37" s="1"/>
  <c r="AV215" i="37" a="1"/>
  <c r="AV215" i="37" s="1"/>
  <c r="AV146" i="37" a="1"/>
  <c r="AV146" i="37" s="1"/>
  <c r="AV6" i="37" a="1"/>
  <c r="AV6" i="37" s="1"/>
  <c r="AV204" i="37" a="1"/>
  <c r="AV204" i="37" s="1"/>
  <c r="AV220" i="37" a="1"/>
  <c r="AV220" i="37" s="1"/>
  <c r="AV24" i="37" a="1"/>
  <c r="AV24" i="37" s="1"/>
  <c r="AV25" i="37" a="1"/>
  <c r="AV25" i="37" s="1"/>
  <c r="AV156" i="37" a="1"/>
  <c r="AV156" i="37" s="1"/>
  <c r="M259" i="11"/>
  <c r="Q259" i="11" s="1"/>
  <c r="AV248" i="37" a="1"/>
  <c r="AV248" i="37" s="1"/>
  <c r="AV141" i="37" a="1"/>
  <c r="AV141" i="37" s="1"/>
  <c r="AV48" i="37" a="1"/>
  <c r="AV48" i="37" s="1"/>
  <c r="AV244" i="37" a="1"/>
  <c r="AV244" i="37" s="1"/>
  <c r="AV101" i="37" a="1"/>
  <c r="AV101" i="37" s="1"/>
  <c r="AV7" i="37" a="1"/>
  <c r="AV7" i="37" s="1"/>
  <c r="AV280" i="37" a="1"/>
  <c r="AV280" i="37" s="1"/>
  <c r="AV82" i="37" a="1"/>
  <c r="AV82" i="37" s="1"/>
  <c r="AV97" i="37" a="1"/>
  <c r="AV97" i="37" s="1"/>
  <c r="AV240" i="37" a="1"/>
  <c r="AV240" i="37" s="1"/>
  <c r="AV241" i="37" a="1"/>
  <c r="AV241" i="37" s="1"/>
  <c r="AV108" i="37" a="1"/>
  <c r="AV108" i="37" s="1"/>
  <c r="AV229" i="37" a="1"/>
  <c r="AV229" i="37" s="1"/>
  <c r="AV273" i="37" a="1"/>
  <c r="AV273" i="37" s="1"/>
  <c r="AV136" i="37" a="1"/>
  <c r="AV136" i="37" s="1"/>
  <c r="AV147" i="37" a="1"/>
  <c r="AV147" i="37" s="1"/>
  <c r="AV76" i="37" a="1"/>
  <c r="AV76" i="37" s="1"/>
  <c r="M279" i="11"/>
  <c r="Q279" i="11" s="1"/>
  <c r="AV231" i="37" a="1"/>
  <c r="AV231" i="37" s="1"/>
  <c r="AV85" i="37" a="1"/>
  <c r="AV85" i="37" s="1"/>
  <c r="AV181" i="37" a="1"/>
  <c r="AV181" i="37" s="1"/>
  <c r="AV91" i="37" a="1"/>
  <c r="AV91" i="37" s="1"/>
  <c r="AV237" i="37" a="1"/>
  <c r="AV237" i="37" s="1"/>
  <c r="AV34" i="37" a="1"/>
  <c r="AV34" i="37" s="1"/>
  <c r="AV176" i="37" a="1"/>
  <c r="AV176" i="37" s="1"/>
  <c r="AV219" i="37" a="1"/>
  <c r="AV219" i="37" s="1"/>
  <c r="AV94" i="37" a="1"/>
  <c r="AV94" i="37" s="1"/>
  <c r="AV279" i="37" a="1"/>
  <c r="AV279" i="37" s="1"/>
  <c r="M245" i="11"/>
  <c r="Q245" i="11" s="1"/>
  <c r="M232" i="11"/>
  <c r="Q232" i="11" s="1"/>
  <c r="M194" i="11"/>
  <c r="Q194" i="11" s="1"/>
  <c r="M225" i="11"/>
  <c r="Q225" i="11" s="1"/>
  <c r="M153" i="11"/>
  <c r="Q153" i="11" s="1"/>
  <c r="AV61" i="37" a="1"/>
  <c r="AV61" i="37" s="1"/>
  <c r="AV210" i="37" a="1"/>
  <c r="AV210" i="37" s="1"/>
  <c r="AV78" i="37" a="1"/>
  <c r="AV78" i="37" s="1"/>
  <c r="AV196" i="37" a="1"/>
  <c r="AV196" i="37" s="1"/>
  <c r="AV173" i="37" a="1"/>
  <c r="AV173" i="37" s="1"/>
  <c r="AV20" i="37" a="1"/>
  <c r="AV20" i="37" s="1"/>
  <c r="AV124" i="37" a="1"/>
  <c r="AV124" i="37" s="1"/>
  <c r="AV132" i="37" a="1"/>
  <c r="AV132" i="37" s="1"/>
  <c r="AV125" i="37" a="1"/>
  <c r="AV125" i="37" s="1"/>
  <c r="AV83" i="37" a="1"/>
  <c r="AV83" i="37" s="1"/>
  <c r="AV90" i="37" a="1"/>
  <c r="AV90" i="37" s="1"/>
  <c r="AV31" i="37" a="1"/>
  <c r="AV31" i="37" s="1"/>
  <c r="M278" i="11"/>
  <c r="Q278" i="11" s="1"/>
  <c r="AV37" i="37" a="1"/>
  <c r="AV37" i="37" s="1"/>
  <c r="AV268" i="37" a="1"/>
  <c r="AV268" i="37" s="1"/>
  <c r="AV107" i="37" a="1"/>
  <c r="AV107" i="37" s="1"/>
  <c r="AV169" i="37" a="1"/>
  <c r="AV169" i="37" s="1"/>
  <c r="M222" i="11"/>
  <c r="Q222" i="11" s="1"/>
  <c r="M78" i="11"/>
  <c r="Q78" i="11" s="1"/>
  <c r="M72" i="11"/>
  <c r="Q72" i="11" s="1"/>
  <c r="M185" i="11"/>
  <c r="Q185" i="11" s="1"/>
  <c r="M81" i="11"/>
  <c r="Q81" i="11" s="1"/>
  <c r="M28" i="11"/>
  <c r="Q28" i="11" s="1"/>
  <c r="M160" i="11"/>
  <c r="Q160" i="11" s="1"/>
  <c r="M104" i="11"/>
  <c r="Q104" i="11" s="1"/>
  <c r="AV155" i="37" a="1"/>
  <c r="AV155" i="37" s="1"/>
  <c r="AV102" i="37" a="1"/>
  <c r="AV102" i="37" s="1"/>
  <c r="AV171" i="37" a="1"/>
  <c r="AV171" i="37" s="1"/>
  <c r="AV257" i="37" a="1"/>
  <c r="AV257" i="37" s="1"/>
  <c r="AV39" i="37" a="1"/>
  <c r="AV39" i="37" s="1"/>
  <c r="AV30" i="37" a="1"/>
  <c r="AV30" i="37" s="1"/>
  <c r="AV177" i="37" a="1"/>
  <c r="AV177" i="37" s="1"/>
  <c r="AV288" i="37" a="1"/>
  <c r="AV288" i="37" s="1"/>
  <c r="AV10" i="37" a="1"/>
  <c r="AV10" i="37" s="1"/>
  <c r="AV45" i="37" a="1"/>
  <c r="AV45" i="37" s="1"/>
  <c r="AV52" i="37" a="1"/>
  <c r="AV52" i="37" s="1"/>
  <c r="M210" i="11"/>
  <c r="Q210" i="11" s="1"/>
  <c r="M66" i="11"/>
  <c r="Q66" i="11" s="1"/>
  <c r="M124" i="11"/>
  <c r="Q124" i="11" s="1"/>
  <c r="M262" i="11"/>
  <c r="Q262" i="11" s="1"/>
  <c r="M173" i="11"/>
  <c r="Q173" i="11" s="1"/>
  <c r="M112" i="11"/>
  <c r="Q112" i="11" s="1"/>
  <c r="M188" i="11"/>
  <c r="Q188" i="11" s="1"/>
  <c r="M88" i="11"/>
  <c r="Q88" i="11" s="1"/>
  <c r="M116" i="11"/>
  <c r="Q116" i="11" s="1"/>
  <c r="AV57" i="37" a="1"/>
  <c r="AV57" i="37" s="1"/>
  <c r="AV152" i="37" a="1"/>
  <c r="AV152" i="37" s="1"/>
  <c r="AV175" i="37" a="1"/>
  <c r="AV175" i="37" s="1"/>
  <c r="AV178" i="37" a="1"/>
  <c r="AV178" i="37" s="1"/>
  <c r="AV117" i="37" a="1"/>
  <c r="AV117" i="37" s="1"/>
  <c r="AV11" i="37" a="1"/>
  <c r="AV11" i="37" s="1"/>
  <c r="AV228" i="37" a="1"/>
  <c r="AV228" i="37" s="1"/>
  <c r="AV133" i="37" a="1"/>
  <c r="AV133" i="37" s="1"/>
  <c r="AV259" i="37" a="1"/>
  <c r="AV259" i="37" s="1"/>
  <c r="AV72" i="37" a="1"/>
  <c r="AV72" i="37" s="1"/>
  <c r="AV55" i="37" a="1"/>
  <c r="AV55" i="37" s="1"/>
  <c r="M52" i="11"/>
  <c r="Q52" i="11" s="1"/>
  <c r="M207" i="11"/>
  <c r="Q207" i="11" s="1"/>
  <c r="M261" i="11"/>
  <c r="Q261" i="11" s="1"/>
  <c r="M280" i="11"/>
  <c r="Q280" i="11" s="1"/>
  <c r="AV129" i="37" a="1"/>
  <c r="AV129" i="37" s="1"/>
  <c r="AV65" i="37" a="1"/>
  <c r="AV65" i="37" s="1"/>
  <c r="AV148" i="37" a="1"/>
  <c r="AV148" i="37" s="1"/>
  <c r="AV269" i="37" a="1"/>
  <c r="AV269" i="37" s="1"/>
  <c r="AV167" i="37" a="1"/>
  <c r="AV167" i="37" s="1"/>
  <c r="AV21" i="37" a="1"/>
  <c r="AV21" i="37" s="1"/>
  <c r="AV157" i="37" a="1"/>
  <c r="AV157" i="37" s="1"/>
  <c r="AV67" i="37" a="1"/>
  <c r="AV67" i="37" s="1"/>
  <c r="AV115" i="37" a="1"/>
  <c r="AV115" i="37" s="1"/>
  <c r="AV131" i="37" a="1"/>
  <c r="AV131" i="37" s="1"/>
  <c r="AV81" i="37" a="1"/>
  <c r="AV81" i="37" s="1"/>
  <c r="AV13" i="37" a="1"/>
  <c r="AV13" i="37" s="1"/>
  <c r="AV278" i="37" a="1"/>
  <c r="AV278" i="37" s="1"/>
  <c r="AV14" i="37" a="1"/>
  <c r="AV14" i="37" s="1"/>
  <c r="AV56" i="37" a="1"/>
  <c r="AV56" i="37" s="1"/>
  <c r="AV245" i="37" a="1"/>
  <c r="AV245" i="37" s="1"/>
  <c r="AV75" i="37" a="1"/>
  <c r="AV75" i="37" s="1"/>
  <c r="M150" i="11"/>
  <c r="Q150" i="11" s="1"/>
  <c r="M41" i="11"/>
  <c r="Q41" i="11" s="1"/>
  <c r="M16" i="11"/>
  <c r="Q16" i="11" s="1"/>
  <c r="M135" i="11"/>
  <c r="Q135" i="11" s="1"/>
  <c r="M187" i="11"/>
  <c r="Q187" i="11" s="1"/>
  <c r="M158" i="11"/>
  <c r="Q158" i="11" s="1"/>
  <c r="M63" i="11"/>
  <c r="Q63" i="11" s="1"/>
  <c r="M115" i="11"/>
  <c r="Q115" i="11" s="1"/>
  <c r="M277" i="11"/>
  <c r="Q277" i="11" s="1"/>
  <c r="AV238" i="37" a="1"/>
  <c r="AV238" i="37" s="1"/>
  <c r="AV60" i="37" a="1"/>
  <c r="AV60" i="37" s="1"/>
  <c r="AV188" i="37" a="1"/>
  <c r="AV188" i="37" s="1"/>
  <c r="AV283" i="37" a="1"/>
  <c r="AV283" i="37" s="1"/>
  <c r="AV223" i="37" a="1"/>
  <c r="AV223" i="37" s="1"/>
  <c r="AV36" i="37" a="1"/>
  <c r="AV36" i="37" s="1"/>
  <c r="AV170" i="37" a="1"/>
  <c r="AV170" i="37" s="1"/>
  <c r="AV282" i="37" a="1"/>
  <c r="AV282" i="37" s="1"/>
  <c r="M258" i="11"/>
  <c r="Q258" i="11" s="1"/>
  <c r="AV201" i="37" a="1"/>
  <c r="AV201" i="37" s="1"/>
  <c r="AV8" i="37" a="1"/>
  <c r="AV8" i="37" s="1"/>
  <c r="M138" i="11"/>
  <c r="Q138" i="11" s="1"/>
  <c r="M17" i="11"/>
  <c r="Q17" i="11" s="1"/>
  <c r="M101" i="11"/>
  <c r="Q101" i="11" s="1"/>
  <c r="M270" i="11"/>
  <c r="Q270" i="11" s="1"/>
  <c r="M60" i="11"/>
  <c r="Q60" i="11" s="1"/>
  <c r="M19" i="11"/>
  <c r="Q19" i="11" s="1"/>
  <c r="M204" i="11"/>
  <c r="Q204" i="11" s="1"/>
  <c r="M233" i="11"/>
  <c r="Q233" i="11" s="1"/>
  <c r="M161" i="11"/>
  <c r="Q161" i="11" s="1"/>
  <c r="M89" i="11"/>
  <c r="Q89" i="11" s="1"/>
  <c r="M51" i="11"/>
  <c r="Q51" i="11" s="1"/>
  <c r="M267" i="11"/>
  <c r="Q267" i="11" s="1"/>
  <c r="M193" i="11"/>
  <c r="Q193" i="11" s="1"/>
  <c r="M121" i="11"/>
  <c r="Q121" i="11" s="1"/>
  <c r="M49" i="11"/>
  <c r="Q49" i="11" s="1"/>
  <c r="M84" i="11"/>
  <c r="Q84" i="11" s="1"/>
  <c r="M215" i="11"/>
  <c r="Q215" i="11" s="1"/>
  <c r="M143" i="11"/>
  <c r="Q143" i="11" s="1"/>
  <c r="M71" i="11"/>
  <c r="Q71" i="11" s="1"/>
  <c r="M276" i="11"/>
  <c r="Q276" i="11" s="1"/>
  <c r="M202" i="11"/>
  <c r="Q202" i="11" s="1"/>
  <c r="M130" i="11"/>
  <c r="Q130" i="11" s="1"/>
  <c r="M58" i="11"/>
  <c r="Q58" i="11" s="1"/>
  <c r="M269" i="11"/>
  <c r="Q269" i="11" s="1"/>
  <c r="M195" i="11"/>
  <c r="Q195" i="11" s="1"/>
  <c r="M123" i="11"/>
  <c r="Q123" i="11" s="1"/>
  <c r="M27" i="11"/>
  <c r="Q27" i="11" s="1"/>
  <c r="M254" i="11"/>
  <c r="Q254" i="11" s="1"/>
  <c r="M182" i="11"/>
  <c r="Q182" i="11" s="1"/>
  <c r="M266" i="11"/>
  <c r="Q266" i="11" s="1"/>
  <c r="M192" i="11"/>
  <c r="Q192" i="11" s="1"/>
  <c r="M96" i="11"/>
  <c r="Q96" i="11" s="1"/>
  <c r="M213" i="11"/>
  <c r="Q213" i="11" s="1"/>
  <c r="M141" i="11"/>
  <c r="Q141" i="11" s="1"/>
  <c r="M69" i="11"/>
  <c r="Q69" i="11" s="1"/>
  <c r="M80" i="11"/>
  <c r="Q80" i="11" s="1"/>
  <c r="M248" i="11"/>
  <c r="Q248" i="11" s="1"/>
  <c r="M176" i="11"/>
  <c r="Q176" i="11" s="1"/>
  <c r="M92" i="11"/>
  <c r="Q92" i="11" s="1"/>
  <c r="M247" i="11"/>
  <c r="Q247" i="11" s="1"/>
  <c r="M175" i="11"/>
  <c r="Q175" i="11" s="1"/>
  <c r="M103" i="11"/>
  <c r="Q103" i="11" s="1"/>
  <c r="M272" i="11"/>
  <c r="Q272" i="11" s="1"/>
  <c r="M198" i="11"/>
  <c r="Q198" i="11" s="1"/>
  <c r="M126" i="11"/>
  <c r="Q126" i="11" s="1"/>
  <c r="M54" i="11"/>
  <c r="Q54" i="11" s="1"/>
  <c r="M40" i="11"/>
  <c r="Q40" i="11" s="1"/>
  <c r="M221" i="11"/>
  <c r="Q221" i="11" s="1"/>
  <c r="M149" i="11"/>
  <c r="Q149" i="11" s="1"/>
  <c r="M77" i="11"/>
  <c r="Q77" i="11" s="1"/>
  <c r="M134" i="11"/>
  <c r="Q134" i="11" s="1"/>
  <c r="M253" i="11"/>
  <c r="Q253" i="11" s="1"/>
  <c r="M181" i="11"/>
  <c r="Q181" i="11" s="1"/>
  <c r="M109" i="11"/>
  <c r="Q109" i="11" s="1"/>
  <c r="M37" i="11"/>
  <c r="Q37" i="11" s="1"/>
  <c r="M203" i="11"/>
  <c r="Q203" i="11" s="1"/>
  <c r="M131" i="11"/>
  <c r="Q131" i="11" s="1"/>
  <c r="M59" i="11"/>
  <c r="Q59" i="11" s="1"/>
  <c r="M264" i="11"/>
  <c r="Q264" i="11" s="1"/>
  <c r="M190" i="11"/>
  <c r="Q190" i="11" s="1"/>
  <c r="M118" i="11"/>
  <c r="Q118" i="11" s="1"/>
  <c r="M46" i="11"/>
  <c r="Q46" i="11" s="1"/>
  <c r="M244" i="11"/>
  <c r="Q244" i="11" s="1"/>
  <c r="M172" i="11"/>
  <c r="Q172" i="11" s="1"/>
  <c r="M100" i="11"/>
  <c r="Q100" i="11" s="1"/>
  <c r="M15" i="11"/>
  <c r="Q15" i="11" s="1"/>
  <c r="M255" i="11"/>
  <c r="Q255" i="11" s="1"/>
  <c r="M183" i="11"/>
  <c r="Q183" i="11" s="1"/>
  <c r="M111" i="11"/>
  <c r="Q111" i="11" s="1"/>
  <c r="M122" i="11"/>
  <c r="Q122" i="11" s="1"/>
  <c r="M242" i="11"/>
  <c r="Q242" i="11" s="1"/>
  <c r="M170" i="11"/>
  <c r="Q170" i="11" s="1"/>
  <c r="M252" i="11"/>
  <c r="Q252" i="11" s="1"/>
  <c r="M179" i="11"/>
  <c r="Q179" i="11" s="1"/>
  <c r="M24" i="11"/>
  <c r="Q24" i="11" s="1"/>
  <c r="M275" i="11"/>
  <c r="Q275" i="11" s="1"/>
  <c r="M201" i="11"/>
  <c r="Q201" i="11" s="1"/>
  <c r="M129" i="11"/>
  <c r="Q129" i="11" s="1"/>
  <c r="M57" i="11"/>
  <c r="Q57" i="11" s="1"/>
  <c r="M56" i="11"/>
  <c r="Q56" i="11" s="1"/>
  <c r="M236" i="11"/>
  <c r="Q236" i="11" s="1"/>
  <c r="M164" i="11"/>
  <c r="Q164" i="11" s="1"/>
  <c r="M68" i="11"/>
  <c r="Q68" i="11" s="1"/>
  <c r="M235" i="11"/>
  <c r="Q235" i="11" s="1"/>
  <c r="M163" i="11"/>
  <c r="Q163" i="11" s="1"/>
  <c r="M91" i="11"/>
  <c r="Q91" i="11" s="1"/>
  <c r="AV126" i="37" a="1"/>
  <c r="AV126" i="37" s="1"/>
  <c r="AV249" i="37" a="1"/>
  <c r="AV249" i="37" s="1"/>
  <c r="AV235" i="37" a="1"/>
  <c r="AV235" i="37" s="1"/>
  <c r="AV274" i="37" a="1"/>
  <c r="AV274" i="37" s="1"/>
  <c r="AV287" i="37" a="1"/>
  <c r="AV287" i="37" s="1"/>
  <c r="AV15" i="37" a="1"/>
  <c r="AV15" i="37" s="1"/>
  <c r="M260" i="11"/>
  <c r="Q260" i="11" s="1"/>
  <c r="M186" i="11"/>
  <c r="Q186" i="11" s="1"/>
  <c r="M114" i="11"/>
  <c r="Q114" i="11" s="1"/>
  <c r="M42" i="11"/>
  <c r="Q42" i="11" s="1"/>
  <c r="M39" i="11"/>
  <c r="Q39" i="11" s="1"/>
  <c r="M209" i="11"/>
  <c r="Q209" i="11" s="1"/>
  <c r="M137" i="11"/>
  <c r="Q137" i="11" s="1"/>
  <c r="M65" i="11"/>
  <c r="Q65" i="11" s="1"/>
  <c r="M98" i="11"/>
  <c r="Q98" i="11" s="1"/>
  <c r="M241" i="11"/>
  <c r="Q241" i="11" s="1"/>
  <c r="M169" i="11"/>
  <c r="Q169" i="11" s="1"/>
  <c r="M97" i="11"/>
  <c r="Q97" i="11" s="1"/>
  <c r="M25" i="11"/>
  <c r="Q25" i="11" s="1"/>
  <c r="M265" i="11"/>
  <c r="Q265" i="11" s="1"/>
  <c r="M191" i="11"/>
  <c r="Q191" i="11" s="1"/>
  <c r="M119" i="11"/>
  <c r="Q119" i="11" s="1"/>
  <c r="M47" i="11"/>
  <c r="Q47" i="11" s="1"/>
  <c r="M250" i="11"/>
  <c r="Q250" i="11" s="1"/>
  <c r="M180" i="11"/>
  <c r="Q180" i="11" s="1"/>
  <c r="M106" i="11"/>
  <c r="Q106" i="11" s="1"/>
  <c r="M243" i="11"/>
  <c r="Q243" i="11" s="1"/>
  <c r="M171" i="11"/>
  <c r="Q171" i="11" s="1"/>
  <c r="M99" i="11"/>
  <c r="Q99" i="11" s="1"/>
  <c r="M86" i="11"/>
  <c r="Q86" i="11" s="1"/>
  <c r="M230" i="11"/>
  <c r="Q230" i="11" s="1"/>
  <c r="M110" i="11"/>
  <c r="Q110" i="11" s="1"/>
  <c r="M240" i="11"/>
  <c r="Q240" i="11" s="1"/>
  <c r="M168" i="11"/>
  <c r="Q168" i="11" s="1"/>
  <c r="M263" i="11"/>
  <c r="Q263" i="11" s="1"/>
  <c r="M189" i="11"/>
  <c r="Q189" i="11" s="1"/>
  <c r="M117" i="11"/>
  <c r="Q117" i="11" s="1"/>
  <c r="M45" i="11"/>
  <c r="Q45" i="11" s="1"/>
  <c r="M32" i="11"/>
  <c r="Q32" i="11" s="1"/>
  <c r="M224" i="11"/>
  <c r="Q224" i="11" s="1"/>
  <c r="M152" i="11"/>
  <c r="Q152" i="11" s="1"/>
  <c r="M44" i="11"/>
  <c r="Q44" i="11" s="1"/>
  <c r="M223" i="11"/>
  <c r="Q223" i="11" s="1"/>
  <c r="M151" i="11"/>
  <c r="Q151" i="11" s="1"/>
  <c r="M79" i="11"/>
  <c r="Q79" i="11" s="1"/>
  <c r="M246" i="11"/>
  <c r="Q246" i="11" s="1"/>
  <c r="M174" i="11"/>
  <c r="Q174" i="11" s="1"/>
  <c r="M102" i="11"/>
  <c r="Q102" i="11" s="1"/>
  <c r="M30" i="11"/>
  <c r="Q30" i="11" s="1"/>
  <c r="M146" i="11"/>
  <c r="Q146" i="11" s="1"/>
  <c r="M271" i="11"/>
  <c r="Q271" i="11" s="1"/>
  <c r="M197" i="11"/>
  <c r="Q197" i="11" s="1"/>
  <c r="M125" i="11"/>
  <c r="Q125" i="11" s="1"/>
  <c r="M53" i="11"/>
  <c r="Q53" i="11" s="1"/>
  <c r="M38" i="11"/>
  <c r="Q38" i="11" s="1"/>
  <c r="M229" i="11"/>
  <c r="Q229" i="11" s="1"/>
  <c r="M157" i="11"/>
  <c r="Q157" i="11" s="1"/>
  <c r="M85" i="11"/>
  <c r="Q85" i="11" s="1"/>
  <c r="M13" i="11"/>
  <c r="Q13" i="11" s="1"/>
  <c r="M251" i="11"/>
  <c r="Q251" i="11" s="1"/>
  <c r="M178" i="11"/>
  <c r="Q178" i="11" s="1"/>
  <c r="M107" i="11"/>
  <c r="Q107" i="11" s="1"/>
  <c r="M35" i="11"/>
  <c r="Q35" i="11" s="1"/>
  <c r="M238" i="11"/>
  <c r="Q238" i="11" s="1"/>
  <c r="M166" i="11"/>
  <c r="Q166" i="11" s="1"/>
  <c r="M94" i="11"/>
  <c r="Q94" i="11" s="1"/>
  <c r="M220" i="11"/>
  <c r="Q220" i="11" s="1"/>
  <c r="M148" i="11"/>
  <c r="Q148" i="11" s="1"/>
  <c r="M76" i="11"/>
  <c r="Q76" i="11" s="1"/>
  <c r="M74" i="11"/>
  <c r="Q74" i="11" s="1"/>
  <c r="M231" i="11"/>
  <c r="Q231" i="11" s="1"/>
  <c r="M159" i="11"/>
  <c r="Q159" i="11" s="1"/>
  <c r="M87" i="11"/>
  <c r="Q87" i="11" s="1"/>
  <c r="M26" i="11"/>
  <c r="Q26" i="11" s="1"/>
  <c r="M218" i="11"/>
  <c r="Q218" i="11" s="1"/>
  <c r="M50" i="11"/>
  <c r="Q50" i="11" s="1"/>
  <c r="M228" i="11"/>
  <c r="Q228" i="11" s="1"/>
  <c r="M156" i="11"/>
  <c r="Q156" i="11" s="1"/>
  <c r="M249" i="11"/>
  <c r="Q249" i="11" s="1"/>
  <c r="M177" i="11"/>
  <c r="Q177" i="11" s="1"/>
  <c r="M105" i="11"/>
  <c r="Q105" i="11" s="1"/>
  <c r="M33" i="11"/>
  <c r="Q33" i="11" s="1"/>
  <c r="M55" i="11"/>
  <c r="Q55" i="11" s="1"/>
  <c r="M212" i="11"/>
  <c r="Q212" i="11" s="1"/>
  <c r="M140" i="11"/>
  <c r="Q140" i="11" s="1"/>
  <c r="M20" i="11"/>
  <c r="Q20" i="11" s="1"/>
  <c r="M211" i="11"/>
  <c r="Q211" i="11" s="1"/>
  <c r="M139" i="11"/>
  <c r="Q139" i="11" s="1"/>
  <c r="M67" i="11"/>
  <c r="Q67" i="11" s="1"/>
  <c r="M234" i="11"/>
  <c r="Q234" i="11" s="1"/>
  <c r="M162" i="11"/>
  <c r="Q162" i="11" s="1"/>
  <c r="M90" i="11"/>
  <c r="Q90" i="11" s="1"/>
  <c r="M18" i="11"/>
  <c r="Q18" i="11" s="1"/>
  <c r="M62" i="11"/>
  <c r="Q62" i="11" s="1"/>
  <c r="M257" i="11"/>
  <c r="Q257" i="11" s="1"/>
  <c r="M184" i="11"/>
  <c r="Q184" i="11" s="1"/>
  <c r="M113" i="11"/>
  <c r="Q113" i="11" s="1"/>
  <c r="M29" i="11"/>
  <c r="Q29" i="11" s="1"/>
  <c r="M48" i="11"/>
  <c r="Q48" i="11" s="1"/>
  <c r="M217" i="11"/>
  <c r="Q217" i="11" s="1"/>
  <c r="M145" i="11"/>
  <c r="Q145" i="11" s="1"/>
  <c r="M73" i="11"/>
  <c r="Q73" i="11" s="1"/>
  <c r="M132" i="11"/>
  <c r="Q132" i="11" s="1"/>
  <c r="M239" i="11"/>
  <c r="Q239" i="11" s="1"/>
  <c r="M167" i="11"/>
  <c r="Q167" i="11" s="1"/>
  <c r="M95" i="11"/>
  <c r="Q95" i="11" s="1"/>
  <c r="M23" i="11"/>
  <c r="Q23" i="11" s="1"/>
  <c r="M226" i="11"/>
  <c r="Q226" i="11" s="1"/>
  <c r="M154" i="11"/>
  <c r="Q154" i="11" s="1"/>
  <c r="M82" i="11"/>
  <c r="Q82" i="11" s="1"/>
  <c r="AV74" i="37" a="1"/>
  <c r="AV74" i="37" s="1"/>
  <c r="AV77" i="37" a="1"/>
  <c r="AV77" i="37" s="1"/>
  <c r="AV208" i="37" a="1"/>
  <c r="AV208" i="37" s="1"/>
  <c r="AV190" i="37" a="1"/>
  <c r="AV190" i="37" s="1"/>
  <c r="AV260" i="37" a="1"/>
  <c r="AV260" i="37" s="1"/>
  <c r="AV216" i="37" a="1"/>
  <c r="AV216" i="37" s="1"/>
  <c r="M208" i="11"/>
  <c r="Q208" i="11" s="1"/>
  <c r="M136" i="11"/>
  <c r="Q136" i="11" s="1"/>
  <c r="M64" i="11"/>
  <c r="Q64" i="11" s="1"/>
  <c r="M14" i="11"/>
  <c r="M219" i="11"/>
  <c r="Q219" i="11" s="1"/>
  <c r="M147" i="11"/>
  <c r="Q147" i="11" s="1"/>
  <c r="M75" i="11"/>
  <c r="Q75" i="11" s="1"/>
  <c r="M36" i="11"/>
  <c r="Q36" i="11" s="1"/>
  <c r="M206" i="11"/>
  <c r="Q206" i="11" s="1"/>
  <c r="M34" i="11"/>
  <c r="Q34" i="11" s="1"/>
  <c r="M216" i="11"/>
  <c r="Q216" i="11" s="1"/>
  <c r="M144" i="11"/>
  <c r="Q144" i="11" s="1"/>
  <c r="M237" i="11"/>
  <c r="Q237" i="11" s="1"/>
  <c r="M165" i="11"/>
  <c r="Q165" i="11" s="1"/>
  <c r="M93" i="11"/>
  <c r="Q93" i="11" s="1"/>
  <c r="M21" i="11"/>
  <c r="Q21" i="11" s="1"/>
  <c r="M274" i="11"/>
  <c r="Q274" i="11" s="1"/>
  <c r="M200" i="11"/>
  <c r="Q200" i="11" s="1"/>
  <c r="M128" i="11"/>
  <c r="Q128" i="11" s="1"/>
  <c r="M273" i="11"/>
  <c r="Q273" i="11" s="1"/>
  <c r="M199" i="11"/>
  <c r="Q199" i="11" s="1"/>
  <c r="M127" i="11"/>
  <c r="Q127" i="11" s="1"/>
  <c r="M43" i="11"/>
  <c r="Q43" i="11" s="1"/>
  <c r="M205" i="11"/>
  <c r="Q205" i="11" s="1"/>
  <c r="M133" i="11"/>
  <c r="Q133" i="11" s="1"/>
  <c r="M61" i="11"/>
  <c r="Q61" i="11" s="1"/>
  <c r="M108" i="11"/>
  <c r="Q108" i="11" s="1"/>
  <c r="M227" i="11"/>
  <c r="Q227" i="11" s="1"/>
  <c r="M155" i="11"/>
  <c r="Q155" i="11" s="1"/>
  <c r="M83" i="11"/>
  <c r="Q83" i="11" s="1"/>
  <c r="M22" i="11"/>
  <c r="Q22" i="11" s="1"/>
  <c r="M214" i="11"/>
  <c r="Q214" i="11" s="1"/>
  <c r="M142" i="11"/>
  <c r="Q142" i="11" s="1"/>
  <c r="M70" i="11"/>
  <c r="Q70" i="11" s="1"/>
  <c r="AG2" i="1"/>
  <c r="BL119" i="37" a="1"/>
  <c r="BL119" i="37" s="1"/>
  <c r="BD108" i="37" a="1"/>
  <c r="BD108" i="37" s="1"/>
  <c r="AZ54" i="37" a="1"/>
  <c r="AZ54" i="37" s="1"/>
  <c r="AZ257" i="37" a="1"/>
  <c r="AZ257" i="37" s="1"/>
  <c r="BJ47" i="37" a="1"/>
  <c r="BJ47" i="37" s="1"/>
  <c r="BE2" i="37" a="1"/>
  <c r="BE2" i="37" s="1"/>
  <c r="AZ118" i="37" a="1"/>
  <c r="AZ118" i="37" s="1"/>
  <c r="BM42" i="37" a="1"/>
  <c r="BM42" i="37" s="1"/>
  <c r="BE143" i="37" a="1"/>
  <c r="BE143" i="37" s="1"/>
  <c r="BM93" i="37" a="1"/>
  <c r="BM93" i="37" s="1"/>
  <c r="BM80" i="37" a="1"/>
  <c r="BM80" i="37" s="1"/>
  <c r="BI115" i="37" a="1"/>
  <c r="BI115" i="37" s="1"/>
  <c r="AY46" i="37" a="1"/>
  <c r="AY46" i="37" s="1"/>
  <c r="BM57" i="37" a="1"/>
  <c r="BM57" i="37" s="1"/>
  <c r="AY150" i="37" a="1"/>
  <c r="AY150" i="37" s="1"/>
  <c r="BK245" i="37" a="1"/>
  <c r="BK245" i="37" s="1"/>
  <c r="BC97" i="37" a="1"/>
  <c r="BC97" i="37" s="1"/>
  <c r="AW119" i="37" a="1"/>
  <c r="AW119" i="37" s="1"/>
  <c r="AZ64" i="37" a="1"/>
  <c r="AZ64" i="37" s="1"/>
  <c r="BB89" i="37" a="1"/>
  <c r="BB89" i="37" s="1"/>
  <c r="BI105" i="37" a="1"/>
  <c r="BI105" i="37" s="1"/>
  <c r="BA52" i="37" a="1"/>
  <c r="BA52" i="37" s="1"/>
  <c r="AX177" i="37" a="1"/>
  <c r="AX177" i="37" s="1"/>
  <c r="BI181" i="37" a="1"/>
  <c r="BI181" i="37" s="1"/>
  <c r="BG98" i="37" a="1"/>
  <c r="BG98" i="37" s="1"/>
  <c r="BB109" i="37" a="1"/>
  <c r="BB109" i="37" s="1"/>
  <c r="BG56" i="37" a="1"/>
  <c r="BG56" i="37" s="1"/>
  <c r="BM111" i="37" a="1"/>
  <c r="BM111" i="37" s="1"/>
  <c r="BA40" i="37" a="1"/>
  <c r="BA40" i="37" s="1"/>
  <c r="BA72" i="37" a="1"/>
  <c r="BA72" i="37" s="1"/>
  <c r="BF3" i="37" a="1"/>
  <c r="BF3" i="37" s="1"/>
  <c r="BE59" i="37" a="1"/>
  <c r="BE59" i="37" s="1"/>
  <c r="BD92" i="37" a="1"/>
  <c r="BD92" i="37" s="1"/>
  <c r="BM66" i="37" a="1"/>
  <c r="BM66" i="37" s="1"/>
  <c r="BE162" i="37" a="1"/>
  <c r="BE162" i="37" s="1"/>
  <c r="BB276" i="37" a="1"/>
  <c r="BB276" i="37" s="1"/>
  <c r="BM86" i="37" a="1"/>
  <c r="BM86" i="37" s="1"/>
  <c r="AZ140" i="37" a="1"/>
  <c r="AZ140" i="37" s="1"/>
  <c r="AY93" i="37" a="1"/>
  <c r="AY93" i="37" s="1"/>
  <c r="BJ89" i="37" a="1"/>
  <c r="BJ89" i="37" s="1"/>
  <c r="BJ84" i="37" a="1"/>
  <c r="BJ84" i="37" s="1"/>
  <c r="BF61" i="37" a="1"/>
  <c r="BF61" i="37" s="1"/>
  <c r="BF177" i="37" a="1"/>
  <c r="BF177" i="37" s="1"/>
  <c r="BC46" i="37" a="1"/>
  <c r="BC46" i="37" s="1"/>
  <c r="AW279" i="37" a="1"/>
  <c r="AW279" i="37" s="1"/>
  <c r="BD61" i="37" a="1"/>
  <c r="BD61" i="37" s="1"/>
  <c r="BD47" i="37" a="1"/>
  <c r="BD47" i="37" s="1"/>
  <c r="AZ30" i="37" a="1"/>
  <c r="AZ30" i="37" s="1"/>
  <c r="BA75" i="37" a="1"/>
  <c r="BA75" i="37" s="1"/>
  <c r="BF121" i="37" a="1"/>
  <c r="BF121" i="37" s="1"/>
  <c r="BB83" i="37" a="1"/>
  <c r="BB83" i="37" s="1"/>
  <c r="BC187" i="37" a="1"/>
  <c r="BC187" i="37" s="1"/>
  <c r="BB43" i="37" a="1"/>
  <c r="BB43" i="37" s="1"/>
  <c r="BJ43" i="37" a="1"/>
  <c r="BJ43" i="37" s="1"/>
  <c r="BD191" i="37" a="1"/>
  <c r="BD191" i="37" s="1"/>
  <c r="BE63" i="37" a="1"/>
  <c r="BE63" i="37" s="1"/>
  <c r="BE39" i="37" a="1"/>
  <c r="BE39" i="37" s="1"/>
  <c r="BB265" i="37" a="1"/>
  <c r="BB265" i="37" s="1"/>
  <c r="BC153" i="37" a="1"/>
  <c r="BC153" i="37" s="1"/>
  <c r="BG104" i="37" a="1"/>
  <c r="BG104" i="37" s="1"/>
  <c r="BK8" i="37" a="1"/>
  <c r="BK8" i="37" s="1"/>
  <c r="BK140" i="37" a="1"/>
  <c r="BK140" i="37" s="1"/>
  <c r="BK269" i="37" a="1"/>
  <c r="BK269" i="37" s="1"/>
  <c r="BG111" i="37" a="1"/>
  <c r="BG111" i="37" s="1"/>
  <c r="BM38" i="37" a="1"/>
  <c r="BM38" i="37" s="1"/>
  <c r="BE136" i="37" a="1"/>
  <c r="BE136" i="37" s="1"/>
  <c r="BK190" i="37" a="1"/>
  <c r="BK190" i="37" s="1"/>
  <c r="BE151" i="37" a="1"/>
  <c r="BE151" i="37" s="1"/>
  <c r="BA215" i="37" a="1"/>
  <c r="BA215" i="37" s="1"/>
  <c r="BH78" i="37" a="1"/>
  <c r="BH78" i="37" s="1"/>
  <c r="BL229" i="37" a="1"/>
  <c r="BL229" i="37" s="1"/>
  <c r="AY57" i="37" a="1"/>
  <c r="AY57" i="37" s="1"/>
  <c r="BH56" i="37" a="1"/>
  <c r="BH56" i="37" s="1"/>
  <c r="BF54" i="37" a="1"/>
  <c r="BF54" i="37" s="1"/>
  <c r="BE176" i="37" a="1"/>
  <c r="BE176" i="37" s="1"/>
  <c r="BF2" i="37" a="1"/>
  <c r="BF2" i="37" s="1"/>
  <c r="AX64" i="37" a="1"/>
  <c r="AX64" i="37" s="1"/>
  <c r="BF104" i="37" a="1"/>
  <c r="BF104" i="37" s="1"/>
  <c r="BI75" i="37" a="1"/>
  <c r="BI75" i="37" s="1"/>
  <c r="BF185" i="37" a="1"/>
  <c r="BF185" i="37" s="1"/>
  <c r="BD180" i="37" a="1"/>
  <c r="BD180" i="37" s="1"/>
  <c r="BI84" i="37" a="1"/>
  <c r="BI84" i="37" s="1"/>
  <c r="BF165" i="37" a="1"/>
  <c r="BF165" i="37" s="1"/>
  <c r="BE155" i="37" a="1"/>
  <c r="BE155" i="37" s="1"/>
  <c r="BA81" i="37" a="1"/>
  <c r="BA81" i="37" s="1"/>
  <c r="AZ43" i="37" a="1"/>
  <c r="AZ43" i="37" s="1"/>
  <c r="BG8" i="37" a="1"/>
  <c r="BG8" i="37" s="1"/>
  <c r="BG140" i="37" a="1"/>
  <c r="BG140" i="37" s="1"/>
  <c r="BC85" i="37" a="1"/>
  <c r="BC85" i="37" s="1"/>
  <c r="BL65" i="37" a="1"/>
  <c r="BL65" i="37" s="1"/>
  <c r="BA98" i="37" a="1"/>
  <c r="BA98" i="37" s="1"/>
  <c r="BG147" i="37" a="1"/>
  <c r="BG147" i="37" s="1"/>
  <c r="BJ105" i="37" a="1"/>
  <c r="BJ105" i="37" s="1"/>
  <c r="BL91" i="37" a="1"/>
  <c r="BL91" i="37" s="1"/>
  <c r="BH153" i="37" a="1"/>
  <c r="BH153" i="37" s="1"/>
  <c r="BM212" i="37" a="1"/>
  <c r="BM212" i="37" s="1"/>
  <c r="BJ134" i="37" a="1"/>
  <c r="BJ134" i="37" s="1"/>
  <c r="AZ56" i="37" a="1"/>
  <c r="AZ56" i="37" s="1"/>
  <c r="BG6" i="37" a="1"/>
  <c r="BG6" i="37" s="1"/>
  <c r="BH39" i="37" a="1"/>
  <c r="BH39" i="37" s="1"/>
  <c r="BL86" i="37" a="1"/>
  <c r="BL86" i="37" s="1"/>
  <c r="AX59" i="37" a="1"/>
  <c r="AX59" i="37" s="1"/>
  <c r="BD54" i="37" a="1"/>
  <c r="BD54" i="37" s="1"/>
  <c r="BB62" i="37" a="1"/>
  <c r="BB62" i="37" s="1"/>
  <c r="BC57" i="37" a="1"/>
  <c r="BC57" i="37" s="1"/>
  <c r="BK185" i="37" a="1"/>
  <c r="BK185" i="37" s="1"/>
  <c r="BI257" i="37" a="1"/>
  <c r="BI257" i="37" s="1"/>
  <c r="BD49" i="37" a="1"/>
  <c r="BD49" i="37" s="1"/>
  <c r="BA49" i="37" a="1"/>
  <c r="BA49" i="37" s="1"/>
  <c r="BK271" i="37" a="1"/>
  <c r="BK271" i="37" s="1"/>
  <c r="BG281" i="37" a="1"/>
  <c r="BG281" i="37" s="1"/>
  <c r="BE88" i="37" a="1"/>
  <c r="BE88" i="37" s="1"/>
  <c r="BA55" i="37" a="1"/>
  <c r="BA55" i="37" s="1"/>
  <c r="AY170" i="37" a="1"/>
  <c r="AY170" i="37" s="1"/>
  <c r="BD95" i="37" a="1"/>
  <c r="BD95" i="37" s="1"/>
  <c r="BA2" i="37" a="1"/>
  <c r="BA2" i="37" s="1"/>
  <c r="BJ147" i="37" a="1"/>
  <c r="BJ147" i="37" s="1"/>
  <c r="BL154" i="37" a="1"/>
  <c r="BL154" i="37" s="1"/>
  <c r="BC42" i="37" a="1"/>
  <c r="BC42" i="37" s="1"/>
  <c r="BH243" i="37" a="1"/>
  <c r="BH243" i="37" s="1"/>
  <c r="BC76" i="37" a="1"/>
  <c r="BC76" i="37" s="1"/>
  <c r="BK192" i="37" a="1"/>
  <c r="BK192" i="37" s="1"/>
  <c r="BG128" i="37" a="1"/>
  <c r="BG128" i="37" s="1"/>
  <c r="BK6" i="37" a="1"/>
  <c r="BK6" i="37" s="1"/>
  <c r="AZ8" i="37" a="1"/>
  <c r="AZ8" i="37" s="1"/>
  <c r="BK176" i="37" a="1"/>
  <c r="BK176" i="37" s="1"/>
  <c r="BG90" i="37" a="1"/>
  <c r="BG90" i="37" s="1"/>
  <c r="BG132" i="37" a="1"/>
  <c r="BG132" i="37" s="1"/>
  <c r="AW63" i="37" a="1"/>
  <c r="AW63" i="37" s="1"/>
  <c r="BL272" i="37" a="1"/>
  <c r="BL272" i="37" s="1"/>
  <c r="AW156" i="37" a="1"/>
  <c r="AW156" i="37" s="1"/>
  <c r="AY166" i="37" a="1"/>
  <c r="AY166" i="37" s="1"/>
  <c r="BC75" i="37" a="1"/>
  <c r="BC75" i="37" s="1"/>
  <c r="BI142" i="37" a="1"/>
  <c r="BI142" i="37" s="1"/>
  <c r="BM123" i="37" a="1"/>
  <c r="BM123" i="37" s="1"/>
  <c r="AZ271" i="37" a="1"/>
  <c r="AZ271" i="37" s="1"/>
  <c r="BK18" i="37" a="1"/>
  <c r="BK18" i="37" s="1"/>
  <c r="BK102" i="37" a="1"/>
  <c r="BK102" i="37" s="1"/>
  <c r="BG174" i="37" a="1"/>
  <c r="BG174" i="37" s="1"/>
  <c r="AZ245" i="37" a="1"/>
  <c r="AZ245" i="37" s="1"/>
  <c r="BI2" i="37" a="1"/>
  <c r="BI2" i="37" s="1"/>
  <c r="AY88" i="37" a="1"/>
  <c r="AY88" i="37" s="1"/>
  <c r="AW102" i="37" a="1"/>
  <c r="AW102" i="37" s="1"/>
  <c r="BK131" i="37" a="1"/>
  <c r="BK131" i="37" s="1"/>
  <c r="BA41" i="37" a="1"/>
  <c r="BA41" i="37" s="1"/>
  <c r="BI54" i="37" a="1"/>
  <c r="BI54" i="37" s="1"/>
  <c r="AY199" i="37" a="1"/>
  <c r="AY199" i="37" s="1"/>
  <c r="BL3" i="37" a="1"/>
  <c r="BL3" i="37" s="1"/>
  <c r="AW75" i="37" a="1"/>
  <c r="AW75" i="37" s="1"/>
  <c r="BM43" i="37" a="1"/>
  <c r="BM43" i="37" s="1"/>
  <c r="BL116" i="37" a="1"/>
  <c r="BL116" i="37" s="1"/>
  <c r="BC83" i="37" a="1"/>
  <c r="BC83" i="37" s="1"/>
  <c r="BG44" i="37" a="1"/>
  <c r="BG44" i="37" s="1"/>
  <c r="BL39" i="37" a="1"/>
  <c r="BL39" i="37" s="1"/>
  <c r="AX73" i="37" a="1"/>
  <c r="AX73" i="37" s="1"/>
  <c r="BL117" i="37" a="1"/>
  <c r="BL117" i="37" s="1"/>
  <c r="BJ148" i="37" a="1"/>
  <c r="BJ148" i="37" s="1"/>
  <c r="BJ90" i="37" a="1"/>
  <c r="BJ90" i="37" s="1"/>
  <c r="AX129" i="37" a="1"/>
  <c r="AX129" i="37" s="1"/>
  <c r="BB77" i="37" a="1"/>
  <c r="BB77" i="37" s="1"/>
  <c r="AY226" i="37" a="1"/>
  <c r="AY226" i="37" s="1"/>
  <c r="BC2" i="37" a="1"/>
  <c r="BC2" i="37" s="1"/>
  <c r="BK191" i="37" a="1"/>
  <c r="BK191" i="37" s="1"/>
  <c r="BK118" i="37" a="1"/>
  <c r="BK118" i="37" s="1"/>
  <c r="BI201" i="37" a="1"/>
  <c r="BI201" i="37" s="1"/>
  <c r="BC84" i="37" a="1"/>
  <c r="BC84" i="37" s="1"/>
  <c r="AX126" i="37" a="1"/>
  <c r="AX126" i="37" s="1"/>
  <c r="BL140" i="37" a="1"/>
  <c r="BL140" i="37" s="1"/>
  <c r="BB51" i="37" a="1"/>
  <c r="BB51" i="37" s="1"/>
  <c r="BA58" i="37" a="1"/>
  <c r="BA58" i="37" s="1"/>
  <c r="BJ62" i="37" a="1"/>
  <c r="BJ62" i="37" s="1"/>
  <c r="BK77" i="37" a="1"/>
  <c r="BK77" i="37" s="1"/>
  <c r="AZ111" i="37" a="1"/>
  <c r="AZ111" i="37" s="1"/>
  <c r="BH72" i="37" a="1"/>
  <c r="BH72" i="37" s="1"/>
  <c r="BF58" i="37" a="1"/>
  <c r="BF58" i="37" s="1"/>
  <c r="BI245" i="37" a="1"/>
  <c r="BI245" i="37" s="1"/>
  <c r="BL108" i="37" a="1"/>
  <c r="BL108" i="37" s="1"/>
  <c r="AX65" i="37" a="1"/>
  <c r="AX65" i="37" s="1"/>
  <c r="BE132" i="37" a="1"/>
  <c r="BE132" i="37" s="1"/>
  <c r="BI121" i="37" a="1"/>
  <c r="BI121" i="37" s="1"/>
  <c r="BL95" i="37" a="1"/>
  <c r="BL95" i="37" s="1"/>
  <c r="AX147" i="37" a="1"/>
  <c r="AX147" i="37" s="1"/>
  <c r="AW107" i="37" a="1"/>
  <c r="AW107" i="37" s="1"/>
  <c r="BB162" i="37" a="1"/>
  <c r="BB162" i="37" s="1"/>
  <c r="BJ48" i="37" a="1"/>
  <c r="BJ48" i="37" s="1"/>
  <c r="BK134" i="37" a="1"/>
  <c r="BK134" i="37" s="1"/>
  <c r="BI60" i="37" a="1"/>
  <c r="BI60" i="37" s="1"/>
  <c r="BA113" i="37" a="1"/>
  <c r="BA113" i="37" s="1"/>
  <c r="AW46" i="37" a="1"/>
  <c r="AW46" i="37" s="1"/>
  <c r="AW106" i="37" a="1"/>
  <c r="AW106" i="37" s="1"/>
  <c r="BM41" i="37" a="1"/>
  <c r="BM41" i="37" s="1"/>
  <c r="AZ132" i="37" a="1"/>
  <c r="AZ132" i="37" s="1"/>
  <c r="BK72" i="37" a="1"/>
  <c r="BK72" i="37" s="1"/>
  <c r="AX67" i="37" a="1"/>
  <c r="AX67" i="37" s="1"/>
  <c r="BE67" i="37" a="1"/>
  <c r="BE67" i="37" s="1"/>
  <c r="BB244" i="37" a="1"/>
  <c r="BB244" i="37" s="1"/>
  <c r="BG176" i="37" a="1"/>
  <c r="BG176" i="37" s="1"/>
  <c r="BG259" i="37" a="1"/>
  <c r="BG259" i="37" s="1"/>
  <c r="BH6" i="37" a="1"/>
  <c r="BH6" i="37" s="1"/>
  <c r="BK66" i="37" a="1"/>
  <c r="BK66" i="37" s="1"/>
  <c r="BK126" i="37" a="1"/>
  <c r="BK126" i="37" s="1"/>
  <c r="BH174" i="37" a="1"/>
  <c r="BH174" i="37" s="1"/>
  <c r="BE60" i="37" a="1"/>
  <c r="BE60" i="37" s="1"/>
  <c r="BI262" i="37" a="1"/>
  <c r="BI262" i="37" s="1"/>
  <c r="BB94" i="37" a="1"/>
  <c r="BB94" i="37" s="1"/>
  <c r="BA146" i="37" a="1"/>
  <c r="BA146" i="37" s="1"/>
  <c r="BF87" i="37" a="1"/>
  <c r="BF87" i="37" s="1"/>
  <c r="AX63" i="37" a="1"/>
  <c r="AX63" i="37" s="1"/>
  <c r="AX70" i="37" a="1"/>
  <c r="AX70" i="37" s="1"/>
  <c r="BA73" i="37" a="1"/>
  <c r="BA73" i="37" s="1"/>
  <c r="BG72" i="37" a="1"/>
  <c r="BG72" i="37" s="1"/>
  <c r="BG3" i="37" a="1"/>
  <c r="BG3" i="37" s="1"/>
  <c r="BG170" i="37" a="1"/>
  <c r="BG170" i="37" s="1"/>
  <c r="BJ101" i="37" a="1"/>
  <c r="BJ101" i="37" s="1"/>
  <c r="BG78" i="37" a="1"/>
  <c r="BG78" i="37" s="1"/>
  <c r="BL87" i="37" a="1"/>
  <c r="BL87" i="37" s="1"/>
  <c r="BE73" i="37" a="1"/>
  <c r="BE73" i="37" s="1"/>
  <c r="BE177" i="37" a="1"/>
  <c r="BE177" i="37" s="1"/>
  <c r="BL127" i="37" a="1"/>
  <c r="BL127" i="37" s="1"/>
  <c r="BD208" i="37" a="1"/>
  <c r="BD208" i="37" s="1"/>
  <c r="BE121" i="37" a="1"/>
  <c r="BE121" i="37" s="1"/>
  <c r="BM52" i="37" a="1"/>
  <c r="BM52" i="37" s="1"/>
  <c r="BL43" i="37" a="1"/>
  <c r="BL43" i="37" s="1"/>
  <c r="AZ139" i="37" a="1"/>
  <c r="AZ139" i="37" s="1"/>
  <c r="BI158" i="37" a="1"/>
  <c r="BI158" i="37" s="1"/>
  <c r="BM245" i="37" a="1"/>
  <c r="BM245" i="37" s="1"/>
  <c r="BG116" i="37" a="1"/>
  <c r="BG116" i="37" s="1"/>
  <c r="BL2" i="37" a="1"/>
  <c r="BL2" i="37" s="1"/>
  <c r="AX138" i="37" a="1"/>
  <c r="AX138" i="37" s="1"/>
  <c r="BC114" i="37" a="1"/>
  <c r="BC114" i="37" s="1"/>
  <c r="BM160" i="37" a="1"/>
  <c r="BM160" i="37" s="1"/>
  <c r="BE110" i="37" a="1"/>
  <c r="BE110" i="37" s="1"/>
  <c r="BK74" i="37" a="1"/>
  <c r="BK74" i="37" s="1"/>
  <c r="BF149" i="37" a="1"/>
  <c r="BF149" i="37" s="1"/>
  <c r="BH89" i="37" a="1"/>
  <c r="BH89" i="37" s="1"/>
  <c r="AZ74" i="37" a="1"/>
  <c r="AZ74" i="37" s="1"/>
  <c r="BI166" i="37" a="1"/>
  <c r="BI166" i="37" s="1"/>
  <c r="BB144" i="37" a="1"/>
  <c r="BB144" i="37" s="1"/>
  <c r="AX50" i="37" a="1"/>
  <c r="AX50" i="37" s="1"/>
  <c r="AX279" i="37" a="1"/>
  <c r="AX279" i="37" s="1"/>
  <c r="AW194" i="37" a="1"/>
  <c r="AW194" i="37" s="1"/>
  <c r="BB177" i="37" a="1"/>
  <c r="BB177" i="37" s="1"/>
  <c r="AW210" i="37" a="1"/>
  <c r="AW210" i="37" s="1"/>
  <c r="BK219" i="37" a="1"/>
  <c r="BK219" i="37" s="1"/>
  <c r="BM85" i="37" a="1"/>
  <c r="BM85" i="37" s="1"/>
  <c r="BK160" i="37" a="1"/>
  <c r="BK160" i="37" s="1"/>
  <c r="BD46" i="37" a="1"/>
  <c r="BD46" i="37" s="1"/>
  <c r="BD135" i="37" a="1"/>
  <c r="BD135" i="37" s="1"/>
  <c r="BM40" i="37" a="1"/>
  <c r="BM40" i="37" s="1"/>
  <c r="BG91" i="37" a="1"/>
  <c r="BG91" i="37" s="1"/>
  <c r="BD78" i="37" a="1"/>
  <c r="BD78" i="37" s="1"/>
  <c r="BK218" i="37" a="1"/>
  <c r="BK218" i="37" s="1"/>
  <c r="AZ176" i="37" a="1"/>
  <c r="AZ176" i="37" s="1"/>
  <c r="AZ18" i="37" a="1"/>
  <c r="AZ18" i="37" s="1"/>
  <c r="AZ102" i="37" a="1"/>
  <c r="AZ102" i="37" s="1"/>
  <c r="AZ126" i="37" a="1"/>
  <c r="AZ126" i="37" s="1"/>
  <c r="BG269" i="37" a="1"/>
  <c r="BG269" i="37" s="1"/>
  <c r="AZ281" i="37" a="1"/>
  <c r="AZ281" i="37" s="1"/>
  <c r="BK3" i="37" a="1"/>
  <c r="BK3" i="37" s="1"/>
  <c r="AW139" i="37" a="1"/>
  <c r="AW139" i="37" s="1"/>
  <c r="AW110" i="37" a="1"/>
  <c r="AW110" i="37" s="1"/>
  <c r="BJ169" i="37" a="1"/>
  <c r="BJ169" i="37" s="1"/>
  <c r="BE69" i="37" a="1"/>
  <c r="BE69" i="37" s="1"/>
  <c r="BK79" i="37" a="1"/>
  <c r="BK79" i="37" s="1"/>
  <c r="BJ73" i="37" a="1"/>
  <c r="BJ73" i="37" s="1"/>
  <c r="AY52" i="37" a="1"/>
  <c r="AY52" i="37" s="1"/>
  <c r="BF88" i="37" a="1"/>
  <c r="BF88" i="37" s="1"/>
  <c r="BA42" i="37" a="1"/>
  <c r="BA42" i="37" s="1"/>
  <c r="BB49" i="37" a="1"/>
  <c r="BB49" i="37" s="1"/>
  <c r="BM110" i="37" a="1"/>
  <c r="BM110" i="37" s="1"/>
  <c r="BA70" i="37" a="1"/>
  <c r="BA70" i="37" s="1"/>
  <c r="BF189" i="37" a="1"/>
  <c r="BF189" i="37" s="1"/>
  <c r="BE71" i="37" a="1"/>
  <c r="BE71" i="37" s="1"/>
  <c r="BL225" i="37" a="1"/>
  <c r="BL225" i="37" s="1"/>
  <c r="BF52" i="37" a="1"/>
  <c r="BF52" i="37" s="1"/>
  <c r="BL103" i="37" a="1"/>
  <c r="BL103" i="37" s="1"/>
  <c r="BB119" i="37" a="1"/>
  <c r="BB119" i="37" s="1"/>
  <c r="BG39" i="37" a="1"/>
  <c r="BG39" i="37" s="1"/>
  <c r="AZ2" i="37" a="1"/>
  <c r="AZ2" i="37" s="1"/>
  <c r="BG194" i="37" a="1"/>
  <c r="BG194" i="37" s="1"/>
  <c r="BM136" i="37" a="1"/>
  <c r="BM136" i="37" s="1"/>
  <c r="BA136" i="37" a="1"/>
  <c r="BA136" i="37" s="1"/>
  <c r="BB41" i="37" a="1"/>
  <c r="BB41" i="37" s="1"/>
  <c r="AW186" i="37" a="1"/>
  <c r="AW186" i="37" s="1"/>
  <c r="BG152" i="37" a="1"/>
  <c r="BG152" i="37" s="1"/>
  <c r="BH80" i="37" a="1"/>
  <c r="BH80" i="37" s="1"/>
  <c r="BH53" i="37" a="1"/>
  <c r="BH53" i="37" s="1"/>
  <c r="BM104" i="37" a="1"/>
  <c r="BM104" i="37" s="1"/>
  <c r="BB47" i="37" a="1"/>
  <c r="BB47" i="37" s="1"/>
  <c r="BC41" i="37" a="1"/>
  <c r="BC41" i="37" s="1"/>
  <c r="BE76" i="37" a="1"/>
  <c r="BE76" i="37" s="1"/>
  <c r="BC143" i="37" a="1"/>
  <c r="BC143" i="37" s="1"/>
  <c r="BJ202" i="37" a="1"/>
  <c r="BJ202" i="37" s="1"/>
  <c r="BE231" i="37" a="1"/>
  <c r="BE231" i="37" s="1"/>
  <c r="AZ3" i="37" a="1"/>
  <c r="AZ3" i="37" s="1"/>
  <c r="BG41" i="37" a="1"/>
  <c r="BG41" i="37" s="1"/>
  <c r="AW151" i="37" a="1"/>
  <c r="AW151" i="37" s="1"/>
  <c r="BA60" i="37" a="1"/>
  <c r="BA60" i="37" s="1"/>
  <c r="BH137" i="37" a="1"/>
  <c r="BH137" i="37" s="1"/>
  <c r="BC56" i="37" a="1"/>
  <c r="BC56" i="37" s="1"/>
  <c r="BM162" i="37" a="1"/>
  <c r="BM162" i="37" s="1"/>
  <c r="BA117" i="37" a="1"/>
  <c r="BA117" i="37" s="1"/>
  <c r="BH199" i="37" a="1"/>
  <c r="BH199" i="37" s="1"/>
  <c r="AY60" i="37" a="1"/>
  <c r="AY60" i="37" s="1"/>
  <c r="AY47" i="37" a="1"/>
  <c r="AY47" i="37" s="1"/>
  <c r="BD158" i="37" a="1"/>
  <c r="BD158" i="37" s="1"/>
  <c r="BF130" i="37" a="1"/>
  <c r="BF130" i="37" s="1"/>
  <c r="BM3" i="37" a="1"/>
  <c r="BM3" i="37" s="1"/>
  <c r="BB264" i="37" a="1"/>
  <c r="BB264" i="37" s="1"/>
  <c r="AW58" i="37" a="1"/>
  <c r="AW58" i="37" s="1"/>
  <c r="BH164" i="37" a="1"/>
  <c r="BH164" i="37" s="1"/>
  <c r="AY67" i="37" a="1"/>
  <c r="AY67" i="37" s="1"/>
  <c r="AX226" i="37" a="1"/>
  <c r="AX226" i="37" s="1"/>
  <c r="AY201" i="37" a="1"/>
  <c r="AY201" i="37" s="1"/>
  <c r="BB189" i="37" a="1"/>
  <c r="BB189" i="37" s="1"/>
  <c r="AX252" i="37" a="1"/>
  <c r="AX252" i="37" s="1"/>
  <c r="BC160" i="37" a="1"/>
  <c r="BC160" i="37" s="1"/>
  <c r="AX209" i="37" a="1"/>
  <c r="AX209" i="37" s="1"/>
  <c r="BI83" i="37" a="1"/>
  <c r="BI83" i="37" s="1"/>
  <c r="BF69" i="37" a="1"/>
  <c r="BF69" i="37" s="1"/>
  <c r="BI212" i="37" a="1"/>
  <c r="BI212" i="37" s="1"/>
  <c r="BD77" i="37" a="1"/>
  <c r="BD77" i="37" s="1"/>
  <c r="AW44" i="37" a="1"/>
  <c r="AW44" i="37" s="1"/>
  <c r="BI282" i="37" a="1"/>
  <c r="BI282" i="37" s="1"/>
  <c r="BB172" i="37" a="1"/>
  <c r="BB172" i="37" s="1"/>
  <c r="BJ210" i="37" a="1"/>
  <c r="BJ210" i="37" s="1"/>
  <c r="BB188" i="37" a="1"/>
  <c r="BB188" i="37" s="1"/>
  <c r="BK247" i="37" a="1"/>
  <c r="BK247" i="37" s="1"/>
  <c r="BG30" i="37" a="1"/>
  <c r="BG30" i="37" s="1"/>
  <c r="BK257" i="37" a="1"/>
  <c r="BK257" i="37" s="1"/>
  <c r="BC140" i="37" a="1"/>
  <c r="BC140" i="37" s="1"/>
  <c r="BF100" i="37" a="1"/>
  <c r="BF100" i="37" s="1"/>
  <c r="BB52" i="37" a="1"/>
  <c r="BB52" i="37" s="1"/>
  <c r="BD43" i="37" a="1"/>
  <c r="BD43" i="37" s="1"/>
  <c r="BH103" i="37" a="1"/>
  <c r="BH103" i="37" s="1"/>
  <c r="AY79" i="37" a="1"/>
  <c r="AY79" i="37" s="1"/>
  <c r="BM116" i="37" a="1"/>
  <c r="BM116" i="37" s="1"/>
  <c r="BK153" i="37" a="1"/>
  <c r="BK153" i="37" s="1"/>
  <c r="BE44" i="37" a="1"/>
  <c r="BE44" i="37" s="1"/>
  <c r="AY3" i="37" a="1"/>
  <c r="AY3" i="37" s="1"/>
  <c r="BJ215" i="37" a="1"/>
  <c r="BJ215" i="37" s="1"/>
  <c r="BM63" i="37" a="1"/>
  <c r="BM63" i="37" s="1"/>
  <c r="BL122" i="37" a="1"/>
  <c r="BL122" i="37" s="1"/>
  <c r="BL141" i="37" a="1"/>
  <c r="BL141" i="37" s="1"/>
  <c r="AY128" i="37" a="1"/>
  <c r="AY128" i="37" s="1"/>
  <c r="BM2" i="37" a="1"/>
  <c r="BM2" i="37" s="1"/>
  <c r="AW74" i="37" a="1"/>
  <c r="AW74" i="37" s="1"/>
  <c r="BD93" i="37" a="1"/>
  <c r="BD93" i="37" s="1"/>
  <c r="AY123" i="37" a="1"/>
  <c r="AY123" i="37" s="1"/>
  <c r="AX87" i="37" a="1"/>
  <c r="AX87" i="37" s="1"/>
  <c r="BC3" i="37" a="1"/>
  <c r="BC3" i="37" s="1"/>
  <c r="BG157" i="37" a="1"/>
  <c r="BG157" i="37" s="1"/>
  <c r="AY56" i="37" a="1"/>
  <c r="AY56" i="37" s="1"/>
  <c r="BD73" i="37" a="1"/>
  <c r="BD73" i="37" s="1"/>
  <c r="BB160" i="37" a="1"/>
  <c r="BB160" i="37" s="1"/>
  <c r="AY2" i="37" a="1"/>
  <c r="AY2" i="37" s="1"/>
  <c r="BA164" i="37" a="1"/>
  <c r="BA164" i="37" s="1"/>
  <c r="AW154" i="37" a="1"/>
  <c r="AW154" i="37" s="1"/>
  <c r="AW83" i="37" a="1"/>
  <c r="AW83" i="37" s="1"/>
  <c r="BH148" i="37" a="1"/>
  <c r="BH148" i="37" s="1"/>
  <c r="BE47" i="37" a="1"/>
  <c r="BE47" i="37" s="1"/>
  <c r="BE3" i="37" a="1"/>
  <c r="BE3" i="37" s="1"/>
  <c r="BH90" i="37" a="1"/>
  <c r="BH90" i="37" s="1"/>
  <c r="AY58" i="37" a="1"/>
  <c r="AY58" i="37" s="1"/>
  <c r="BD163" i="37" a="1"/>
  <c r="BD163" i="37" s="1"/>
  <c r="BB3" i="37" a="1"/>
  <c r="BB3" i="37" s="1"/>
  <c r="BD39" i="37" a="1"/>
  <c r="BD39" i="37" s="1"/>
  <c r="BL89" i="37" a="1"/>
  <c r="BL89" i="37" s="1"/>
  <c r="BL152" i="37" a="1"/>
  <c r="BL152" i="37" s="1"/>
  <c r="BI239" i="37" a="1"/>
  <c r="BI239" i="37" s="1"/>
  <c r="BI258" i="37" a="1"/>
  <c r="BI258" i="37" s="1"/>
  <c r="BL105" i="37" a="1"/>
  <c r="BL105" i="37" s="1"/>
  <c r="BG231" i="37" a="1"/>
  <c r="BG231" i="37" s="1"/>
  <c r="AZ134" i="37" a="1"/>
  <c r="AZ134" i="37" s="1"/>
  <c r="BF40" i="37" a="1"/>
  <c r="BF40" i="37" s="1"/>
  <c r="BL55" i="37" a="1"/>
  <c r="BL55" i="37" s="1"/>
  <c r="BL136" i="37" a="1"/>
  <c r="BL136" i="37" s="1"/>
  <c r="BF140" i="37" a="1"/>
  <c r="BF140" i="37" s="1"/>
  <c r="BH229" i="37" a="1"/>
  <c r="BH229" i="37" s="1"/>
  <c r="BE263" i="37" a="1"/>
  <c r="BE263" i="37" s="1"/>
  <c r="AZ128" i="37" a="1"/>
  <c r="AZ128" i="37" s="1"/>
  <c r="AZ259" i="37" a="1"/>
  <c r="AZ259" i="37" s="1"/>
  <c r="BG283" i="37" a="1"/>
  <c r="BG283" i="37" s="1"/>
  <c r="BG54" i="37" a="1"/>
  <c r="BG54" i="37" s="1"/>
  <c r="BG66" i="37" a="1"/>
  <c r="BG66" i="37" s="1"/>
  <c r="AZ90" i="37" a="1"/>
  <c r="AZ90" i="37" s="1"/>
  <c r="BK174" i="37" a="1"/>
  <c r="BK174" i="37" s="1"/>
  <c r="BH55" i="37" a="1"/>
  <c r="BH55" i="37" s="1"/>
  <c r="BI47" i="37" a="1"/>
  <c r="BI47" i="37" s="1"/>
  <c r="BL84" i="37" a="1"/>
  <c r="BL84" i="37" s="1"/>
  <c r="BM132" i="37" a="1"/>
  <c r="BM132" i="37" s="1"/>
  <c r="AW133" i="37" a="1"/>
  <c r="AW133" i="37" s="1"/>
  <c r="BK96" i="37" a="1"/>
  <c r="BK96" i="37" s="1"/>
  <c r="BC93" i="37" a="1"/>
  <c r="BC93" i="37" s="1"/>
  <c r="BB69" i="37" a="1"/>
  <c r="BB69" i="37" s="1"/>
  <c r="AZ152" i="37" a="1"/>
  <c r="AZ152" i="37" s="1"/>
  <c r="AW121" i="37" a="1"/>
  <c r="AW121" i="37" s="1"/>
  <c r="AZ133" i="37" a="1"/>
  <c r="AZ133" i="37" s="1"/>
  <c r="BE45" i="37" a="1"/>
  <c r="BE45" i="37" s="1"/>
  <c r="BE75" i="37" a="1"/>
  <c r="BE75" i="37" s="1"/>
  <c r="BM152" i="37" a="1"/>
  <c r="BM152" i="37" s="1"/>
  <c r="AY180" i="37" a="1"/>
  <c r="AY180" i="37" s="1"/>
  <c r="AX131" i="37" a="1"/>
  <c r="AX131" i="37" s="1"/>
  <c r="AW60" i="37" a="1"/>
  <c r="AW60" i="37" s="1"/>
  <c r="BF68" i="37" a="1"/>
  <c r="BF68" i="37" s="1"/>
  <c r="BC129" i="37" a="1"/>
  <c r="BC129" i="37" s="1"/>
  <c r="AW85" i="37" a="1"/>
  <c r="AW85" i="37" s="1"/>
  <c r="BJ253" i="37" a="1"/>
  <c r="BJ253" i="37" s="1"/>
  <c r="BF94" i="37" a="1"/>
  <c r="BF94" i="37" s="1"/>
  <c r="AW50" i="37" a="1"/>
  <c r="AW50" i="37" s="1"/>
  <c r="BL172" i="37" a="1"/>
  <c r="BL172" i="37" s="1"/>
  <c r="BM56" i="37" a="1"/>
  <c r="BM56" i="37" s="1"/>
  <c r="BD232" i="37" a="1"/>
  <c r="BD232" i="37" s="1"/>
  <c r="BA287" i="37" a="1"/>
  <c r="BA287" i="37" s="1"/>
  <c r="BH95" i="37" a="1"/>
  <c r="BH95" i="37" s="1"/>
  <c r="BH188" i="37" a="1"/>
  <c r="BH188" i="37" s="1"/>
  <c r="BD89" i="37" a="1"/>
  <c r="BD89" i="37" s="1"/>
  <c r="BL56" i="37" a="1"/>
  <c r="BL56" i="37" s="1"/>
  <c r="BC80" i="37" a="1"/>
  <c r="BC80" i="37" s="1"/>
  <c r="AW96" i="37" a="1"/>
  <c r="AW96" i="37" s="1"/>
  <c r="BH83" i="37" a="1"/>
  <c r="BH83" i="37" s="1"/>
  <c r="BI102" i="37" a="1"/>
  <c r="BI102" i="37" s="1"/>
  <c r="AW65" i="37" a="1"/>
  <c r="AW65" i="37" s="1"/>
  <c r="BD3" i="37" a="1"/>
  <c r="BD3" i="37" s="1"/>
  <c r="BI68" i="37" a="1"/>
  <c r="BI68" i="37" s="1"/>
  <c r="BE203" i="37" a="1"/>
  <c r="BE203" i="37" s="1"/>
  <c r="AY86" i="37" a="1"/>
  <c r="AY86" i="37" s="1"/>
  <c r="BC77" i="37" a="1"/>
  <c r="BC77" i="37" s="1"/>
  <c r="BL76" i="37" a="1"/>
  <c r="BL76" i="37" s="1"/>
  <c r="AW148" i="37" a="1"/>
  <c r="AW148" i="37" s="1"/>
  <c r="AY126" i="37" a="1"/>
  <c r="AY126" i="37" s="1"/>
  <c r="AW53" i="37" a="1"/>
  <c r="AW53" i="37" s="1"/>
  <c r="AZ77" i="37" a="1"/>
  <c r="AZ77" i="37" s="1"/>
  <c r="BM71" i="37" a="1"/>
  <c r="BM71" i="37" s="1"/>
  <c r="BC60" i="37" a="1"/>
  <c r="BC60" i="37" s="1"/>
  <c r="BJ176" i="37" a="1"/>
  <c r="BJ176" i="37" s="1"/>
  <c r="BF43" i="37" a="1"/>
  <c r="BF43" i="37" s="1"/>
  <c r="BI56" i="37" a="1"/>
  <c r="BI56" i="37" s="1"/>
  <c r="BH54" i="37" a="1"/>
  <c r="BH54" i="37" s="1"/>
  <c r="BH257" i="37" a="1"/>
  <c r="BH257" i="37" s="1"/>
  <c r="AZ2" i="32" a="1"/>
  <c r="AZ2" i="32" s="1"/>
  <c r="BE65" i="37" a="1"/>
  <c r="BE65" i="37" s="1"/>
  <c r="BH115" i="37" a="1"/>
  <c r="BH115" i="37" s="1"/>
  <c r="BB138" i="37" a="1"/>
  <c r="BB138" i="37" s="1"/>
  <c r="AX99" i="37" a="1"/>
  <c r="AX99" i="37" s="1"/>
  <c r="BD106" i="37" a="1"/>
  <c r="BD106" i="37" s="1"/>
  <c r="AX114" i="37" a="1"/>
  <c r="AX114" i="37" s="1"/>
  <c r="BA80" i="37" a="1"/>
  <c r="BA80" i="37" s="1"/>
  <c r="BF135" i="37" a="1"/>
  <c r="BF135" i="37" s="1"/>
  <c r="BC92" i="37" a="1"/>
  <c r="BC92" i="37" s="1"/>
  <c r="BJ3" i="37" a="1"/>
  <c r="BJ3" i="37" s="1"/>
  <c r="BL54" i="37" a="1"/>
  <c r="BL54" i="37" s="1"/>
  <c r="BI39" i="37" a="1"/>
  <c r="BI39" i="37" s="1"/>
  <c r="AX62" i="37" a="1"/>
  <c r="AX62" i="37" s="1"/>
  <c r="AZ135" i="37" a="1"/>
  <c r="AZ135" i="37" s="1"/>
  <c r="BG68" i="37" a="1"/>
  <c r="BG68" i="37" s="1"/>
  <c r="BB2" i="37" a="1"/>
  <c r="BB2" i="37" s="1"/>
  <c r="AW116" i="37" a="1"/>
  <c r="AW116" i="37" s="1"/>
  <c r="BD197" i="37" a="1"/>
  <c r="BD197" i="37" s="1"/>
  <c r="AY146" i="37" a="1"/>
  <c r="AY146" i="37" s="1"/>
  <c r="BM76" i="37" a="1"/>
  <c r="BM76" i="37" s="1"/>
  <c r="BH3" i="37" a="1"/>
  <c r="BH3" i="37" s="1"/>
  <c r="BF114" i="37" a="1"/>
  <c r="BF114" i="37" s="1"/>
  <c r="BB73" i="37" a="1"/>
  <c r="BB73" i="37" s="1"/>
  <c r="BM95" i="37" a="1"/>
  <c r="BM95" i="37" s="1"/>
  <c r="AY68" i="37" a="1"/>
  <c r="AY68" i="37" s="1"/>
  <c r="AW87" i="37" a="1"/>
  <c r="AW87" i="37" s="1"/>
  <c r="AZ153" i="37" a="1"/>
  <c r="AZ153" i="37" s="1"/>
  <c r="BL115" i="37" a="1"/>
  <c r="BL115" i="37" s="1"/>
  <c r="BE102" i="37" a="1"/>
  <c r="BE102" i="37" s="1"/>
  <c r="AY125" i="37" a="1"/>
  <c r="AY125" i="37" s="1"/>
  <c r="BA76" i="37" a="1"/>
  <c r="BA76" i="37" s="1"/>
  <c r="BJ45" i="37" a="1"/>
  <c r="BJ45" i="37" s="1"/>
  <c r="AX2" i="37" a="1"/>
  <c r="AX2" i="37" s="1"/>
  <c r="BB116" i="37" a="1"/>
  <c r="BB116" i="37" s="1"/>
  <c r="BA68" i="37" a="1"/>
  <c r="BA68" i="37" s="1"/>
  <c r="BC123" i="37" a="1"/>
  <c r="BC123" i="37" s="1"/>
  <c r="BM81" i="37" a="1"/>
  <c r="BM81" i="37" s="1"/>
  <c r="AW3" i="37" a="1"/>
  <c r="AW3" i="37" s="1"/>
  <c r="BC45" i="37" a="1"/>
  <c r="BC45" i="37" s="1"/>
  <c r="AX68" i="37" a="1"/>
  <c r="AX68" i="37" s="1"/>
  <c r="AY87" i="37" a="1"/>
  <c r="AY87" i="37" s="1"/>
  <c r="BJ226" i="37" a="1"/>
  <c r="BJ226" i="37" s="1"/>
  <c r="BI267" i="37" a="1"/>
  <c r="BI267" i="37" s="1"/>
  <c r="AW161" i="37" a="1"/>
  <c r="AW161" i="37" s="1"/>
  <c r="BM289" i="37" a="1"/>
  <c r="BM289" i="37" s="1"/>
  <c r="BM239" i="37" a="1"/>
  <c r="BM239" i="37" s="1"/>
  <c r="BE55" i="37" a="1"/>
  <c r="BE55" i="37" s="1"/>
  <c r="BH117" i="37" a="1"/>
  <c r="BH117" i="37" s="1"/>
  <c r="BI42" i="37" a="1"/>
  <c r="BI42" i="37" s="1"/>
  <c r="BD287" i="37" a="1"/>
  <c r="BD287" i="37" s="1"/>
  <c r="BF77" i="37" a="1"/>
  <c r="BF77" i="37" s="1"/>
  <c r="BL97" i="37" a="1"/>
  <c r="BL97" i="37" s="1"/>
  <c r="AZ238" i="37" a="1"/>
  <c r="AZ238" i="37" s="1"/>
  <c r="AW203" i="37" a="1"/>
  <c r="AW203" i="37" s="1"/>
  <c r="BJ120" i="37" a="1"/>
  <c r="BJ120" i="37" s="1"/>
  <c r="BG247" i="37" a="1"/>
  <c r="BG247" i="37" s="1"/>
  <c r="AZ6" i="37" a="1"/>
  <c r="AZ6" i="37" s="1"/>
  <c r="AZ66" i="37" a="1"/>
  <c r="AZ66" i="37" s="1"/>
  <c r="AZ174" i="37" a="1"/>
  <c r="AZ174" i="37" s="1"/>
  <c r="BG245" i="37" a="1"/>
  <c r="BG245" i="37" s="1"/>
  <c r="AZ269" i="37" a="1"/>
  <c r="AZ269" i="37" s="1"/>
  <c r="AX132" i="37" a="1"/>
  <c r="AX132" i="37" s="1"/>
  <c r="AZ104" i="37" a="1"/>
  <c r="AZ104" i="37" s="1"/>
  <c r="BL72" i="37" a="1"/>
  <c r="BL72" i="37" s="1"/>
  <c r="AY133" i="37" a="1"/>
  <c r="AY133" i="37" s="1"/>
  <c r="BE46" i="37" a="1"/>
  <c r="BE46" i="37" s="1"/>
  <c r="BK78" i="37" a="1"/>
  <c r="BK78" i="37" s="1"/>
  <c r="BA77" i="37" a="1"/>
  <c r="BA77" i="37" s="1"/>
  <c r="BM59" i="37" a="1"/>
  <c r="BM59" i="37" s="1"/>
  <c r="BH214" i="37" a="1"/>
  <c r="BH214" i="37" s="1"/>
  <c r="AY153" i="37" a="1"/>
  <c r="AY153" i="37" s="1"/>
  <c r="AW100" i="37" a="1"/>
  <c r="AW100" i="37" s="1"/>
  <c r="BJ2" i="37" a="1"/>
  <c r="BJ2" i="37" s="1"/>
  <c r="BF113" i="37" a="1"/>
  <c r="BF113" i="37" s="1"/>
  <c r="BI49" i="37" a="1"/>
  <c r="BI49" i="37" s="1"/>
  <c r="BF57" i="37" a="1"/>
  <c r="BF57" i="37" s="1"/>
  <c r="BE77" i="37" a="1"/>
  <c r="BE77" i="37" s="1"/>
  <c r="BA83" i="37" a="1"/>
  <c r="BA83" i="37" s="1"/>
  <c r="BB58" i="37" a="1"/>
  <c r="BB58" i="37" s="1"/>
  <c r="BG79" i="37" a="1"/>
  <c r="BG79" i="37" s="1"/>
  <c r="BH98" i="37" a="1"/>
  <c r="BH98" i="37" s="1"/>
  <c r="BB39" i="37" a="1"/>
  <c r="BB39" i="37" s="1"/>
  <c r="AY38" i="37" a="1"/>
  <c r="AY38" i="37" s="1"/>
  <c r="BM58" i="37" a="1"/>
  <c r="BM58" i="37" s="1"/>
  <c r="BC154" i="37" a="1"/>
  <c r="BC154" i="37" s="1"/>
  <c r="BJ67" i="37" a="1"/>
  <c r="BJ67" i="37" s="1"/>
  <c r="AY94" i="37" a="1"/>
  <c r="AY94" i="37" s="1"/>
  <c r="BL93" i="37" a="1"/>
  <c r="BL93" i="37" s="1"/>
  <c r="BG43" i="37" a="1"/>
  <c r="BG43" i="37" s="1"/>
  <c r="BE251" i="37" a="1"/>
  <c r="BE251" i="37" s="1"/>
  <c r="BJ133" i="37" a="1"/>
  <c r="BJ133" i="37" s="1"/>
  <c r="AY116" i="37" a="1"/>
  <c r="AY116" i="37" s="1"/>
  <c r="BE127" i="37" a="1"/>
  <c r="BE127" i="37" s="1"/>
  <c r="AX150" i="37" a="1"/>
  <c r="AX150" i="37" s="1"/>
  <c r="BG115" i="37" a="1"/>
  <c r="BG115" i="37" s="1"/>
  <c r="BE208" i="37" a="1"/>
  <c r="BE208" i="37" s="1"/>
  <c r="BJ102" i="37" a="1"/>
  <c r="BJ102" i="37" s="1"/>
  <c r="AY142" i="37" a="1"/>
  <c r="AY142" i="37" s="1"/>
  <c r="AX89" i="37" a="1"/>
  <c r="AX89" i="37" s="1"/>
  <c r="BA116" i="37" a="1"/>
  <c r="BA116" i="37" s="1"/>
  <c r="BA71" i="37" a="1"/>
  <c r="BA71" i="37" s="1"/>
  <c r="BC190" i="37" a="1"/>
  <c r="BC190" i="37" s="1"/>
  <c r="BM89" i="37" a="1"/>
  <c r="BM89" i="37" s="1"/>
  <c r="AW40" i="37" a="1"/>
  <c r="AW40" i="37" s="1"/>
  <c r="BF47" i="37" a="1"/>
  <c r="BF47" i="37" s="1"/>
  <c r="BF73" i="37" a="1"/>
  <c r="BF73" i="37" s="1"/>
  <c r="BM130" i="37" a="1"/>
  <c r="BM130" i="37" s="1"/>
  <c r="BJ87" i="37" a="1"/>
  <c r="BJ87" i="37" s="1"/>
  <c r="AY188" i="37" a="1"/>
  <c r="AY188" i="37" s="1"/>
  <c r="BI111" i="37" a="1"/>
  <c r="BI111" i="37" s="1"/>
  <c r="BB134" i="37" a="1"/>
  <c r="BB134" i="37" s="1"/>
  <c r="BE124" i="37" a="1"/>
  <c r="BE124" i="37" s="1"/>
  <c r="BJ241" i="37" a="1"/>
  <c r="BJ241" i="37" s="1"/>
  <c r="BI234" i="37" a="1"/>
  <c r="BI234" i="37" s="1"/>
  <c r="BH166" i="37" a="1"/>
  <c r="BH166" i="37" s="1"/>
  <c r="BM283" i="37" a="1"/>
  <c r="BM283" i="37" s="1"/>
  <c r="AY192" i="37" a="1"/>
  <c r="AY192" i="37" s="1"/>
  <c r="BA67" i="37" a="1"/>
  <c r="BA67" i="37" s="1"/>
  <c r="BM49" i="37" a="1"/>
  <c r="BM49" i="37" s="1"/>
  <c r="BA238" i="37" a="1"/>
  <c r="BA238" i="37" s="1"/>
  <c r="BH268" i="37" a="1"/>
  <c r="BH268" i="37" s="1"/>
  <c r="AW255" i="37" a="1"/>
  <c r="AW255" i="37" s="1"/>
  <c r="BF42" i="37" a="1"/>
  <c r="BF42" i="37" s="1"/>
  <c r="BM83" i="37" a="1"/>
  <c r="BM83" i="37" s="1"/>
  <c r="BM227" i="37" a="1"/>
  <c r="BM227" i="37" s="1"/>
  <c r="BK283" i="37" a="1"/>
  <c r="BK283" i="37" s="1"/>
  <c r="BK90" i="37" a="1"/>
  <c r="BK90" i="37" s="1"/>
  <c r="BG102" i="37" a="1"/>
  <c r="BG102" i="37" s="1"/>
  <c r="BG257" i="37" a="1"/>
  <c r="BG257" i="37" s="1"/>
  <c r="S2" i="1"/>
  <c r="BI77" i="37" a="1"/>
  <c r="BI77" i="37" s="1"/>
  <c r="AW113" i="37" a="1"/>
  <c r="AW113" i="37" s="1"/>
  <c r="BM131" i="37" a="1"/>
  <c r="BM131" i="37" s="1"/>
  <c r="BB183" i="37" a="1"/>
  <c r="BB183" i="37" s="1"/>
  <c r="AY84" i="37" a="1"/>
  <c r="AY84" i="37" s="1"/>
  <c r="BE119" i="37" a="1"/>
  <c r="BE119" i="37" s="1"/>
  <c r="BL98" i="37" a="1"/>
  <c r="BL98" i="37" s="1"/>
  <c r="BJ80" i="37" a="1"/>
  <c r="BJ80" i="37" s="1"/>
  <c r="BJ128" i="37" a="1"/>
  <c r="BJ128" i="37" s="1"/>
  <c r="BI51" i="37" a="1"/>
  <c r="BI51" i="37" s="1"/>
  <c r="AY109" i="37" a="1"/>
  <c r="AY109" i="37" s="1"/>
  <c r="BF48" i="37" a="1"/>
  <c r="BF48" i="37" s="1"/>
  <c r="AY121" i="37" a="1"/>
  <c r="AY121" i="37" s="1"/>
  <c r="BC138" i="37" a="1"/>
  <c r="BC138" i="37" s="1"/>
  <c r="BB85" i="37" a="1"/>
  <c r="BB85" i="37" s="1"/>
  <c r="BL110" i="37" a="1"/>
  <c r="BL110" i="37" s="1"/>
  <c r="BA131" i="37" a="1"/>
  <c r="BA131" i="37" s="1"/>
  <c r="AY138" i="37" a="1"/>
  <c r="AY138" i="37" s="1"/>
  <c r="BC127" i="37" a="1"/>
  <c r="BC127" i="37" s="1"/>
  <c r="BK138" i="37" a="1"/>
  <c r="BK138" i="37" s="1"/>
  <c r="BA3" i="37" a="1"/>
  <c r="BA3" i="37" s="1"/>
  <c r="BA105" i="37" a="1"/>
  <c r="BA105" i="37" s="1"/>
  <c r="BA106" i="37" a="1"/>
  <c r="BA106" i="37" s="1"/>
  <c r="BF133" i="37" a="1"/>
  <c r="BF133" i="37" s="1"/>
  <c r="BF102" i="37" a="1"/>
  <c r="BF102" i="37" s="1"/>
  <c r="AX175" i="37" a="1"/>
  <c r="AX175" i="37" s="1"/>
  <c r="BF38" i="37" a="1"/>
  <c r="BF38" i="37" s="1"/>
  <c r="BB72" i="37" a="1"/>
  <c r="BB72" i="37" s="1"/>
  <c r="BD100" i="37" a="1"/>
  <c r="BD100" i="37" s="1"/>
  <c r="BL101" i="37" a="1"/>
  <c r="BL101" i="37" s="1"/>
  <c r="BB78" i="37" a="1"/>
  <c r="BB78" i="37" s="1"/>
  <c r="BA118" i="37" a="1"/>
  <c r="BA118" i="37" s="1"/>
  <c r="BJ42" i="37" a="1"/>
  <c r="BJ42" i="37" s="1"/>
  <c r="AX51" i="37" a="1"/>
  <c r="AX51" i="37" s="1"/>
  <c r="BJ124" i="37" a="1"/>
  <c r="BJ124" i="37" s="1"/>
  <c r="BJ68" i="37" a="1"/>
  <c r="BJ68" i="37" s="1"/>
  <c r="BI41" i="37" a="1"/>
  <c r="BI41" i="37" s="1"/>
  <c r="BL249" i="37" a="1"/>
  <c r="BL249" i="37" s="1"/>
  <c r="BL195" i="37" a="1"/>
  <c r="BL195" i="37" s="1"/>
  <c r="AX287" i="37" a="1"/>
  <c r="AX287" i="37" s="1"/>
  <c r="BL200" i="37" a="1"/>
  <c r="BL200" i="37" s="1"/>
  <c r="AY75" i="37" a="1"/>
  <c r="AY75" i="37" s="1"/>
  <c r="BI48" i="37" a="1"/>
  <c r="BI48" i="37" s="1"/>
  <c r="BJ99" i="37" a="1"/>
  <c r="BJ99" i="37" s="1"/>
  <c r="BM230" i="37" a="1"/>
  <c r="BM230" i="37" s="1"/>
  <c r="BD275" i="37" a="1"/>
  <c r="BD275" i="37" s="1"/>
  <c r="BC226" i="37" a="1"/>
  <c r="BC226" i="37" s="1"/>
  <c r="BE170" i="37" a="1"/>
  <c r="BE170" i="37" s="1"/>
  <c r="AZ247" i="37" a="1"/>
  <c r="AZ247" i="37" s="1"/>
  <c r="AZ283" i="37" a="1"/>
  <c r="AZ283" i="37" s="1"/>
  <c r="BK30" i="37" a="1"/>
  <c r="BK30" i="37" s="1"/>
  <c r="BG126" i="37" a="1"/>
  <c r="BG126" i="37" s="1"/>
  <c r="BK281" i="37" a="1"/>
  <c r="BK281" i="37" s="1"/>
  <c r="Z2" i="1"/>
  <c r="BI44" i="37" a="1"/>
  <c r="BI44" i="37" s="1"/>
  <c r="BH51" i="37" a="1"/>
  <c r="BH51" i="37" s="1"/>
  <c r="BD111" i="37" a="1"/>
  <c r="BD111" i="37" s="1"/>
  <c r="AY152" i="37" a="1"/>
  <c r="AY152" i="37" s="1"/>
  <c r="AW80" i="37" a="1"/>
  <c r="AW80" i="37" s="1"/>
  <c r="BH76" i="37" a="1"/>
  <c r="BH76" i="37" s="1"/>
  <c r="BI3" i="37" a="1"/>
  <c r="BI3" i="37" s="1"/>
  <c r="AY73" i="37" a="1"/>
  <c r="AY73" i="37" s="1"/>
  <c r="BI55" i="37" a="1"/>
  <c r="BI55" i="37" s="1"/>
  <c r="BM91" i="37" a="1"/>
  <c r="BM91" i="37" s="1"/>
  <c r="BB117" i="37" a="1"/>
  <c r="BB117" i="37" s="1"/>
  <c r="AX3" i="37" a="1"/>
  <c r="AX3" i="37" s="1"/>
  <c r="BL133" i="37" a="1"/>
  <c r="BL133" i="37" s="1"/>
  <c r="BJ39" i="37" a="1"/>
  <c r="BJ39" i="37" s="1"/>
  <c r="BH99" i="37" a="1"/>
  <c r="BH99" i="37" s="1"/>
  <c r="BL69" i="37" a="1"/>
  <c r="BL69" i="37" s="1"/>
  <c r="BM78" i="37" a="1"/>
  <c r="BM78" i="37" s="1"/>
  <c r="BL41" i="37" a="1"/>
  <c r="BL41" i="37" s="1"/>
  <c r="BA95" i="37" a="1"/>
  <c r="BA95" i="37" s="1"/>
  <c r="BM170" i="37" a="1"/>
  <c r="BM170" i="37" s="1"/>
  <c r="BE40" i="37" a="1"/>
  <c r="BE40" i="37" s="1"/>
  <c r="BK167" i="37" a="1"/>
  <c r="BK167" i="37" s="1"/>
  <c r="BD45" i="37" a="1"/>
  <c r="BD45" i="37" s="1"/>
  <c r="BI43" i="37" a="1"/>
  <c r="BI43" i="37" s="1"/>
  <c r="BD63" i="37" a="1"/>
  <c r="BD63" i="37" s="1"/>
  <c r="BD41" i="37" a="1"/>
  <c r="BD41" i="37" s="1"/>
  <c r="AX42" i="37" a="1"/>
  <c r="AX42" i="37" s="1"/>
  <c r="BC131" i="37" a="1"/>
  <c r="BC131" i="37" s="1"/>
  <c r="AY83" i="37" a="1"/>
  <c r="AY83" i="37" s="1"/>
  <c r="BD51" i="37" a="1"/>
  <c r="BD51" i="37" s="1"/>
  <c r="BC100" i="37" a="1"/>
  <c r="BC100" i="37" s="1"/>
  <c r="BB50" i="37" a="1"/>
  <c r="BB50" i="37" s="1"/>
  <c r="BF176" i="37" a="1"/>
  <c r="BF176" i="37" s="1"/>
  <c r="BE100" i="37" a="1"/>
  <c r="BE100" i="37" s="1"/>
  <c r="BJ82" i="37" a="1"/>
  <c r="BJ82" i="37" s="1"/>
  <c r="AX115" i="37" a="1"/>
  <c r="AX115" i="37" s="1"/>
  <c r="AW168" i="37" a="1"/>
  <c r="AW168" i="37" s="1"/>
  <c r="BA59" i="37" a="1"/>
  <c r="BA59" i="37" s="1"/>
  <c r="BB105" i="37" a="1"/>
  <c r="BB105" i="37" s="1"/>
  <c r="BG131" i="37" a="1"/>
  <c r="BG131" i="37" s="1"/>
  <c r="BA90" i="37" a="1"/>
  <c r="BA90" i="37" s="1"/>
  <c r="AW122" i="37" a="1"/>
  <c r="AW122" i="37" s="1"/>
  <c r="BD155" i="37" a="1"/>
  <c r="BD155" i="37" s="1"/>
  <c r="AW103" i="37" a="1"/>
  <c r="AW103" i="37" s="1"/>
  <c r="BC64" i="37" a="1"/>
  <c r="BC64" i="37" s="1"/>
  <c r="BC105" i="37" a="1"/>
  <c r="BC105" i="37" s="1"/>
  <c r="BJ234" i="37" a="1"/>
  <c r="BJ234" i="37" s="1"/>
  <c r="BE51" i="37" a="1"/>
  <c r="BE51" i="37" s="1"/>
  <c r="BL51" i="37" a="1"/>
  <c r="BL51" i="37" s="1"/>
  <c r="BC122" i="37" a="1"/>
  <c r="BC122" i="37" s="1"/>
  <c r="BA93" i="37" a="1"/>
  <c r="BA93" i="37" s="1"/>
  <c r="AX224" i="37" a="1"/>
  <c r="AX224" i="37" s="1"/>
  <c r="BK187" i="37" a="1"/>
  <c r="BK187" i="37" s="1"/>
  <c r="BI86" i="37" a="1"/>
  <c r="BI86" i="37" s="1"/>
  <c r="BF225" i="37" a="1"/>
  <c r="BF225" i="37" s="1"/>
  <c r="AY267" i="37" a="1"/>
  <c r="AY267" i="37" s="1"/>
  <c r="BL53" i="37" a="1"/>
  <c r="BL53" i="37" s="1"/>
  <c r="BA44" i="37" a="1"/>
  <c r="BA44" i="37" s="1"/>
  <c r="AY206" i="37" a="1"/>
  <c r="AY206" i="37" s="1"/>
  <c r="AW269" i="37" a="1"/>
  <c r="AW269" i="37" s="1"/>
  <c r="BD86" i="37" a="1"/>
  <c r="BD86" i="37" s="1"/>
  <c r="BK56" i="37" a="1"/>
  <c r="BK56" i="37" s="1"/>
  <c r="BK128" i="37" a="1"/>
  <c r="BK128" i="37" s="1"/>
  <c r="BH140" i="37" a="1"/>
  <c r="BH140" i="37" s="1"/>
  <c r="BK259" i="37" a="1"/>
  <c r="BK259" i="37" s="1"/>
  <c r="BG271" i="37" a="1"/>
  <c r="BG271" i="37" s="1"/>
  <c r="BG18" i="37" a="1"/>
  <c r="BG18" i="37" s="1"/>
  <c r="BK54" i="37" a="1"/>
  <c r="BK54" i="37" s="1"/>
  <c r="BH102" i="37" a="1"/>
  <c r="BH102" i="37" s="1"/>
  <c r="BH126" i="37" a="1"/>
  <c r="BH126" i="37" s="1"/>
  <c r="BB137" i="37" a="1"/>
  <c r="BB137" i="37" s="1"/>
  <c r="BJ79" i="37" a="1"/>
  <c r="BJ79" i="37" s="1"/>
  <c r="BC96" i="37" a="1"/>
  <c r="BC96" i="37" s="1"/>
  <c r="BF205" i="37" a="1"/>
  <c r="BF205" i="37" s="1"/>
  <c r="BJ252" i="37" a="1"/>
  <c r="BJ252" i="37" s="1"/>
  <c r="BL62" i="37" a="1"/>
  <c r="BL62" i="37" s="1"/>
  <c r="BA175" i="37" a="1"/>
  <c r="BA175" i="37" s="1"/>
  <c r="AW52" i="37" a="1"/>
  <c r="AW52" i="37" s="1"/>
  <c r="BE57" i="37" a="1"/>
  <c r="BE57" i="37" s="1"/>
  <c r="AX79" i="37" a="1"/>
  <c r="AX79" i="37" s="1"/>
  <c r="BI58" i="37" a="1"/>
  <c r="BI58" i="37" s="1"/>
  <c r="BL118" i="37" a="1"/>
  <c r="BL118" i="37" s="1"/>
  <c r="BD99" i="37" a="1"/>
  <c r="BD99" i="37" s="1"/>
  <c r="BD131" i="37" a="1"/>
  <c r="BD131" i="37" s="1"/>
  <c r="BD85" i="37" a="1"/>
  <c r="BD85" i="37" s="1"/>
  <c r="BH159" i="37" a="1"/>
  <c r="BH159" i="37" s="1"/>
  <c r="BC130" i="37" a="1"/>
  <c r="BC130" i="37" s="1"/>
  <c r="BD96" i="37" a="1"/>
  <c r="BD96" i="37" s="1"/>
  <c r="BI40" i="37" a="1"/>
  <c r="BI40" i="37" s="1"/>
  <c r="BH129" i="37" a="1"/>
  <c r="BH129" i="37" s="1"/>
  <c r="AW146" i="37" a="1"/>
  <c r="AW146" i="37" s="1"/>
  <c r="AY106" i="37" a="1"/>
  <c r="AY106" i="37" s="1"/>
  <c r="AW70" i="37" a="1"/>
  <c r="AW70" i="37" s="1"/>
  <c r="BI174" i="37" a="1"/>
  <c r="BI174" i="37" s="1"/>
  <c r="BE114" i="37" a="1"/>
  <c r="BE114" i="37" s="1"/>
  <c r="BM143" i="37" a="1"/>
  <c r="BM143" i="37" s="1"/>
  <c r="AW191" i="37" a="1"/>
  <c r="AW191" i="37" s="1"/>
  <c r="BL113" i="37" a="1"/>
  <c r="BL113" i="37" s="1"/>
  <c r="BH79" i="37" a="1"/>
  <c r="BH79" i="37" s="1"/>
  <c r="BK135" i="37" a="1"/>
  <c r="BK135" i="37" s="1"/>
  <c r="BI38" i="37" a="1"/>
  <c r="BI38" i="37" s="1"/>
  <c r="BC147" i="37" a="1"/>
  <c r="BC147" i="37" s="1"/>
  <c r="AY82" i="37" a="1"/>
  <c r="AY82" i="37" s="1"/>
  <c r="BA74" i="37" a="1"/>
  <c r="BA74" i="37" s="1"/>
  <c r="BC52" i="37" a="1"/>
  <c r="BC52" i="37" s="1"/>
  <c r="BI170" i="37" a="1"/>
  <c r="BI170" i="37" s="1"/>
  <c r="BB91" i="37" a="1"/>
  <c r="BB91" i="37" s="1"/>
  <c r="AX88" i="37" a="1"/>
  <c r="AX88" i="37" s="1"/>
  <c r="BB101" i="37" a="1"/>
  <c r="BB101" i="37" s="1"/>
  <c r="BH59" i="37" a="1"/>
  <c r="BH59" i="37" s="1"/>
  <c r="BE206" i="37" a="1"/>
  <c r="BE206" i="37" s="1"/>
  <c r="AY176" i="37" a="1"/>
  <c r="AY176" i="37" s="1"/>
  <c r="AY287" i="37" a="1"/>
  <c r="AY287" i="37" s="1"/>
  <c r="AW2" i="37" a="1"/>
  <c r="AW2" i="37" s="1"/>
  <c r="BL260" i="37" a="1"/>
  <c r="BL260" i="37" s="1"/>
  <c r="BI134" i="37" a="1"/>
  <c r="BI134" i="37" s="1"/>
  <c r="AZ71" i="37" a="1"/>
  <c r="AZ71" i="37" s="1"/>
  <c r="BJ196" i="37" a="1"/>
  <c r="BJ196" i="37" s="1"/>
  <c r="BI271" i="37" a="1"/>
  <c r="BI271" i="37" s="1"/>
  <c r="BJ41" i="37" a="1"/>
  <c r="BJ41" i="37" s="1"/>
  <c r="BH210" i="37" a="1"/>
  <c r="BH210" i="37" s="1"/>
  <c r="BE144" i="37" a="1"/>
  <c r="BE144" i="37" s="1"/>
  <c r="BM92" i="37" a="1"/>
  <c r="BM92" i="37" s="1"/>
  <c r="AW45" i="37" a="1"/>
  <c r="AW45" i="37" s="1"/>
  <c r="BE89" i="37" a="1"/>
  <c r="BE89" i="37" s="1"/>
  <c r="BJ283" i="37" a="1"/>
  <c r="BJ283" i="37" s="1"/>
  <c r="BI217" i="37" a="1"/>
  <c r="BI217" i="37" s="1"/>
  <c r="BF175" i="37" a="1"/>
  <c r="BF175" i="37" s="1"/>
  <c r="AY289" i="37" a="1"/>
  <c r="AY289" i="37" s="1"/>
  <c r="BI123" i="37" a="1"/>
  <c r="BI123" i="37" s="1"/>
  <c r="BM157" i="37" a="1"/>
  <c r="BM157" i="37" s="1"/>
  <c r="BM262" i="37" a="1"/>
  <c r="BM262" i="37" s="1"/>
  <c r="BM203" i="37" a="1"/>
  <c r="BM203" i="37" s="1"/>
  <c r="AZ167" i="37" a="1"/>
  <c r="AZ167" i="37" s="1"/>
  <c r="AX95" i="37" a="1"/>
  <c r="AX95" i="37" s="1"/>
  <c r="BF70" i="37" a="1"/>
  <c r="BF70" i="37" s="1"/>
  <c r="BB136" i="37" a="1"/>
  <c r="BB136" i="37" s="1"/>
  <c r="AX134" i="37" a="1"/>
  <c r="AX134" i="37" s="1"/>
  <c r="BF196" i="37" a="1"/>
  <c r="BF196" i="37" s="1"/>
  <c r="BH270" i="37" a="1"/>
  <c r="BH270" i="37" s="1"/>
  <c r="BJ221" i="37" a="1"/>
  <c r="BJ221" i="37" s="1"/>
  <c r="BK69" i="37" a="1"/>
  <c r="BK69" i="37" s="1"/>
  <c r="BE271" i="37" a="1"/>
  <c r="BE271" i="37" s="1"/>
  <c r="BM195" i="37" a="1"/>
  <c r="BM195" i="37" s="1"/>
  <c r="BC201" i="37" a="1"/>
  <c r="BC201" i="37" s="1"/>
  <c r="BI107" i="37" a="1"/>
  <c r="BI107" i="37" s="1"/>
  <c r="BD142" i="37" a="1"/>
  <c r="BD142" i="37" s="1"/>
  <c r="BM61" i="37" a="1"/>
  <c r="BM61" i="37" s="1"/>
  <c r="BI154" i="37" a="1"/>
  <c r="BI154" i="37" s="1"/>
  <c r="BL242" i="37" a="1"/>
  <c r="BL242" i="37" s="1"/>
  <c r="AX202" i="37" a="1"/>
  <c r="AX202" i="37" s="1"/>
  <c r="AW268" i="37" a="1"/>
  <c r="AW268" i="37" s="1"/>
  <c r="BA258" i="37" a="1"/>
  <c r="BA258" i="37" s="1"/>
  <c r="BJ66" i="37" a="1"/>
  <c r="BJ66" i="37" s="1"/>
  <c r="BB147" i="37" a="1"/>
  <c r="BB147" i="37" s="1"/>
  <c r="AX107" i="37" a="1"/>
  <c r="AX107" i="37" s="1"/>
  <c r="AX76" i="37" a="1"/>
  <c r="AX76" i="37" s="1"/>
  <c r="BK213" i="37" a="1"/>
  <c r="BK213" i="37" s="1"/>
  <c r="BE86" i="37" a="1"/>
  <c r="BE86" i="37" s="1"/>
  <c r="BK71" i="37" a="1"/>
  <c r="BK71" i="37" s="1"/>
  <c r="BI52" i="37" a="1"/>
  <c r="BI52" i="37" s="1"/>
  <c r="BI101" i="37" a="1"/>
  <c r="BI101" i="37" s="1"/>
  <c r="BJ274" i="37" a="1"/>
  <c r="BJ274" i="37" s="1"/>
  <c r="AW164" i="37" a="1"/>
  <c r="AW164" i="37" s="1"/>
  <c r="AW274" i="37" a="1"/>
  <c r="AW274" i="37" s="1"/>
  <c r="BL143" i="37" a="1"/>
  <c r="BL143" i="37" s="1"/>
  <c r="AX40" i="37" a="1"/>
  <c r="AX40" i="37" s="1"/>
  <c r="BM232" i="37" a="1"/>
  <c r="BM232" i="37" s="1"/>
  <c r="BM226" i="37" a="1"/>
  <c r="BM226" i="37" s="1"/>
  <c r="BM268" i="37" a="1"/>
  <c r="BM268" i="37" s="1"/>
  <c r="AW241" i="37" a="1"/>
  <c r="AW241" i="37" s="1"/>
  <c r="BA244" i="37" a="1"/>
  <c r="BA244" i="37" s="1"/>
  <c r="BK224" i="37" a="1"/>
  <c r="BK224" i="37" s="1"/>
  <c r="BJ282" i="37" a="1"/>
  <c r="BJ282" i="37" s="1"/>
  <c r="BJ262" i="37" a="1"/>
  <c r="BJ262" i="37" s="1"/>
  <c r="BJ64" i="37" a="1"/>
  <c r="BJ64" i="37" s="1"/>
  <c r="BM47" i="37" a="1"/>
  <c r="BM47" i="37" s="1"/>
  <c r="BI128" i="37" a="1"/>
  <c r="BI128" i="37" s="1"/>
  <c r="BL283" i="37" a="1"/>
  <c r="BL283" i="37" s="1"/>
  <c r="AX139" i="37" a="1"/>
  <c r="AX139" i="37" s="1"/>
  <c r="BL49" i="37" a="1"/>
  <c r="BL49" i="37" s="1"/>
  <c r="BJ150" i="37" a="1"/>
  <c r="BJ150" i="37" s="1"/>
  <c r="BD260" i="37" a="1"/>
  <c r="BD260" i="37" s="1"/>
  <c r="AY124" i="37" a="1"/>
  <c r="AY124" i="37" s="1"/>
  <c r="BJ236" i="37" a="1"/>
  <c r="BJ236" i="37" s="1"/>
  <c r="BK194" i="37" a="1"/>
  <c r="BK194" i="37" s="1"/>
  <c r="BE190" i="37" a="1"/>
  <c r="BE190" i="37" s="1"/>
  <c r="AZ68" i="37" a="1"/>
  <c r="AZ68" i="37" s="1"/>
  <c r="BJ54" i="37" a="1"/>
  <c r="BJ54" i="37" s="1"/>
  <c r="BC193" i="37" a="1"/>
  <c r="BC193" i="37" s="1"/>
  <c r="BC197" i="37" a="1"/>
  <c r="BC197" i="37" s="1"/>
  <c r="BC166" i="37" a="1"/>
  <c r="BC166" i="37" s="1"/>
  <c r="BH180" i="37" a="1"/>
  <c r="BH180" i="37" s="1"/>
  <c r="BK104" i="37" a="1"/>
  <c r="BK104" i="37" s="1"/>
  <c r="AW114" i="37" a="1"/>
  <c r="AW114" i="37" s="1"/>
  <c r="BE139" i="37" a="1"/>
  <c r="BE139" i="37" s="1"/>
  <c r="BE274" i="37" a="1"/>
  <c r="BE274" i="37" s="1"/>
  <c r="BM185" i="37" a="1"/>
  <c r="BM185" i="37" s="1"/>
  <c r="BC209" i="37" a="1"/>
  <c r="BC209" i="37" s="1"/>
  <c r="BE99" i="37" a="1"/>
  <c r="BE99" i="37" s="1"/>
  <c r="BE80" i="37" a="1"/>
  <c r="BE80" i="37" s="1"/>
  <c r="BB45" i="37" a="1"/>
  <c r="BB45" i="37" s="1"/>
  <c r="BE237" i="37" a="1"/>
  <c r="BE237" i="37" s="1"/>
  <c r="BL123" i="37" a="1"/>
  <c r="BL123" i="37" s="1"/>
  <c r="BC71" i="37" a="1"/>
  <c r="BC71" i="37" s="1"/>
  <c r="BE122" i="37" a="1"/>
  <c r="BE122" i="37" s="1"/>
  <c r="BD101" i="37" a="1"/>
  <c r="BD101" i="37" s="1"/>
  <c r="BH118" i="37" a="1"/>
  <c r="BH118" i="37" s="1"/>
  <c r="AX93" i="37" a="1"/>
  <c r="AX93" i="37" s="1"/>
  <c r="BA172" i="37" a="1"/>
  <c r="BA172" i="37" s="1"/>
  <c r="BG181" i="37" a="1"/>
  <c r="BG181" i="37" s="1"/>
  <c r="BD224" i="37" a="1"/>
  <c r="BD224" i="37" s="1"/>
  <c r="BF283" i="37" a="1"/>
  <c r="BF283" i="37" s="1"/>
  <c r="BM237" i="37" a="1"/>
  <c r="BM237" i="37" s="1"/>
  <c r="BG276" i="37" a="1"/>
  <c r="BG276" i="37" s="1"/>
  <c r="BL243" i="37" a="1"/>
  <c r="BL243" i="37" s="1"/>
  <c r="BF258" i="37" a="1"/>
  <c r="BF258" i="37" s="1"/>
  <c r="AY92" i="37" a="1"/>
  <c r="AY92" i="37" s="1"/>
  <c r="AW287" i="37" a="1"/>
  <c r="AW287" i="37" s="1"/>
  <c r="BL288" i="37" a="1"/>
  <c r="BL288" i="37" s="1"/>
  <c r="BE209" i="37" a="1"/>
  <c r="BE209" i="37" s="1"/>
  <c r="BI116" i="37" a="1"/>
  <c r="BI116" i="37" s="1"/>
  <c r="BJ60" i="37" a="1"/>
  <c r="BJ60" i="37" s="1"/>
  <c r="AZ275" i="37" a="1"/>
  <c r="AZ275" i="37" s="1"/>
  <c r="AY212" i="37" a="1"/>
  <c r="AY212" i="37" s="1"/>
  <c r="AW178" i="37" a="1"/>
  <c r="AW178" i="37" s="1"/>
  <c r="BM88" i="37" a="1"/>
  <c r="BM88" i="37" s="1"/>
  <c r="BL38" i="37" a="1"/>
  <c r="BL38" i="37" s="1"/>
  <c r="BD91" i="37" a="1"/>
  <c r="BD91" i="37" s="1"/>
  <c r="BC262" i="37" a="1"/>
  <c r="BC262" i="37" s="1"/>
  <c r="BL192" i="37" a="1"/>
  <c r="BL192" i="37" s="1"/>
  <c r="BK230" i="37" a="1"/>
  <c r="BK230" i="37" s="1"/>
  <c r="AX170" i="37" a="1"/>
  <c r="AX170" i="37" s="1"/>
  <c r="AW91" i="37" a="1"/>
  <c r="AW91" i="37" s="1"/>
  <c r="BC282" i="37" a="1"/>
  <c r="BC282" i="37" s="1"/>
  <c r="BJ255" i="37" a="1"/>
  <c r="BJ255" i="37" s="1"/>
  <c r="BK76" i="37" a="1"/>
  <c r="BK76" i="37" s="1"/>
  <c r="BD279" i="37" a="1"/>
  <c r="BD279" i="37" s="1"/>
  <c r="BB277" i="37" a="1"/>
  <c r="BB277" i="37" s="1"/>
  <c r="AW134" i="37" a="1"/>
  <c r="AW134" i="37" s="1"/>
  <c r="BA53" i="37" a="1"/>
  <c r="BA53" i="37" s="1"/>
  <c r="BC39" i="37" a="1"/>
  <c r="BC39" i="37" s="1"/>
  <c r="AX250" i="37" a="1"/>
  <c r="AX250" i="37" s="1"/>
  <c r="AY140" i="37" a="1"/>
  <c r="AY140" i="37" s="1"/>
  <c r="AY243" i="37" a="1"/>
  <c r="AY243" i="37" s="1"/>
  <c r="BH182" i="37" a="1"/>
  <c r="BH182" i="37" s="1"/>
  <c r="AX273" i="37" a="1"/>
  <c r="AX273" i="37" s="1"/>
  <c r="BB38" i="37" a="1"/>
  <c r="BB38" i="37" s="1"/>
  <c r="AX203" i="37" a="1"/>
  <c r="AX203" i="37" s="1"/>
  <c r="BK239" i="37" a="1"/>
  <c r="BK239" i="37" s="1"/>
  <c r="BF97" i="37" a="1"/>
  <c r="BF97" i="37" s="1"/>
  <c r="BA284" i="37" a="1"/>
  <c r="BA284" i="37" s="1"/>
  <c r="AX284" i="37" a="1"/>
  <c r="AX284" i="37" s="1"/>
  <c r="BM126" i="37" a="1"/>
  <c r="BM126" i="37" s="1"/>
  <c r="BM163" i="37" a="1"/>
  <c r="BM163" i="37" s="1"/>
  <c r="BF262" i="37" a="1"/>
  <c r="BF262" i="37" s="1"/>
  <c r="BB232" i="37" a="1"/>
  <c r="BB232" i="37" s="1"/>
  <c r="AY273" i="37" a="1"/>
  <c r="AY273" i="37" s="1"/>
  <c r="BL251" i="37" a="1"/>
  <c r="BL251" i="37" s="1"/>
  <c r="BC199" i="37" a="1"/>
  <c r="BC199" i="37" s="1"/>
  <c r="AZ170" i="37" a="1"/>
  <c r="AZ170" i="37" s="1"/>
  <c r="BE275" i="37" a="1"/>
  <c r="BE275" i="37" s="1"/>
  <c r="BC88" i="37" a="1"/>
  <c r="BC88" i="37" s="1"/>
  <c r="AY85" i="37" a="1"/>
  <c r="AY85" i="37" s="1"/>
  <c r="BA110" i="37" a="1"/>
  <c r="BA110" i="37" s="1"/>
  <c r="BE234" i="37" a="1"/>
  <c r="BE234" i="37" s="1"/>
  <c r="BM74" i="37" a="1"/>
  <c r="BM74" i="37" s="1"/>
  <c r="AX258" i="37" a="1"/>
  <c r="AX258" i="37" s="1"/>
  <c r="BC63" i="37" a="1"/>
  <c r="BC63" i="37" s="1"/>
  <c r="BF76" i="37" a="1"/>
  <c r="BF76" i="37" s="1"/>
  <c r="AW68" i="37" a="1"/>
  <c r="AW68" i="37" s="1"/>
  <c r="BF142" i="37" a="1"/>
  <c r="BF142" i="37" s="1"/>
  <c r="BF179" i="37" a="1"/>
  <c r="BF179" i="37" s="1"/>
  <c r="AW242" i="37" a="1"/>
  <c r="AW242" i="37" s="1"/>
  <c r="BC58" i="37" a="1"/>
  <c r="BC58" i="37" s="1"/>
  <c r="BB42" i="37" a="1"/>
  <c r="BB42" i="37" s="1"/>
  <c r="BD90" i="37" a="1"/>
  <c r="BD90" i="37" s="1"/>
  <c r="BM108" i="37" a="1"/>
  <c r="BM108" i="37" s="1"/>
  <c r="BC86" i="37" a="1"/>
  <c r="BC86" i="37" s="1"/>
  <c r="BD286" i="37" a="1"/>
  <c r="BD286" i="37" s="1"/>
  <c r="AY194" i="37" a="1"/>
  <c r="AY194" i="37" s="1"/>
  <c r="BE200" i="37" a="1"/>
  <c r="BE200" i="37" s="1"/>
  <c r="BJ258" i="37" a="1"/>
  <c r="BJ258" i="37" s="1"/>
  <c r="AY175" i="37" a="1"/>
  <c r="AY175" i="37" s="1"/>
  <c r="AY50" i="37" a="1"/>
  <c r="AY50" i="37" s="1"/>
  <c r="BD69" i="37" a="1"/>
  <c r="BD69" i="37" s="1"/>
  <c r="BE111" i="37" a="1"/>
  <c r="BE111" i="37" s="1"/>
  <c r="BJ115" i="37" a="1"/>
  <c r="BJ115" i="37" s="1"/>
  <c r="BM266" i="37" a="1"/>
  <c r="BM266" i="37" s="1"/>
  <c r="BK198" i="37" a="1"/>
  <c r="BK198" i="37" s="1"/>
  <c r="BG223" i="37" a="1"/>
  <c r="BG223" i="37" s="1"/>
  <c r="BB262" i="37" a="1"/>
  <c r="BB262" i="37" s="1"/>
  <c r="BG180" i="37" a="1"/>
  <c r="BG180" i="37" s="1"/>
  <c r="AW69" i="37" a="1"/>
  <c r="AW69" i="37" s="1"/>
  <c r="BB114" i="37" a="1"/>
  <c r="BB114" i="37" s="1"/>
  <c r="BC146" i="37" a="1"/>
  <c r="BC146" i="37" s="1"/>
  <c r="BM70" i="37" a="1"/>
  <c r="BM70" i="37" s="1"/>
  <c r="BD147" i="37" a="1"/>
  <c r="BD147" i="37" s="1"/>
  <c r="BF80" i="37" a="1"/>
  <c r="BF80" i="37" s="1"/>
  <c r="BF141" i="37" a="1"/>
  <c r="BF141" i="37" s="1"/>
  <c r="BJ136" i="37" a="1"/>
  <c r="BJ136" i="37" s="1"/>
  <c r="BH234" i="37" a="1"/>
  <c r="BH234" i="37" s="1"/>
  <c r="AW109" i="37" a="1"/>
  <c r="AW109" i="37" s="1"/>
  <c r="BC242" i="37" a="1"/>
  <c r="BC242" i="37" s="1"/>
  <c r="BD248" i="37" a="1"/>
  <c r="BD248" i="37" s="1"/>
  <c r="BI287" i="37" a="1"/>
  <c r="BI287" i="37" s="1"/>
  <c r="BI232" i="37" a="1"/>
  <c r="BI232" i="37" s="1"/>
  <c r="BE106" i="37" a="1"/>
  <c r="BE106" i="37" s="1"/>
  <c r="BF251" i="37" a="1"/>
  <c r="BF251" i="37" s="1"/>
  <c r="BJ119" i="37" a="1"/>
  <c r="BJ119" i="37" s="1"/>
  <c r="BC285" i="37" a="1"/>
  <c r="BC285" i="37" s="1"/>
  <c r="AZ206" i="37" a="1"/>
  <c r="AZ206" i="37" s="1"/>
  <c r="BL287" i="37" a="1"/>
  <c r="BL287" i="37" s="1"/>
  <c r="BC219" i="37" a="1"/>
  <c r="BC219" i="37" s="1"/>
  <c r="BF275" i="37" a="1"/>
  <c r="BF275" i="37" s="1"/>
  <c r="BC125" i="37" a="1"/>
  <c r="BC125" i="37" s="1"/>
  <c r="BF99" i="37" a="1"/>
  <c r="BF99" i="37" s="1"/>
  <c r="BI114" i="37" a="1"/>
  <c r="BI114" i="37" s="1"/>
  <c r="BL280" i="37" a="1"/>
  <c r="BL280" i="37" s="1"/>
  <c r="BJ222" i="37" a="1"/>
  <c r="BJ222" i="37" s="1"/>
  <c r="BE225" i="37" a="1"/>
  <c r="BE225" i="37" s="1"/>
  <c r="BE58" i="37" a="1"/>
  <c r="BE58" i="37" s="1"/>
  <c r="AW41" i="37" a="1"/>
  <c r="AW41" i="37" s="1"/>
  <c r="BI209" i="37" a="1"/>
  <c r="BI209" i="37" s="1"/>
  <c r="BC251" i="37" a="1"/>
  <c r="BC251" i="37" s="1"/>
  <c r="BH272" i="37" a="1"/>
  <c r="BH272" i="37" s="1"/>
  <c r="AX262" i="37" a="1"/>
  <c r="AX262" i="37" s="1"/>
  <c r="BD256" i="37" a="1"/>
  <c r="BD256" i="37" s="1"/>
  <c r="AZ136" i="37" a="1"/>
  <c r="AZ136" i="37" s="1"/>
  <c r="BG73" i="37" a="1"/>
  <c r="BG73" i="37" s="1"/>
  <c r="AW89" i="37" a="1"/>
  <c r="AW89" i="37" s="1"/>
  <c r="AY245" i="37" a="1"/>
  <c r="AY245" i="37" s="1"/>
  <c r="BL203" i="37" a="1"/>
  <c r="BL203" i="37" s="1"/>
  <c r="BJ239" i="37" a="1"/>
  <c r="BJ239" i="37" s="1"/>
  <c r="BE195" i="37" a="1"/>
  <c r="BE195" i="37" s="1"/>
  <c r="BD130" i="37" a="1"/>
  <c r="BD130" i="37" s="1"/>
  <c r="BK232" i="37" a="1"/>
  <c r="BK232" i="37" s="1"/>
  <c r="BI266" i="37" a="1"/>
  <c r="BI266" i="37" s="1"/>
  <c r="BD247" i="37" a="1"/>
  <c r="BD247" i="37" s="1"/>
  <c r="AW282" i="37" a="1"/>
  <c r="AW282" i="37" s="1"/>
  <c r="BC218" i="37" a="1"/>
  <c r="BC218" i="37" s="1"/>
  <c r="BL40" i="37" a="1"/>
  <c r="BL40" i="37" s="1"/>
  <c r="AZ41" i="37" a="1"/>
  <c r="AZ41" i="37" s="1"/>
  <c r="BH43" i="37" a="1"/>
  <c r="BH43" i="37" s="1"/>
  <c r="BF281" i="37" a="1"/>
  <c r="BF281" i="37" s="1"/>
  <c r="BB239" i="37" a="1"/>
  <c r="BB239" i="37" s="1"/>
  <c r="BA156" i="37" a="1"/>
  <c r="BA156" i="37" s="1"/>
  <c r="BM184" i="37" a="1"/>
  <c r="BM184" i="37" s="1"/>
  <c r="BD55" i="37" a="1"/>
  <c r="BD55" i="37" s="1"/>
  <c r="AX253" i="37" a="1"/>
  <c r="AX253" i="37" s="1"/>
  <c r="BA177" i="37" a="1"/>
  <c r="BA177" i="37" s="1"/>
  <c r="AW118" i="37" a="1"/>
  <c r="AW118" i="37" s="1"/>
  <c r="AX116" i="37" a="1"/>
  <c r="AX116" i="37" s="1"/>
  <c r="AX47" i="37" a="1"/>
  <c r="AX47" i="37" s="1"/>
  <c r="BH250" i="37" a="1"/>
  <c r="BH250" i="37" s="1"/>
  <c r="BJ141" i="37" a="1"/>
  <c r="BJ141" i="37" s="1"/>
  <c r="BA264" i="37" a="1"/>
  <c r="BA264" i="37" s="1"/>
  <c r="BG154" i="37" a="1"/>
  <c r="BG154" i="37" s="1"/>
  <c r="BE91" i="37" a="1"/>
  <c r="BE91" i="37" s="1"/>
  <c r="BJ100" i="37" a="1"/>
  <c r="BJ100" i="37" s="1"/>
  <c r="BJ251" i="37" a="1"/>
  <c r="BJ251" i="37" s="1"/>
  <c r="AY258" i="37" a="1"/>
  <c r="AY258" i="37" s="1"/>
  <c r="BI187" i="37" a="1"/>
  <c r="BI187" i="37" s="1"/>
  <c r="BF122" i="37" a="1"/>
  <c r="BF122" i="37" s="1"/>
  <c r="BI59" i="37" a="1"/>
  <c r="BI59" i="37" s="1"/>
  <c r="BJ108" i="37" a="1"/>
  <c r="BJ108" i="37" s="1"/>
  <c r="BH123" i="37" a="1"/>
  <c r="BH123" i="37" s="1"/>
  <c r="AX256" i="37" a="1"/>
  <c r="AX256" i="37" s="1"/>
  <c r="BD214" i="37" a="1"/>
  <c r="BD214" i="37" s="1"/>
  <c r="BF250" i="37" a="1"/>
  <c r="BF250" i="37" s="1"/>
  <c r="BC103" i="37" a="1"/>
  <c r="BC103" i="37" s="1"/>
  <c r="BM90" i="37" a="1"/>
  <c r="BM90" i="37" s="1"/>
  <c r="BF50" i="37" a="1"/>
  <c r="BF50" i="37" s="1"/>
  <c r="BA191" i="37" a="1"/>
  <c r="BA191" i="37" s="1"/>
  <c r="AX246" i="37" a="1"/>
  <c r="AX246" i="37" s="1"/>
  <c r="AZ222" i="37" a="1"/>
  <c r="AZ222" i="37" s="1"/>
  <c r="BF144" i="37" a="1"/>
  <c r="BF144" i="37" s="1"/>
  <c r="AY113" i="37" a="1"/>
  <c r="AY113" i="37" s="1"/>
  <c r="BE140" i="37" a="1"/>
  <c r="BE140" i="37" s="1"/>
  <c r="BM79" i="37" a="1"/>
  <c r="BM79" i="37" s="1"/>
  <c r="BG207" i="37" a="1"/>
  <c r="BG207" i="37" s="1"/>
  <c r="AY191" i="37" a="1"/>
  <c r="AY191" i="37" s="1"/>
  <c r="BC94" i="37" a="1"/>
  <c r="BC94" i="37" s="1"/>
  <c r="BL61" i="37" a="1"/>
  <c r="BL61" i="37" s="1"/>
  <c r="BA78" i="37" a="1"/>
  <c r="BA78" i="37" s="1"/>
  <c r="AZ92" i="37" a="1"/>
  <c r="AZ92" i="37" s="1"/>
  <c r="BD140" i="37" a="1"/>
  <c r="BD140" i="37" s="1"/>
  <c r="BH91" i="37" a="1"/>
  <c r="BH91" i="37" s="1"/>
  <c r="BC116" i="37" a="1"/>
  <c r="BC116" i="37" s="1"/>
  <c r="BJ57" i="37" a="1"/>
  <c r="BJ57" i="37" s="1"/>
  <c r="BF93" i="37" a="1"/>
  <c r="BF93" i="37" s="1"/>
  <c r="AW222" i="37" a="1"/>
  <c r="AW222" i="37" s="1"/>
  <c r="BH271" i="37" a="1"/>
  <c r="BH271" i="37" s="1"/>
  <c r="BE138" i="37" a="1"/>
  <c r="BE138" i="37" s="1"/>
  <c r="AW43" i="37" a="1"/>
  <c r="AW43" i="37" s="1"/>
  <c r="BG96" i="37" a="1"/>
  <c r="BG96" i="37" s="1"/>
  <c r="BB205" i="37" a="1"/>
  <c r="BB205" i="37" s="1"/>
  <c r="BI72" i="37" a="1"/>
  <c r="BI72" i="37" s="1"/>
  <c r="BK97" i="37" a="1"/>
  <c r="BK97" i="37" s="1"/>
  <c r="BM62" i="37" a="1"/>
  <c r="BM62" i="37" s="1"/>
  <c r="BG213" i="37" a="1"/>
  <c r="BG213" i="37" s="1"/>
  <c r="BI189" i="37" a="1"/>
  <c r="BI189" i="37" s="1"/>
  <c r="BI205" i="37" a="1"/>
  <c r="BI205" i="37" s="1"/>
  <c r="BE123" i="37" a="1"/>
  <c r="BE123" i="37" s="1"/>
  <c r="BL289" i="37" a="1"/>
  <c r="BL289" i="37" s="1"/>
  <c r="BD225" i="37" a="1"/>
  <c r="BD225" i="37" s="1"/>
  <c r="BB106" i="37" a="1"/>
  <c r="BB106" i="37" s="1"/>
  <c r="BM218" i="37" a="1"/>
  <c r="BM218" i="37" s="1"/>
  <c r="AZ151" i="37" a="1"/>
  <c r="AZ151" i="37" s="1"/>
  <c r="BI283" i="37" a="1"/>
  <c r="BI283" i="37" s="1"/>
  <c r="BA129" i="37" a="1"/>
  <c r="BA129" i="37" s="1"/>
  <c r="BI46" i="37" a="1"/>
  <c r="BI46" i="37" s="1"/>
  <c r="BM118" i="37" a="1"/>
  <c r="BM118" i="37" s="1"/>
  <c r="BF119" i="37" a="1"/>
  <c r="BF119" i="37" s="1"/>
  <c r="BH68" i="37" a="1"/>
  <c r="BH68" i="37" s="1"/>
  <c r="AY272" i="37" a="1"/>
  <c r="AY272" i="37" s="1"/>
  <c r="BA281" i="37" a="1"/>
  <c r="BA281" i="37" s="1"/>
  <c r="BK234" i="37" a="1"/>
  <c r="BK234" i="37" s="1"/>
  <c r="BB289" i="37" a="1"/>
  <c r="BB289" i="37" s="1"/>
  <c r="AX61" i="37" a="1"/>
  <c r="AX61" i="37" s="1"/>
  <c r="AY59" i="37" a="1"/>
  <c r="AY59" i="37" s="1"/>
  <c r="AW150" i="37" a="1"/>
  <c r="AW150" i="37" s="1"/>
  <c r="BK157" i="37" a="1"/>
  <c r="BK157" i="37" s="1"/>
  <c r="BM287" i="37" a="1"/>
  <c r="BM287" i="37" s="1"/>
  <c r="BF255" i="37" a="1"/>
  <c r="BF255" i="37" s="1"/>
  <c r="BK189" i="37" a="1"/>
  <c r="BK189" i="37" s="1"/>
  <c r="BC179" i="37" a="1"/>
  <c r="BC179" i="37" s="1"/>
  <c r="BJ227" i="37" a="1"/>
  <c r="BJ227" i="37" s="1"/>
  <c r="BI277" i="37" a="1"/>
  <c r="BI277" i="37" s="1"/>
  <c r="BF79" i="37" a="1"/>
  <c r="BF79" i="37" s="1"/>
  <c r="AW141" i="37" a="1"/>
  <c r="AW141" i="37" s="1"/>
  <c r="AX44" i="37" a="1"/>
  <c r="AX44" i="37" s="1"/>
  <c r="BB165" i="37" a="1"/>
  <c r="BB165" i="37" s="1"/>
  <c r="BB267" i="37" a="1"/>
  <c r="BB267" i="37" s="1"/>
  <c r="AX263" i="37" a="1"/>
  <c r="AX263" i="37" s="1"/>
  <c r="BA150" i="37" a="1"/>
  <c r="BA150" i="37" s="1"/>
  <c r="BA265" i="37" a="1"/>
  <c r="BA265" i="37" s="1"/>
  <c r="BM193" i="37" a="1"/>
  <c r="BM193" i="37" s="1"/>
  <c r="AX48" i="37" a="1"/>
  <c r="AX48" i="37" s="1"/>
  <c r="BJ61" i="37" a="1"/>
  <c r="BJ61" i="37" s="1"/>
  <c r="BE94" i="37" a="1"/>
  <c r="BE94" i="37" s="1"/>
  <c r="BD42" i="37" a="1"/>
  <c r="BD42" i="37" s="1"/>
  <c r="BA274" i="37" a="1"/>
  <c r="BA274" i="37" s="1"/>
  <c r="BB212" i="37" a="1"/>
  <c r="BB212" i="37" s="1"/>
  <c r="BI256" i="37" a="1"/>
  <c r="BI256" i="37" s="1"/>
  <c r="BE82" i="37" a="1"/>
  <c r="BE82" i="37" s="1"/>
  <c r="BJ121" i="37" a="1"/>
  <c r="BJ121" i="37" s="1"/>
  <c r="BL263" i="37" a="1"/>
  <c r="BL263" i="37" s="1"/>
  <c r="BC120" i="37" a="1"/>
  <c r="BC120" i="37" s="1"/>
  <c r="AW94" i="37" a="1"/>
  <c r="AW94" i="37" s="1"/>
  <c r="BL236" i="37" a="1"/>
  <c r="BL236" i="37" s="1"/>
  <c r="BE184" i="37" a="1"/>
  <c r="BE184" i="37" s="1"/>
  <c r="BB220" i="37" a="1"/>
  <c r="BB220" i="37" s="1"/>
  <c r="AY276" i="37" a="1"/>
  <c r="AY276" i="37" s="1"/>
  <c r="BC72" i="37" a="1"/>
  <c r="BC72" i="37" s="1"/>
  <c r="BI190" i="37" a="1"/>
  <c r="BI190" i="37" s="1"/>
  <c r="BB166" i="37" a="1"/>
  <c r="BB166" i="37" s="1"/>
  <c r="AW240" i="37" a="1"/>
  <c r="AW240" i="37" s="1"/>
  <c r="BG232" i="37" a="1"/>
  <c r="BG232" i="37" s="1"/>
  <c r="BM272" i="37" a="1"/>
  <c r="BM272" i="37" s="1"/>
  <c r="AZ236" i="37" a="1"/>
  <c r="AZ236" i="37" s="1"/>
  <c r="BH134" i="37" a="1"/>
  <c r="BH134" i="37" s="1"/>
  <c r="BF270" i="37" a="1"/>
  <c r="BF270" i="37" s="1"/>
  <c r="BB229" i="37" a="1"/>
  <c r="BB229" i="37" s="1"/>
  <c r="AY242" i="37" a="1"/>
  <c r="AY242" i="37" s="1"/>
  <c r="BA158" i="37" a="1"/>
  <c r="BA158" i="37" s="1"/>
  <c r="BI112" i="37" a="1"/>
  <c r="BI112" i="37" s="1"/>
  <c r="BC264" i="37" a="1"/>
  <c r="BC264" i="37" s="1"/>
  <c r="AY45" i="37" a="1"/>
  <c r="AY45" i="37" s="1"/>
  <c r="BD258" i="37" a="1"/>
  <c r="BD258" i="37" s="1"/>
  <c r="BI193" i="37" a="1"/>
  <c r="BI193" i="37" s="1"/>
  <c r="AZ192" i="37" a="1"/>
  <c r="AZ192" i="37" s="1"/>
  <c r="BD84" i="37" a="1"/>
  <c r="BD84" i="37" s="1"/>
  <c r="BC54" i="37" a="1"/>
  <c r="BC54" i="37" s="1"/>
  <c r="BL90" i="37" a="1"/>
  <c r="BL90" i="37" s="1"/>
  <c r="AY237" i="37" a="1"/>
  <c r="AY237" i="37" s="1"/>
  <c r="AZ224" i="37" a="1"/>
  <c r="AZ224" i="37" s="1"/>
  <c r="BH156" i="37" a="1"/>
  <c r="BH156" i="37" s="1"/>
  <c r="BL63" i="37" a="1"/>
  <c r="BL63" i="37" s="1"/>
  <c r="BB81" i="37" a="1"/>
  <c r="BB81" i="37" s="1"/>
  <c r="BA228" i="37" a="1"/>
  <c r="BA228" i="37" s="1"/>
  <c r="AY288" i="37" a="1"/>
  <c r="AY288" i="37" s="1"/>
  <c r="BF201" i="37" a="1"/>
  <c r="BF201" i="37" s="1"/>
  <c r="AX66" i="37" a="1"/>
  <c r="AX66" i="37" s="1"/>
  <c r="BD230" i="37" a="1"/>
  <c r="BD230" i="37" s="1"/>
  <c r="BA109" i="37" a="1"/>
  <c r="BA109" i="37" s="1"/>
  <c r="AX141" i="37" a="1"/>
  <c r="AX141" i="37" s="1"/>
  <c r="AY256" i="37" a="1"/>
  <c r="AY256" i="37" s="1"/>
  <c r="BJ231" i="37" a="1"/>
  <c r="BJ231" i="37" s="1"/>
  <c r="BK166" i="37" a="1"/>
  <c r="BK166" i="37" s="1"/>
  <c r="BB242" i="37" a="1"/>
  <c r="BB242" i="37" s="1"/>
  <c r="BE93" i="37" a="1"/>
  <c r="BE93" i="37" s="1"/>
  <c r="BC67" i="37" a="1"/>
  <c r="BC67" i="37" s="1"/>
  <c r="BF147" i="37" a="1"/>
  <c r="BF147" i="37" s="1"/>
  <c r="AY260" i="37" a="1"/>
  <c r="AY260" i="37" s="1"/>
  <c r="AW265" i="37" a="1"/>
  <c r="AW265" i="37" s="1"/>
  <c r="AZ115" i="37" a="1"/>
  <c r="AZ115" i="37" s="1"/>
  <c r="BB180" i="37" a="1"/>
  <c r="BB180" i="37" s="1"/>
  <c r="BK42" i="37" a="1"/>
  <c r="BK42" i="37" s="1"/>
  <c r="BC74" i="37" a="1"/>
  <c r="BC74" i="37" s="1"/>
  <c r="BI74" i="37" a="1"/>
  <c r="BI74" i="37" s="1"/>
  <c r="AZ182" i="37" a="1"/>
  <c r="AZ182" i="37" s="1"/>
  <c r="AY189" i="37" a="1"/>
  <c r="AY189" i="37" s="1"/>
  <c r="BK150" i="37" a="1"/>
  <c r="BK150" i="37" s="1"/>
  <c r="AY228" i="37" a="1"/>
  <c r="AY228" i="37" s="1"/>
  <c r="BA140" i="37" a="1"/>
  <c r="BA140" i="37" s="1"/>
  <c r="AW277" i="37" a="1"/>
  <c r="AW277" i="37" s="1"/>
  <c r="BD276" i="37" a="1"/>
  <c r="BD276" i="37" s="1"/>
  <c r="BI268" i="37" a="1"/>
  <c r="BI268" i="37" s="1"/>
  <c r="BD268" i="37" a="1"/>
  <c r="BD268" i="37" s="1"/>
  <c r="BE268" i="37" a="1"/>
  <c r="BE268" i="37" s="1"/>
  <c r="BL258" i="37" a="1"/>
  <c r="BL258" i="37" s="1"/>
  <c r="BA269" i="37" a="1"/>
  <c r="BA269" i="37" s="1"/>
  <c r="BC135" i="37" a="1"/>
  <c r="BC135" i="37" s="1"/>
  <c r="BB67" i="37" a="1"/>
  <c r="BB67" i="37" s="1"/>
  <c r="BB168" i="37" a="1"/>
  <c r="BB168" i="37" s="1"/>
  <c r="BB159" i="37" a="1"/>
  <c r="BB159" i="37" s="1"/>
  <c r="AW276" i="37" a="1"/>
  <c r="AW276" i="37" s="1"/>
  <c r="BA103" i="37" a="1"/>
  <c r="BA103" i="37" s="1"/>
  <c r="AZ150" i="37" a="1"/>
  <c r="AZ150" i="37" s="1"/>
  <c r="BD138" i="37" a="1"/>
  <c r="BD138" i="37" s="1"/>
  <c r="BE137" i="37" a="1"/>
  <c r="BE137" i="37" s="1"/>
  <c r="AX98" i="37" a="1"/>
  <c r="AX98" i="37" s="1"/>
  <c r="BD281" i="37" a="1"/>
  <c r="BD281" i="37" s="1"/>
  <c r="BL239" i="37" a="1"/>
  <c r="BL239" i="37" s="1"/>
  <c r="BI85" i="37" a="1"/>
  <c r="BI85" i="37" s="1"/>
  <c r="AW144" i="37" a="1"/>
  <c r="AW144" i="37" s="1"/>
  <c r="BD166" i="37" a="1"/>
  <c r="BD166" i="37" s="1"/>
  <c r="AX69" i="37" a="1"/>
  <c r="AX69" i="37" s="1"/>
  <c r="BB70" i="37" a="1"/>
  <c r="BB70" i="37" s="1"/>
  <c r="AZ183" i="37" a="1"/>
  <c r="AZ183" i="37" s="1"/>
  <c r="BB269" i="37" a="1"/>
  <c r="BB269" i="37" s="1"/>
  <c r="BF164" i="37" a="1"/>
  <c r="BF164" i="37" s="1"/>
  <c r="BD184" i="37" a="1"/>
  <c r="BD184" i="37" s="1"/>
  <c r="BC283" i="37" a="1"/>
  <c r="BC283" i="37" s="1"/>
  <c r="AW162" i="37" a="1"/>
  <c r="AW162" i="37" s="1"/>
  <c r="BL191" i="37" a="1"/>
  <c r="BL191" i="37" s="1"/>
  <c r="AZ186" i="37" a="1"/>
  <c r="AZ186" i="37" s="1"/>
  <c r="BB100" i="37" a="1"/>
  <c r="BB100" i="37" s="1"/>
  <c r="BM46" i="37" a="1"/>
  <c r="BM46" i="37" s="1"/>
  <c r="BA100" i="37" a="1"/>
  <c r="BA100" i="37" s="1"/>
  <c r="BL148" i="37" a="1"/>
  <c r="BL148" i="37" s="1"/>
  <c r="BK221" i="37" a="1"/>
  <c r="BK221" i="37" s="1"/>
  <c r="BC284" i="37" a="1"/>
  <c r="BC284" i="37" s="1"/>
  <c r="BB167" i="37" a="1"/>
  <c r="BB167" i="37" s="1"/>
  <c r="BB208" i="37" a="1"/>
  <c r="BB208" i="37" s="1"/>
  <c r="BE74" i="37" a="1"/>
  <c r="BE74" i="37" s="1"/>
  <c r="BE243" i="37" a="1"/>
  <c r="BE243" i="37" s="1"/>
  <c r="BB223" i="37" a="1"/>
  <c r="BB223" i="37" s="1"/>
  <c r="AX194" i="37" a="1"/>
  <c r="AX194" i="37" s="1"/>
  <c r="BI260" i="37" a="1"/>
  <c r="BI260" i="37" s="1"/>
  <c r="BI164" i="37" a="1"/>
  <c r="BI164" i="37" s="1"/>
  <c r="BF289" i="37" a="1"/>
  <c r="BF289" i="37" s="1"/>
  <c r="AX227" i="37" a="1"/>
  <c r="AX227" i="37" s="1"/>
  <c r="AX100" i="37" a="1"/>
  <c r="AX100" i="37" s="1"/>
  <c r="BB120" i="37" a="1"/>
  <c r="BB120" i="37" s="1"/>
  <c r="BJ143" i="37" a="1"/>
  <c r="BJ143" i="37" s="1"/>
  <c r="BB97" i="37" a="1"/>
  <c r="BB97" i="37" s="1"/>
  <c r="BJ250" i="37" a="1"/>
  <c r="BJ250" i="37" s="1"/>
  <c r="BA226" i="37" a="1"/>
  <c r="BA226" i="37" s="1"/>
  <c r="BJ263" i="37" a="1"/>
  <c r="BJ263" i="37" s="1"/>
  <c r="BC68" i="37" a="1"/>
  <c r="BC68" i="37" s="1"/>
  <c r="BL82" i="37" a="1"/>
  <c r="BL82" i="37" s="1"/>
  <c r="BA82" i="37" a="1"/>
  <c r="BA82" i="37" s="1"/>
  <c r="BL142" i="37" a="1"/>
  <c r="BL142" i="37" s="1"/>
  <c r="BE167" i="37" a="1"/>
  <c r="BE167" i="37" s="1"/>
  <c r="AW275" i="37" a="1"/>
  <c r="AW275" i="37" s="1"/>
  <c r="BH226" i="37" a="1"/>
  <c r="BH226" i="37" s="1"/>
  <c r="BF218" i="37" a="1"/>
  <c r="BF218" i="37" s="1"/>
  <c r="BJ272" i="37" a="1"/>
  <c r="BJ272" i="37" s="1"/>
  <c r="BC279" i="37" a="1"/>
  <c r="BC279" i="37" s="1"/>
  <c r="BC53" i="37" a="1"/>
  <c r="BC53" i="37" s="1"/>
  <c r="AY127" i="37" a="1"/>
  <c r="AY127" i="37" s="1"/>
  <c r="AX103" i="37" a="1"/>
  <c r="AX103" i="37" s="1"/>
  <c r="BI69" i="37" a="1"/>
  <c r="BI69" i="37" s="1"/>
  <c r="BA51" i="37" a="1"/>
  <c r="BA51" i="37" s="1"/>
  <c r="BC220" i="37" a="1"/>
  <c r="BC220" i="37" s="1"/>
  <c r="BJ213" i="37" a="1"/>
  <c r="BJ213" i="37" s="1"/>
  <c r="BB187" i="37" a="1"/>
  <c r="BB187" i="37" s="1"/>
  <c r="BB261" i="37" a="1"/>
  <c r="BB261" i="37" s="1"/>
  <c r="BJ56" i="37" a="1"/>
  <c r="BJ56" i="37" s="1"/>
  <c r="BG117" i="37" a="1"/>
  <c r="BG117" i="37" s="1"/>
  <c r="AY115" i="37" a="1"/>
  <c r="AY115" i="37" s="1"/>
  <c r="BJ183" i="37" a="1"/>
  <c r="BJ183" i="37" s="1"/>
  <c r="BK229" i="37" a="1"/>
  <c r="BK229" i="37" s="1"/>
  <c r="BJ232" i="37" a="1"/>
  <c r="BJ232" i="37" s="1"/>
  <c r="BM69" i="37" a="1"/>
  <c r="BM69" i="37" s="1"/>
  <c r="BF124" i="37" a="1"/>
  <c r="BF124" i="37" s="1"/>
  <c r="BB61" i="37" a="1"/>
  <c r="BB61" i="37" s="1"/>
  <c r="BB193" i="37" a="1"/>
  <c r="BB193" i="37" s="1"/>
  <c r="BB118" i="37" a="1"/>
  <c r="BB118" i="37" s="1"/>
  <c r="BJ75" i="37" a="1"/>
  <c r="BJ75" i="37" s="1"/>
  <c r="BF101" i="37" a="1"/>
  <c r="BF101" i="37" s="1"/>
  <c r="BC48" i="37" a="1"/>
  <c r="BC48" i="37" s="1"/>
  <c r="BD257" i="37" a="1"/>
  <c r="BD257" i="37" s="1"/>
  <c r="AX229" i="37" a="1"/>
  <c r="AX229" i="37" s="1"/>
  <c r="BE284" i="37" a="1"/>
  <c r="BE284" i="37" s="1"/>
  <c r="BA251" i="37" a="1"/>
  <c r="BA251" i="37" s="1"/>
  <c r="BH41" i="37" a="1"/>
  <c r="BH41" i="37" s="1"/>
  <c r="BD188" i="37" a="1"/>
  <c r="BD188" i="37" s="1"/>
  <c r="AY143" i="37" a="1"/>
  <c r="AY143" i="37" s="1"/>
  <c r="BA203" i="37" a="1"/>
  <c r="BA203" i="37" s="1"/>
  <c r="BI129" i="37" a="1"/>
  <c r="BI129" i="37" s="1"/>
  <c r="BJ111" i="37" a="1"/>
  <c r="BJ111" i="37" s="1"/>
  <c r="BL52" i="37" a="1"/>
  <c r="BL52" i="37" s="1"/>
  <c r="BG99" i="37" a="1"/>
  <c r="BG99" i="37" s="1"/>
  <c r="AY211" i="37" a="1"/>
  <c r="AY211" i="37" s="1"/>
  <c r="BE135" i="37" a="1"/>
  <c r="BE135" i="37" s="1"/>
  <c r="BJ271" i="37" a="1"/>
  <c r="BJ271" i="37" s="1"/>
  <c r="BF91" i="37" a="1"/>
  <c r="BF91" i="37" s="1"/>
  <c r="BM186" i="37" a="1"/>
  <c r="BM186" i="37" s="1"/>
  <c r="BB213" i="37" a="1"/>
  <c r="BB213" i="37" s="1"/>
  <c r="AZ195" i="37" a="1"/>
  <c r="AZ195" i="37" s="1"/>
  <c r="BB132" i="37" a="1"/>
  <c r="BB132" i="37" s="1"/>
  <c r="AX283" i="37" a="1"/>
  <c r="AX283" i="37" s="1"/>
  <c r="BJ83" i="37" a="1"/>
  <c r="BJ83" i="37" s="1"/>
  <c r="BI67" i="37" a="1"/>
  <c r="BI67" i="37" s="1"/>
  <c r="BL159" i="37" a="1"/>
  <c r="BL159" i="37" s="1"/>
  <c r="AX260" i="37" a="1"/>
  <c r="AX260" i="37" s="1"/>
  <c r="BD118" i="37" a="1"/>
  <c r="BD118" i="37" s="1"/>
  <c r="BM288" i="37" a="1"/>
  <c r="BM288" i="37" s="1"/>
  <c r="BI108" i="37" a="1"/>
  <c r="BI108" i="37" s="1"/>
  <c r="BH66" i="37" a="1"/>
  <c r="BH66" i="37" s="1"/>
  <c r="AW42" i="37" a="1"/>
  <c r="AW42" i="37" s="1"/>
  <c r="AW86" i="37" a="1"/>
  <c r="AW86" i="37" s="1"/>
  <c r="BC255" i="37" a="1"/>
  <c r="BC255" i="37" s="1"/>
  <c r="BI139" i="37" a="1"/>
  <c r="BI139" i="37" s="1"/>
  <c r="BC40" i="37" a="1"/>
  <c r="BC40" i="37" s="1"/>
  <c r="BD71" i="37" a="1"/>
  <c r="BD71" i="37" s="1"/>
  <c r="BH232" i="37" a="1"/>
  <c r="BH232" i="37" s="1"/>
  <c r="BM97" i="37" a="1"/>
  <c r="BM97" i="37" s="1"/>
  <c r="BL257" i="37" a="1"/>
  <c r="BL257" i="37" s="1"/>
  <c r="BC170" i="37" a="1"/>
  <c r="BC170" i="37" s="1"/>
  <c r="BI279" i="37" a="1"/>
  <c r="BI279" i="37" s="1"/>
  <c r="BJ53" i="37" a="1"/>
  <c r="BJ53" i="37" s="1"/>
  <c r="AX38" i="37" a="1"/>
  <c r="AX38" i="37" s="1"/>
  <c r="BB53" i="37" a="1"/>
  <c r="BB53" i="37" s="1"/>
  <c r="AY279" i="37" a="1"/>
  <c r="AY279" i="37" s="1"/>
  <c r="AX176" i="37" a="1"/>
  <c r="AX176" i="37" s="1"/>
  <c r="AW124" i="37" a="1"/>
  <c r="AW124" i="37" s="1"/>
  <c r="BM189" i="37" a="1"/>
  <c r="BM189" i="37" s="1"/>
  <c r="BF287" i="37" a="1"/>
  <c r="BF287" i="37" s="1"/>
  <c r="BE61" i="37" a="1"/>
  <c r="BE61" i="37" s="1"/>
  <c r="BK161" i="37" a="1"/>
  <c r="BK161" i="37" s="1"/>
  <c r="BA221" i="37" a="1"/>
  <c r="BA221" i="37" s="1"/>
  <c r="BG235" i="37" a="1"/>
  <c r="BG235" i="37" s="1"/>
  <c r="BC221" i="37" a="1"/>
  <c r="BC221" i="37" s="1"/>
  <c r="BK273" i="37" a="1"/>
  <c r="BK273" i="37" s="1"/>
  <c r="BE245" i="37" a="1"/>
  <c r="BE245" i="37" s="1"/>
  <c r="AZ169" i="37" a="1"/>
  <c r="AZ169" i="37" s="1"/>
  <c r="AY54" i="37" a="1"/>
  <c r="AY54" i="37" s="1"/>
  <c r="AY202" i="37" a="1"/>
  <c r="AY202" i="37" s="1"/>
  <c r="BD168" i="37" a="1"/>
  <c r="BD168" i="37" s="1"/>
  <c r="BL231" i="37" a="1"/>
  <c r="BL231" i="37" s="1"/>
  <c r="AX214" i="37" a="1"/>
  <c r="AX214" i="37" s="1"/>
  <c r="BF277" i="37" a="1"/>
  <c r="BF277" i="37" s="1"/>
  <c r="BI200" i="37" a="1"/>
  <c r="BI200" i="37" s="1"/>
  <c r="BA128" i="37" a="1"/>
  <c r="BA128" i="37" s="1"/>
  <c r="BL121" i="37" a="1"/>
  <c r="BL121" i="37" s="1"/>
  <c r="BE172" i="37" a="1"/>
  <c r="BE172" i="37" s="1"/>
  <c r="BJ104" i="37" a="1"/>
  <c r="BJ104" i="37" s="1"/>
  <c r="BD210" i="37" a="1"/>
  <c r="BD210" i="37" s="1"/>
  <c r="BB182" i="37" a="1"/>
  <c r="BB182" i="37" s="1"/>
  <c r="BH288" i="37" a="1"/>
  <c r="BH288" i="37" s="1"/>
  <c r="BM244" i="37" a="1"/>
  <c r="BM244" i="37" s="1"/>
  <c r="BG168" i="37" a="1"/>
  <c r="BG168" i="37" s="1"/>
  <c r="BE83" i="37" a="1"/>
  <c r="BE83" i="37" s="1"/>
  <c r="BI270" i="37" a="1"/>
  <c r="BI270" i="37" s="1"/>
  <c r="AX261" i="37" a="1"/>
  <c r="AX261" i="37" s="1"/>
  <c r="BF217" i="37" a="1"/>
  <c r="BF217" i="37" s="1"/>
  <c r="BH189" i="37" a="1"/>
  <c r="BH189" i="37" s="1"/>
  <c r="BB237" i="37" a="1"/>
  <c r="BB237" i="37" s="1"/>
  <c r="BA223" i="37" a="1"/>
  <c r="BA223" i="37" s="1"/>
  <c r="BF89" i="37" a="1"/>
  <c r="BF89" i="37" s="1"/>
  <c r="BI153" i="37" a="1"/>
  <c r="BI153" i="37" s="1"/>
  <c r="AZ220" i="37" a="1"/>
  <c r="AZ220" i="37" s="1"/>
  <c r="BD229" i="37" a="1"/>
  <c r="BD229" i="37" s="1"/>
  <c r="BE261" i="37" a="1"/>
  <c r="BE261" i="37" s="1"/>
  <c r="AX269" i="37" a="1"/>
  <c r="AX269" i="37" s="1"/>
  <c r="AW233" i="37" a="1"/>
  <c r="AW233" i="37" s="1"/>
  <c r="BA220" i="37" a="1"/>
  <c r="BA220" i="37" s="1"/>
  <c r="BA178" i="37" a="1"/>
  <c r="BA178" i="37" s="1"/>
  <c r="BH280" i="37" a="1"/>
  <c r="BH280" i="37" s="1"/>
  <c r="BA260" i="37" a="1"/>
  <c r="BA260" i="37" s="1"/>
  <c r="AY261" i="37" a="1"/>
  <c r="AY261" i="37" s="1"/>
  <c r="BM224" i="37" a="1"/>
  <c r="BM224" i="37" s="1"/>
  <c r="AY248" i="37" a="1"/>
  <c r="AY248" i="37" s="1"/>
  <c r="BC244" i="37" a="1"/>
  <c r="BC244" i="37" s="1"/>
  <c r="AY162" i="37" a="1"/>
  <c r="AY162" i="37" s="1"/>
  <c r="BI285" i="37" a="1"/>
  <c r="BI285" i="37" s="1"/>
  <c r="BF84" i="37" a="1"/>
  <c r="BF84" i="37" s="1"/>
  <c r="BK40" i="37" a="1"/>
  <c r="BK40" i="37" s="1"/>
  <c r="BC268" i="37" a="1"/>
  <c r="BC268" i="37" s="1"/>
  <c r="BB253" i="37" a="1"/>
  <c r="BB253" i="37" s="1"/>
  <c r="BC210" i="37" a="1"/>
  <c r="BC210" i="37" s="1"/>
  <c r="BI224" i="37" a="1"/>
  <c r="BI224" i="37" s="1"/>
  <c r="BH177" i="37" a="1"/>
  <c r="BH177" i="37" s="1"/>
  <c r="BI179" i="37" a="1"/>
  <c r="BI179" i="37" s="1"/>
  <c r="AW152" i="37" a="1"/>
  <c r="AW152" i="37" s="1"/>
  <c r="AZ213" i="37" a="1"/>
  <c r="AZ213" i="37" s="1"/>
  <c r="AW225" i="37" a="1"/>
  <c r="AW225" i="37" s="1"/>
  <c r="BM285" i="37" a="1"/>
  <c r="BM285" i="37" s="1"/>
  <c r="BB285" i="37" a="1"/>
  <c r="BB285" i="37" s="1"/>
  <c r="AX234" i="37" a="1"/>
  <c r="AX234" i="37" s="1"/>
  <c r="BH167" i="37" a="1"/>
  <c r="BH167" i="37" s="1"/>
  <c r="BM228" i="37" a="1"/>
  <c r="BM228" i="37" s="1"/>
  <c r="BB272" i="37" a="1"/>
  <c r="BB272" i="37" s="1"/>
  <c r="BF273" i="37" a="1"/>
  <c r="BF273" i="37" s="1"/>
  <c r="BD236" i="37" a="1"/>
  <c r="BD236" i="37" s="1"/>
  <c r="BH175" i="37" a="1"/>
  <c r="BH175" i="37" s="1"/>
  <c r="BD104" i="37" a="1"/>
  <c r="BD104" i="37" s="1"/>
  <c r="AW167" i="37" a="1"/>
  <c r="AW167" i="37" s="1"/>
  <c r="BE256" i="37" a="1"/>
  <c r="BE256" i="37" s="1"/>
  <c r="BD196" i="37" a="1"/>
  <c r="BD196" i="37" s="1"/>
  <c r="BG230" i="37" a="1"/>
  <c r="BG230" i="37" s="1"/>
  <c r="AX130" i="37" a="1"/>
  <c r="AX130" i="37" s="1"/>
  <c r="BE287" i="37" a="1"/>
  <c r="BE287" i="37" s="1"/>
  <c r="BC252" i="37" a="1"/>
  <c r="BC252" i="37" s="1"/>
  <c r="BI244" i="37" a="1"/>
  <c r="BI244" i="37" s="1"/>
  <c r="BG112" i="37" a="1"/>
  <c r="BG112" i="37" s="1"/>
  <c r="BD159" i="37" a="1"/>
  <c r="BD159" i="37" s="1"/>
  <c r="BL246" i="37" a="1"/>
  <c r="BL246" i="37" s="1"/>
  <c r="BM264" i="37" a="1"/>
  <c r="BM264" i="37" s="1"/>
  <c r="BJ211" i="37" a="1"/>
  <c r="BJ211" i="37" s="1"/>
  <c r="BA162" i="37" a="1"/>
  <c r="BA162" i="37" s="1"/>
  <c r="BC224" i="37" a="1"/>
  <c r="BC224" i="37" s="1"/>
  <c r="AX52" i="37" a="1"/>
  <c r="AX52" i="37" s="1"/>
  <c r="BL107" i="37" a="1"/>
  <c r="BL107" i="37" s="1"/>
  <c r="BB153" i="37" a="1"/>
  <c r="BB153" i="37" s="1"/>
  <c r="BM274" i="37" a="1"/>
  <c r="BM274" i="37" s="1"/>
  <c r="BC161" i="37" a="1"/>
  <c r="BC161" i="37" s="1"/>
  <c r="BE244" i="37" a="1"/>
  <c r="BE244" i="37" s="1"/>
  <c r="BD185" i="37" a="1"/>
  <c r="BD185" i="37" s="1"/>
  <c r="BE153" i="37" a="1"/>
  <c r="BE153" i="37" s="1"/>
  <c r="BB128" i="37" a="1"/>
  <c r="BB128" i="37" s="1"/>
  <c r="BA270" i="37" a="1"/>
  <c r="BA270" i="37" s="1"/>
  <c r="BF232" i="37" a="1"/>
  <c r="BF232" i="37" s="1"/>
  <c r="BB270" i="37" a="1"/>
  <c r="BB270" i="37" s="1"/>
  <c r="BB286" i="37" a="1"/>
  <c r="BB286" i="37" s="1"/>
  <c r="BD219" i="37" a="1"/>
  <c r="BD219" i="37" s="1"/>
  <c r="BH216" i="37" a="1"/>
  <c r="BH216" i="37" s="1"/>
  <c r="BA245" i="37" a="1"/>
  <c r="BA245" i="37" s="1"/>
  <c r="BE116" i="37" a="1"/>
  <c r="BE116" i="37" s="1"/>
  <c r="BB113" i="37" a="1"/>
  <c r="BB113" i="37" s="1"/>
  <c r="BL211" i="37" a="1"/>
  <c r="BL211" i="37" s="1"/>
  <c r="BJ219" i="37" a="1"/>
  <c r="BJ219" i="37" s="1"/>
  <c r="BL247" i="37" a="1"/>
  <c r="BL247" i="37" s="1"/>
  <c r="BK165" i="37" a="1"/>
  <c r="BK165" i="37" s="1"/>
  <c r="BM165" i="37" a="1"/>
  <c r="BM165" i="37" s="1"/>
  <c r="BM48" i="37" a="1"/>
  <c r="BM48" i="37" s="1"/>
  <c r="BD199" i="37" a="1"/>
  <c r="BD199" i="37" s="1"/>
  <c r="AX188" i="37" a="1"/>
  <c r="AX188" i="37" s="1"/>
  <c r="BJ285" i="37" a="1"/>
  <c r="BJ285" i="37" s="1"/>
  <c r="BD289" i="37" a="1"/>
  <c r="BD289" i="37" s="1"/>
  <c r="BK275" i="37" a="1"/>
  <c r="BK275" i="37" s="1"/>
  <c r="BD181" i="37" a="1"/>
  <c r="BD181" i="37" s="1"/>
  <c r="AX186" i="37" a="1"/>
  <c r="AX186" i="37" s="1"/>
  <c r="BL264" i="37" a="1"/>
  <c r="BL264" i="37" s="1"/>
  <c r="AW112" i="37" a="1"/>
  <c r="AW112" i="37" s="1"/>
  <c r="BD254" i="37" a="1"/>
  <c r="BD254" i="37" s="1"/>
  <c r="BF215" i="37" a="1"/>
  <c r="BF215" i="37" s="1"/>
  <c r="BL245" i="37" a="1"/>
  <c r="BL245" i="37" s="1"/>
  <c r="BA179" i="37" a="1"/>
  <c r="BA179" i="37" s="1"/>
  <c r="AW260" i="37" a="1"/>
  <c r="AW260" i="37" s="1"/>
  <c r="BC207" i="37" a="1"/>
  <c r="BC207" i="37" s="1"/>
  <c r="AY130" i="37" a="1"/>
  <c r="AY130" i="37" s="1"/>
  <c r="AY174" i="37" a="1"/>
  <c r="AY174" i="37" s="1"/>
  <c r="AW147" i="37" a="1"/>
  <c r="AW147" i="37" s="1"/>
  <c r="BG166" i="37" a="1"/>
  <c r="BG166" i="37" s="1"/>
  <c r="AY222" i="37" a="1"/>
  <c r="AY222" i="37" s="1"/>
  <c r="AX271" i="37" a="1"/>
  <c r="AX271" i="37" s="1"/>
  <c r="BH205" i="37" a="1"/>
  <c r="BH205" i="37" s="1"/>
  <c r="AX136" i="37" a="1"/>
  <c r="AX136" i="37" s="1"/>
  <c r="BI186" i="37" a="1"/>
  <c r="BI186" i="37" s="1"/>
  <c r="AX255" i="37" a="1"/>
  <c r="AX255" i="37" s="1"/>
  <c r="BM188" i="37" a="1"/>
  <c r="BM188" i="37" s="1"/>
  <c r="BF210" i="37" a="1"/>
  <c r="BF210" i="37" s="1"/>
  <c r="AW190" i="37" a="1"/>
  <c r="AW190" i="37" s="1"/>
  <c r="BL166" i="37" a="1"/>
  <c r="BL166" i="37" s="1"/>
  <c r="BD238" i="37" a="1"/>
  <c r="BD238" i="37" s="1"/>
  <c r="BA279" i="37" a="1"/>
  <c r="BA279" i="37" s="1"/>
  <c r="AX167" i="37" a="1"/>
  <c r="AX167" i="37" s="1"/>
  <c r="AW202" i="37" a="1"/>
  <c r="AW202" i="37" s="1"/>
  <c r="BC257" i="37" a="1"/>
  <c r="BC257" i="37" s="1"/>
  <c r="BF174" i="37" a="1"/>
  <c r="BF174" i="37" s="1"/>
  <c r="BA277" i="37" a="1"/>
  <c r="BA277" i="37" s="1"/>
  <c r="AZ212" i="37" a="1"/>
  <c r="AZ212" i="37" s="1"/>
  <c r="BK94" i="37" a="1"/>
  <c r="BK94" i="37" s="1"/>
  <c r="BE232" i="37" a="1"/>
  <c r="BE232" i="37" s="1"/>
  <c r="BJ195" i="37" a="1"/>
  <c r="BJ195" i="37" s="1"/>
  <c r="BK139" i="37" a="1"/>
  <c r="BK139" i="37" s="1"/>
  <c r="BH162" i="37" a="1"/>
  <c r="BH162" i="37" s="1"/>
  <c r="BD52" i="37" a="1"/>
  <c r="BD52" i="37" s="1"/>
  <c r="BH136" i="37" a="1"/>
  <c r="BH136" i="37" s="1"/>
  <c r="BG239" i="37" a="1"/>
  <c r="BG239" i="37" s="1"/>
  <c r="BG74" i="37" a="1"/>
  <c r="BG74" i="37" s="1"/>
  <c r="BA153" i="37" a="1"/>
  <c r="BA153" i="37" s="1"/>
  <c r="BK238" i="37" a="1"/>
  <c r="BK238" i="37" s="1"/>
  <c r="BM196" i="37" a="1"/>
  <c r="BM196" i="37" s="1"/>
  <c r="AW158" i="37" a="1"/>
  <c r="AW158" i="37" s="1"/>
  <c r="BJ288" i="37" a="1"/>
  <c r="BJ288" i="37" s="1"/>
  <c r="AW232" i="37" a="1"/>
  <c r="AW232" i="37" s="1"/>
  <c r="BE179" i="37" a="1"/>
  <c r="BE179" i="37" s="1"/>
  <c r="BJ261" i="37" a="1"/>
  <c r="BJ261" i="37" s="1"/>
  <c r="BL277" i="37" a="1"/>
  <c r="BL277" i="37" s="1"/>
  <c r="BA216" i="37" a="1"/>
  <c r="BA216" i="37" s="1"/>
  <c r="BD127" i="37" a="1"/>
  <c r="BD127" i="37" s="1"/>
  <c r="BG208" i="37" a="1"/>
  <c r="BG208" i="37" s="1"/>
  <c r="BK276" i="37" a="1"/>
  <c r="BK276" i="37" s="1"/>
  <c r="BL171" i="37" a="1"/>
  <c r="BL171" i="37" s="1"/>
  <c r="BD72" i="37" a="1"/>
  <c r="BD72" i="37" s="1"/>
  <c r="BC286" i="37" a="1"/>
  <c r="BC286" i="37" s="1"/>
  <c r="BF247" i="37" a="1"/>
  <c r="BF247" i="37" s="1"/>
  <c r="BE186" i="37" a="1"/>
  <c r="BE186" i="37" s="1"/>
  <c r="BI274" i="37" a="1"/>
  <c r="BI274" i="37" s="1"/>
  <c r="BE262" i="37" a="1"/>
  <c r="BE262" i="37" s="1"/>
  <c r="BM260" i="37" a="1"/>
  <c r="BM260" i="37" s="1"/>
  <c r="BE147" i="37" a="1"/>
  <c r="BE147" i="37" s="1"/>
  <c r="AW244" i="37" a="1"/>
  <c r="AW244" i="37" s="1"/>
  <c r="BG214" i="37" a="1"/>
  <c r="BG214" i="37" s="1"/>
  <c r="BL286" i="37" a="1"/>
  <c r="BL286" i="37" s="1"/>
  <c r="BB236" i="37" a="1"/>
  <c r="BB236" i="37" s="1"/>
  <c r="AY135" i="37" a="1"/>
  <c r="AY135" i="37" s="1"/>
  <c r="BG275" i="37" a="1"/>
  <c r="BG275" i="37" s="1"/>
  <c r="AX280" i="37" a="1"/>
  <c r="AX280" i="37" s="1"/>
  <c r="BF191" i="37" a="1"/>
  <c r="BF191" i="37" s="1"/>
  <c r="BF190" i="37" a="1"/>
  <c r="BF190" i="37" s="1"/>
  <c r="AY193" i="37" a="1"/>
  <c r="AY193" i="37" s="1"/>
  <c r="AX225" i="37" a="1"/>
  <c r="AX225" i="37" s="1"/>
  <c r="BI230" i="37" a="1"/>
  <c r="BI230" i="37" s="1"/>
  <c r="BL157" i="37" a="1"/>
  <c r="BL157" i="37" s="1"/>
  <c r="BL285" i="37" a="1"/>
  <c r="BL285" i="37" s="1"/>
  <c r="BF53" i="37" a="1"/>
  <c r="BF53" i="37" s="1"/>
  <c r="BG273" i="37" a="1"/>
  <c r="BG273" i="37" s="1"/>
  <c r="BB284" i="37" a="1"/>
  <c r="BB284" i="37" s="1"/>
  <c r="BA192" i="37" a="1"/>
  <c r="BA192" i="37" s="1"/>
  <c r="BJ198" i="37" a="1"/>
  <c r="BJ198" i="37" s="1"/>
  <c r="BM284" i="37" a="1"/>
  <c r="BM284" i="37" s="1"/>
  <c r="BB75" i="37" a="1"/>
  <c r="BB75" i="37" s="1"/>
  <c r="BE255" i="37" a="1"/>
  <c r="BE255" i="37" s="1"/>
  <c r="BC263" i="37" a="1"/>
  <c r="BC263" i="37" s="1"/>
  <c r="AW115" i="37" a="1"/>
  <c r="AW115" i="37" s="1"/>
  <c r="BF263" i="37" a="1"/>
  <c r="BF263" i="37" s="1"/>
  <c r="AW176" i="37" a="1"/>
  <c r="AW176" i="37" s="1"/>
  <c r="AX205" i="37" a="1"/>
  <c r="AX205" i="37" s="1"/>
  <c r="BF213" i="37" a="1"/>
  <c r="BF213" i="37" s="1"/>
  <c r="BE175" i="37" a="1"/>
  <c r="BE175" i="37" s="1"/>
  <c r="BL180" i="37" a="1"/>
  <c r="BL180" i="37" s="1"/>
  <c r="BF237" i="37" a="1"/>
  <c r="BF237" i="37" s="1"/>
  <c r="AZ69" i="37" a="1"/>
  <c r="AZ69" i="37" s="1"/>
  <c r="AY42" i="37" a="1"/>
  <c r="AY42" i="37" s="1"/>
  <c r="BE134" i="37" a="1"/>
  <c r="BE134" i="37" s="1"/>
  <c r="BL262" i="37" a="1"/>
  <c r="BL262" i="37" s="1"/>
  <c r="BI210" i="37" a="1"/>
  <c r="BI210" i="37" s="1"/>
  <c r="AW288" i="37" a="1"/>
  <c r="AW288" i="37" s="1"/>
  <c r="BC246" i="37" a="1"/>
  <c r="BC246" i="37" s="1"/>
  <c r="BM256" i="37" a="1"/>
  <c r="BM256" i="37" s="1"/>
  <c r="BD217" i="37" a="1"/>
  <c r="BD217" i="37" s="1"/>
  <c r="BA45" i="37" a="1"/>
  <c r="BA45" i="37" s="1"/>
  <c r="BE266" i="37" a="1"/>
  <c r="BE266" i="37" s="1"/>
  <c r="BM271" i="37" a="1"/>
  <c r="BM271" i="37" s="1"/>
  <c r="AX259" i="37" a="1"/>
  <c r="AX259" i="37" s="1"/>
  <c r="AW209" i="37" a="1"/>
  <c r="AW209" i="37" s="1"/>
  <c r="AZ228" i="37" a="1"/>
  <c r="AZ228" i="37" s="1"/>
  <c r="AW221" i="37" a="1"/>
  <c r="AW221" i="37" s="1"/>
  <c r="BB281" i="37" a="1"/>
  <c r="BB281" i="37" s="1"/>
  <c r="BE38" i="37" a="1"/>
  <c r="BE38" i="37" s="1"/>
  <c r="AX198" i="37" a="1"/>
  <c r="AX198" i="37" s="1"/>
  <c r="BA255" i="37" a="1"/>
  <c r="BA255" i="37" s="1"/>
  <c r="BM240" i="37" a="1"/>
  <c r="BM240" i="37" s="1"/>
  <c r="BJ270" i="37" a="1"/>
  <c r="BJ270" i="37" s="1"/>
  <c r="BI231" i="37" a="1"/>
  <c r="BI231" i="37" s="1"/>
  <c r="BJ144" i="37" a="1"/>
  <c r="BJ144" i="37" s="1"/>
  <c r="BJ159" i="37" a="1"/>
  <c r="BJ159" i="37" s="1"/>
  <c r="BA84" i="37" a="1"/>
  <c r="BA84" i="37" s="1"/>
  <c r="AX123" i="37" a="1"/>
  <c r="AX123" i="37" s="1"/>
  <c r="BC250" i="37" a="1"/>
  <c r="BC250" i="37" s="1"/>
  <c r="BK212" i="37" a="1"/>
  <c r="BK212" i="37" s="1"/>
  <c r="AY213" i="37" a="1"/>
  <c r="AY213" i="37" s="1"/>
  <c r="BH251" i="37" a="1"/>
  <c r="BH251" i="37" s="1"/>
  <c r="BE280" i="37" a="1"/>
  <c r="BE280" i="37" s="1"/>
  <c r="BL130" i="37" a="1"/>
  <c r="BL130" i="37" s="1"/>
  <c r="BG198" i="37" a="1"/>
  <c r="BG198" i="37" s="1"/>
  <c r="BI252" i="37" a="1"/>
  <c r="BI252" i="37" s="1"/>
  <c r="BJ240" i="37" a="1"/>
  <c r="BJ240" i="37" s="1"/>
  <c r="BE283" i="37" a="1"/>
  <c r="BE283" i="37" s="1"/>
  <c r="BD242" i="37" a="1"/>
  <c r="BD242" i="37" s="1"/>
  <c r="BH193" i="37" a="1"/>
  <c r="BH193" i="37" s="1"/>
  <c r="BJ244" i="37" a="1"/>
  <c r="BJ244" i="37" s="1"/>
  <c r="AW285" i="37" a="1"/>
  <c r="AW285" i="37" s="1"/>
  <c r="AX55" i="37" a="1"/>
  <c r="AX55" i="37" s="1"/>
  <c r="BB252" i="37" a="1"/>
  <c r="BB252" i="37" s="1"/>
  <c r="BM259" i="37" a="1"/>
  <c r="BM259" i="37" s="1"/>
  <c r="BB240" i="37" a="1"/>
  <c r="BB240" i="37" s="1"/>
  <c r="BA201" i="37" a="1"/>
  <c r="BA201" i="37" s="1"/>
  <c r="BB245" i="37" a="1"/>
  <c r="BB245" i="37" s="1"/>
  <c r="BB181" i="37" a="1"/>
  <c r="BB181" i="37" s="1"/>
  <c r="BC169" i="37" a="1"/>
  <c r="BC169" i="37" s="1"/>
  <c r="BC38" i="37" a="1"/>
  <c r="BC38" i="37" s="1"/>
  <c r="BM275" i="37" a="1"/>
  <c r="BM275" i="37" s="1"/>
  <c r="BA285" i="37" a="1"/>
  <c r="BA285" i="37" s="1"/>
  <c r="AY184" i="37" a="1"/>
  <c r="AY184" i="37" s="1"/>
  <c r="BA289" i="37" a="1"/>
  <c r="BA289" i="37" s="1"/>
  <c r="BA267" i="37" a="1"/>
  <c r="BA267" i="37" s="1"/>
  <c r="BB266" i="37" a="1"/>
  <c r="BB266" i="37" s="1"/>
  <c r="BI180" i="37" a="1"/>
  <c r="BI180" i="37" s="1"/>
  <c r="BI264" i="37" a="1"/>
  <c r="BI264" i="37" s="1"/>
  <c r="AW160" i="37" a="1"/>
  <c r="AW160" i="37" s="1"/>
  <c r="BI204" i="37" a="1"/>
  <c r="BI204" i="37" s="1"/>
  <c r="BD277" i="37" a="1"/>
  <c r="BD277" i="37" s="1"/>
  <c r="BG153" i="37" a="1"/>
  <c r="BG153" i="37" s="1"/>
  <c r="BC189" i="37" a="1"/>
  <c r="BC189" i="37" s="1"/>
  <c r="BD274" i="37" a="1"/>
  <c r="BD274" i="37" s="1"/>
  <c r="BC265" i="37" a="1"/>
  <c r="BC265" i="37" s="1"/>
  <c r="BJ178" i="37" a="1"/>
  <c r="BJ178" i="37" s="1"/>
  <c r="BL182" i="37" a="1"/>
  <c r="BL182" i="37" s="1"/>
  <c r="AZ119" i="37" a="1"/>
  <c r="AZ119" i="37" s="1"/>
  <c r="BI240" i="37" a="1"/>
  <c r="BI240" i="37" s="1"/>
  <c r="AY271" i="37" a="1"/>
  <c r="AY271" i="37" s="1"/>
  <c r="BJ281" i="37" a="1"/>
  <c r="BJ281" i="37" s="1"/>
  <c r="BE228" i="37" a="1"/>
  <c r="BE228" i="37" s="1"/>
  <c r="BA189" i="37" a="1"/>
  <c r="BA189" i="37" s="1"/>
  <c r="BF151" i="37" a="1"/>
  <c r="BF151" i="37" s="1"/>
  <c r="BE104" i="37" a="1"/>
  <c r="BE104" i="37" s="1"/>
  <c r="BE188" i="37" a="1"/>
  <c r="BE188" i="37" s="1"/>
  <c r="BB224" i="37" a="1"/>
  <c r="BB224" i="37" s="1"/>
  <c r="BG80" i="37" a="1"/>
  <c r="BG80" i="37" s="1"/>
  <c r="BH71" i="37" a="1"/>
  <c r="BH71" i="37" s="1"/>
  <c r="BI96" i="37" a="1"/>
  <c r="BI96" i="37" s="1"/>
  <c r="BJ103" i="37" a="1"/>
  <c r="BJ103" i="37" s="1"/>
  <c r="AX247" i="37" a="1"/>
  <c r="AX247" i="37" s="1"/>
  <c r="BD267" i="37" a="1"/>
  <c r="BD267" i="37" s="1"/>
  <c r="BL266" i="37" a="1"/>
  <c r="BL266" i="37" s="1"/>
  <c r="BL213" i="37" a="1"/>
  <c r="BL213" i="37" s="1"/>
  <c r="BK156" i="37" a="1"/>
  <c r="BK156" i="37" s="1"/>
  <c r="BB275" i="37" a="1"/>
  <c r="BB275" i="37" s="1"/>
  <c r="BD263" i="37" a="1"/>
  <c r="BD263" i="37" s="1"/>
  <c r="AY231" i="37" a="1"/>
  <c r="AY231" i="37" s="1"/>
  <c r="BH155" i="37" a="1"/>
  <c r="BH155" i="37" s="1"/>
  <c r="BB76" i="37" a="1"/>
  <c r="BB76" i="37" s="1"/>
  <c r="BL216" i="37" a="1"/>
  <c r="BL216" i="37" s="1"/>
  <c r="AX243" i="37" a="1"/>
  <c r="AX243" i="37" s="1"/>
  <c r="BL179" i="37" a="1"/>
  <c r="BL179" i="37" s="1"/>
  <c r="BL275" i="37" a="1"/>
  <c r="BL275" i="37" s="1"/>
  <c r="BJ273" i="37" a="1"/>
  <c r="BJ273" i="37" s="1"/>
  <c r="BI220" i="37" a="1"/>
  <c r="BI220" i="37" s="1"/>
  <c r="BE158" i="37" a="1"/>
  <c r="BE158" i="37" s="1"/>
  <c r="AY265" i="37" a="1"/>
  <c r="AY265" i="37" s="1"/>
  <c r="BB288" i="37" a="1"/>
  <c r="BB288" i="37" s="1"/>
  <c r="BG193" i="37" a="1"/>
  <c r="BG193" i="37" s="1"/>
  <c r="AY89" i="37" a="1"/>
  <c r="AY89" i="37" s="1"/>
  <c r="BH220" i="37" a="1"/>
  <c r="BH220" i="37" s="1"/>
  <c r="BE222" i="37" a="1"/>
  <c r="BE222" i="37" s="1"/>
  <c r="BE219" i="37" a="1"/>
  <c r="BE219" i="37" s="1"/>
  <c r="AY219" i="37" a="1"/>
  <c r="AY219" i="37" s="1"/>
  <c r="BH264" i="37" a="1"/>
  <c r="BH264" i="37" s="1"/>
  <c r="AX288" i="37" a="1"/>
  <c r="AX288" i="37" s="1"/>
  <c r="AZ273" i="37" a="1"/>
  <c r="AZ273" i="37" s="1"/>
  <c r="BF161" i="37" a="1"/>
  <c r="BF161" i="37" s="1"/>
  <c r="AY72" i="37" a="1"/>
  <c r="AY72" i="37" s="1"/>
  <c r="AY284" i="37" a="1"/>
  <c r="AY284" i="37" s="1"/>
  <c r="BF278" i="37" a="1"/>
  <c r="BF278" i="37" s="1"/>
  <c r="BJ186" i="37" a="1"/>
  <c r="BJ186" i="37" s="1"/>
  <c r="BL188" i="37" a="1"/>
  <c r="BL188" i="37" s="1"/>
  <c r="BH248" i="37" a="1"/>
  <c r="BH248" i="37" s="1"/>
  <c r="BF132" i="37" a="1"/>
  <c r="BF132" i="37" s="1"/>
  <c r="BK217" i="37" a="1"/>
  <c r="BK217" i="37" s="1"/>
  <c r="AX238" i="37" a="1"/>
  <c r="AX238" i="37" s="1"/>
  <c r="BE288" i="37" a="1"/>
  <c r="BE288" i="37" s="1"/>
  <c r="BB221" i="37" a="1"/>
  <c r="BB221" i="37" s="1"/>
  <c r="BA38" i="37" a="1"/>
  <c r="BA38" i="37" s="1"/>
  <c r="AY266" i="37" a="1"/>
  <c r="AY266" i="37" s="1"/>
  <c r="BH213" i="37" a="1"/>
  <c r="BH213" i="37" s="1"/>
  <c r="BB230" i="37" a="1"/>
  <c r="BB230" i="37" s="1"/>
  <c r="BB273" i="37" a="1"/>
  <c r="BB273" i="37" s="1"/>
  <c r="BD255" i="37" a="1"/>
  <c r="BD255" i="37" s="1"/>
  <c r="BJ284" i="37" a="1"/>
  <c r="BJ284" i="37" s="1"/>
  <c r="BC222" i="37" a="1"/>
  <c r="BC222" i="37" s="1"/>
  <c r="BJ91" i="37" a="1"/>
  <c r="BJ91" i="37" s="1"/>
  <c r="BK115" i="37" a="1"/>
  <c r="BK115" i="37" s="1"/>
  <c r="BF46" i="37" a="1"/>
  <c r="BF46" i="37" s="1"/>
  <c r="BH283" i="37" a="1"/>
  <c r="BH283" i="37" s="1"/>
  <c r="BF246" i="37" a="1"/>
  <c r="BF246" i="37" s="1"/>
  <c r="BF158" i="37" a="1"/>
  <c r="BF158" i="37" s="1"/>
  <c r="BE253" i="37" a="1"/>
  <c r="BE253" i="37" s="1"/>
  <c r="BA185" i="37" a="1"/>
  <c r="BA185" i="37" s="1"/>
  <c r="AX241" i="37" a="1"/>
  <c r="AX241" i="37" s="1"/>
  <c r="AW79" i="37" a="1"/>
  <c r="AW79" i="37" s="1"/>
  <c r="BE115" i="37" a="1"/>
  <c r="BE115" i="37" s="1"/>
  <c r="BF272" i="37" a="1"/>
  <c r="BF272" i="37" s="1"/>
  <c r="BC212" i="37" a="1"/>
  <c r="BC212" i="37" s="1"/>
  <c r="BF276" i="37" a="1"/>
  <c r="BF276" i="37" s="1"/>
  <c r="AZ207" i="37" a="1"/>
  <c r="AZ207" i="37" s="1"/>
  <c r="AZ166" i="37" a="1"/>
  <c r="AZ166" i="37" s="1"/>
  <c r="BJ208" i="37" a="1"/>
  <c r="BJ208" i="37" s="1"/>
  <c r="BI276" i="37" a="1"/>
  <c r="BI276" i="37" s="1"/>
  <c r="BM176" i="37" a="1"/>
  <c r="BM176" i="37" s="1"/>
  <c r="BC186" i="37" a="1"/>
  <c r="BC186" i="37" s="1"/>
  <c r="AY274" i="37" a="1"/>
  <c r="AY274" i="37" s="1"/>
  <c r="AW250" i="37" a="1"/>
  <c r="AW250" i="37" s="1"/>
  <c r="BL228" i="37" a="1"/>
  <c r="BL228" i="37" s="1"/>
  <c r="BA237" i="37" a="1"/>
  <c r="BA237" i="37" s="1"/>
  <c r="BD109" i="37" a="1"/>
  <c r="BD109" i="37" s="1"/>
  <c r="BJ50" i="37" a="1"/>
  <c r="BJ50" i="37" s="1"/>
  <c r="BC274" i="37" a="1"/>
  <c r="BC274" i="37" s="1"/>
  <c r="BH260" i="37" a="1"/>
  <c r="BH260" i="37" s="1"/>
  <c r="BF238" i="37" a="1"/>
  <c r="BF238" i="37" s="1"/>
  <c r="AZ218" i="37" a="1"/>
  <c r="AZ218" i="37" s="1"/>
  <c r="BG233" i="37" a="1"/>
  <c r="BG233" i="37" s="1"/>
  <c r="AZ211" i="37" a="1"/>
  <c r="AZ211" i="37" s="1"/>
  <c r="AX112" i="37" a="1"/>
  <c r="AX112" i="37" s="1"/>
  <c r="BF216" i="37" a="1"/>
  <c r="BF216" i="37" s="1"/>
  <c r="BJ276" i="37" a="1"/>
  <c r="BJ276" i="37" s="1"/>
  <c r="BI273" i="37" a="1"/>
  <c r="BI273" i="37" s="1"/>
  <c r="BC258" i="37" a="1"/>
  <c r="BC258" i="37" s="1"/>
  <c r="AX233" i="37" a="1"/>
  <c r="AX233" i="37" s="1"/>
  <c r="AX272" i="37" a="1"/>
  <c r="AX272" i="37" s="1"/>
  <c r="BB216" i="37" a="1"/>
  <c r="BB216" i="37" s="1"/>
  <c r="BD272" i="37" a="1"/>
  <c r="BD272" i="37" s="1"/>
  <c r="AW249" i="37" a="1"/>
  <c r="AW249" i="37" s="1"/>
  <c r="AW218" i="37" a="1"/>
  <c r="AW218" i="37" s="1"/>
  <c r="BJ132" i="37" a="1"/>
  <c r="BJ132" i="37" s="1"/>
  <c r="BB233" i="37" a="1"/>
  <c r="BB233" i="37" s="1"/>
  <c r="BJ266" i="37" a="1"/>
  <c r="BJ266" i="37" s="1"/>
  <c r="BM214" i="37" a="1"/>
  <c r="BM214" i="37" s="1"/>
  <c r="AY277" i="37" a="1"/>
  <c r="AY277" i="37" s="1"/>
  <c r="BA241" i="37" a="1"/>
  <c r="BA241" i="37" s="1"/>
  <c r="BC204" i="37" a="1"/>
  <c r="BC204" i="37" s="1"/>
  <c r="BH154" i="37" a="1"/>
  <c r="BH154" i="37" s="1"/>
  <c r="BK98" i="37" a="1"/>
  <c r="BK98" i="37" s="1"/>
  <c r="BM236" i="37" a="1"/>
  <c r="BM236" i="37" s="1"/>
  <c r="BC198" i="37" a="1"/>
  <c r="BC198" i="37" s="1"/>
  <c r="BG137" i="37" a="1"/>
  <c r="BG137" i="37" s="1"/>
  <c r="BH109" i="37" a="1"/>
  <c r="BH109" i="37" s="1"/>
  <c r="BK222" i="37" a="1"/>
  <c r="BK222" i="37" s="1"/>
  <c r="BJ171" i="37" a="1"/>
  <c r="BJ171" i="37" s="1"/>
  <c r="BE282" i="37" a="1"/>
  <c r="BE282" i="37" s="1"/>
  <c r="BB238" i="37" a="1"/>
  <c r="BB238" i="37" s="1"/>
  <c r="AW245" i="37" a="1"/>
  <c r="AW245" i="37" s="1"/>
  <c r="BB199" i="37" a="1"/>
  <c r="BB199" i="37" s="1"/>
  <c r="BJ49" i="37" a="1"/>
  <c r="BJ49" i="37" s="1"/>
  <c r="BM277" i="37" a="1"/>
  <c r="BM277" i="37" s="1"/>
  <c r="BH208" i="37" a="1"/>
  <c r="BH208" i="37" s="1"/>
  <c r="BC237" i="37" a="1"/>
  <c r="BC237" i="37" s="1"/>
  <c r="AW98" i="37" a="1"/>
  <c r="AW98" i="37" s="1"/>
  <c r="AX127" i="37" a="1"/>
  <c r="AX127" i="37" s="1"/>
  <c r="BH242" i="37" a="1"/>
  <c r="BH242" i="37" s="1"/>
  <c r="BC192" i="37" a="1"/>
  <c r="BC192" i="37" s="1"/>
  <c r="BI250" i="37" a="1"/>
  <c r="BI250" i="37" s="1"/>
  <c r="BB249" i="37" a="1"/>
  <c r="BB249" i="37" s="1"/>
  <c r="BM235" i="37" a="1"/>
  <c r="BM235" i="37" s="1"/>
  <c r="BJ194" i="37" a="1"/>
  <c r="BJ194" i="37" s="1"/>
  <c r="BE272" i="37" a="1"/>
  <c r="BE272" i="37" s="1"/>
  <c r="AX282" i="37" a="1"/>
  <c r="AX282" i="37" s="1"/>
  <c r="BC234" i="37" a="1"/>
  <c r="BC234" i="37" s="1"/>
  <c r="BA149" i="37" a="1"/>
  <c r="BA149" i="37" s="1"/>
  <c r="BG69" i="37" a="1"/>
  <c r="BG69" i="37" s="1"/>
  <c r="AY149" i="37" a="1"/>
  <c r="AY149" i="37" s="1"/>
  <c r="AW261" i="37" a="1"/>
  <c r="AW261" i="37" s="1"/>
  <c r="AW237" i="37" a="1"/>
  <c r="AW237" i="37" s="1"/>
  <c r="BD235" i="37" a="1"/>
  <c r="BD235" i="37" s="1"/>
  <c r="BL224" i="37" a="1"/>
  <c r="BL224" i="37" s="1"/>
  <c r="BB258" i="37" a="1"/>
  <c r="BB258" i="37" s="1"/>
  <c r="BE169" i="37" a="1"/>
  <c r="BE169" i="37" s="1"/>
  <c r="BG138" i="37" a="1"/>
  <c r="BG138" i="37" s="1"/>
  <c r="BE278" i="37" a="1"/>
  <c r="BE278" i="37" s="1"/>
  <c r="BH228" i="37" a="1"/>
  <c r="BH228" i="37" s="1"/>
  <c r="BJ280" i="37" a="1"/>
  <c r="BJ280" i="37" s="1"/>
  <c r="BJ223" i="37" a="1"/>
  <c r="BJ223" i="37" s="1"/>
  <c r="BE250" i="37" a="1"/>
  <c r="BE250" i="37" s="1"/>
  <c r="BL269" i="37" a="1"/>
  <c r="BL269" i="37" s="1"/>
  <c r="BJ268" i="37" a="1"/>
  <c r="BJ268" i="37" s="1"/>
  <c r="BD253" i="37" a="1"/>
  <c r="BD253" i="37" s="1"/>
  <c r="BF254" i="37" a="1"/>
  <c r="BF254" i="37" s="1"/>
  <c r="BE198" i="37" a="1"/>
  <c r="BE198" i="37" s="1"/>
  <c r="BC145" i="37" a="1"/>
  <c r="BC145" i="37" s="1"/>
  <c r="BL194" i="37" a="1"/>
  <c r="BL194" i="37" s="1"/>
  <c r="BD223" i="37" a="1"/>
  <c r="BD223" i="37" s="1"/>
  <c r="BC200" i="37" a="1"/>
  <c r="BC200" i="37" s="1"/>
  <c r="BA139" i="37" a="1"/>
  <c r="BA139" i="37" s="1"/>
  <c r="BJ192" i="37" a="1"/>
  <c r="BJ192" i="37" s="1"/>
  <c r="BL252" i="37" a="1"/>
  <c r="BL252" i="37" s="1"/>
  <c r="BH191" i="37" a="1"/>
  <c r="BH191" i="37" s="1"/>
  <c r="BH195" i="37" a="1"/>
  <c r="BH195" i="37" s="1"/>
  <c r="BA121" i="37" a="1"/>
  <c r="BA121" i="37" s="1"/>
  <c r="BI269" i="37" a="1"/>
  <c r="BI269" i="37" s="1"/>
  <c r="BL181" i="37" a="1"/>
  <c r="BL181" i="37" s="1"/>
  <c r="BJ204" i="37" a="1"/>
  <c r="BJ204" i="37" s="1"/>
  <c r="BM267" i="37" a="1"/>
  <c r="BM267" i="37" s="1"/>
  <c r="AW247" i="37" a="1"/>
  <c r="AW247" i="37" s="1"/>
  <c r="BL230" i="37" a="1"/>
  <c r="BL230" i="37" s="1"/>
  <c r="AY234" i="37" a="1"/>
  <c r="AY234" i="37" s="1"/>
  <c r="BL198" i="37" a="1"/>
  <c r="BL198" i="37" s="1"/>
  <c r="BF90" i="37" a="1"/>
  <c r="BF90" i="37" s="1"/>
  <c r="AZ117" i="37" a="1"/>
  <c r="AZ117" i="37" s="1"/>
  <c r="BE260" i="37" a="1"/>
  <c r="BE260" i="37" s="1"/>
  <c r="BB263" i="37" a="1"/>
  <c r="BB263" i="37" s="1"/>
  <c r="AY255" i="37" a="1"/>
  <c r="AY255" i="37" s="1"/>
  <c r="AY214" i="37" a="1"/>
  <c r="AY214" i="37" s="1"/>
  <c r="BJ214" i="37" a="1"/>
  <c r="BJ214" i="37" s="1"/>
  <c r="AW181" i="37" a="1"/>
  <c r="AW181" i="37" s="1"/>
  <c r="BD148" i="37" a="1"/>
  <c r="BD148" i="37" s="1"/>
  <c r="AW39" i="37" a="1"/>
  <c r="AW39" i="37" s="1"/>
  <c r="BF240" i="37" a="1"/>
  <c r="BF240" i="37" s="1"/>
  <c r="BJ256" i="37" a="1"/>
  <c r="BJ256" i="37" s="1"/>
  <c r="BH267" i="37" a="1"/>
  <c r="BH267" i="37" s="1"/>
  <c r="BI261" i="37" a="1"/>
  <c r="BI261" i="37" s="1"/>
  <c r="BD177" i="37" a="1"/>
  <c r="BD177" i="37" s="1"/>
  <c r="BK119" i="37" a="1"/>
  <c r="BK119" i="37" s="1"/>
  <c r="BL73" i="37" a="1"/>
  <c r="BL73" i="37" s="1"/>
  <c r="BE42" i="37" a="1"/>
  <c r="BE42" i="37" s="1"/>
  <c r="BF279" i="37" a="1"/>
  <c r="BF279" i="37" s="1"/>
  <c r="BM248" i="37" a="1"/>
  <c r="BM248" i="37" s="1"/>
  <c r="AW238" i="37" a="1"/>
  <c r="AW238" i="37" s="1"/>
  <c r="BE276" i="37" a="1"/>
  <c r="BE276" i="37" s="1"/>
  <c r="BJ217" i="37" a="1"/>
  <c r="BJ217" i="37" s="1"/>
  <c r="BE109" i="37" a="1"/>
  <c r="BE109" i="37" s="1"/>
  <c r="AW263" i="37" a="1"/>
  <c r="AW263" i="37" s="1"/>
  <c r="BG274" i="37" a="1"/>
  <c r="BG274" i="37" s="1"/>
  <c r="BF86" i="37" a="1"/>
  <c r="BF86" i="37" s="1"/>
  <c r="BG159" i="37" a="1"/>
  <c r="BG159" i="37" s="1"/>
  <c r="BB274" i="37" a="1"/>
  <c r="BB274" i="37" s="1"/>
  <c r="BL226" i="37" a="1"/>
  <c r="BL226" i="37" s="1"/>
  <c r="AX268" i="37" a="1"/>
  <c r="AX268" i="37" s="1"/>
  <c r="AX212" i="37" a="1"/>
  <c r="AX212" i="37" s="1"/>
  <c r="BH158" i="37" a="1"/>
  <c r="BH158" i="37" s="1"/>
  <c r="BE85" i="37" a="1"/>
  <c r="BE85" i="37" s="1"/>
  <c r="BL223" i="37" a="1"/>
  <c r="BL223" i="37" s="1"/>
  <c r="BJ269" i="37" a="1"/>
  <c r="BJ269" i="37" s="1"/>
  <c r="AX217" i="37" a="1"/>
  <c r="AX217" i="37" s="1"/>
  <c r="BB209" i="37" a="1"/>
  <c r="BB209" i="37" s="1"/>
  <c r="BC236" i="37" a="1"/>
  <c r="BC236" i="37" s="1"/>
  <c r="BF211" i="37" a="1"/>
  <c r="BF211" i="37" s="1"/>
  <c r="BB126" i="37" a="1"/>
  <c r="BB126" i="37" s="1"/>
  <c r="BI218" i="37" a="1"/>
  <c r="BI218" i="37" s="1"/>
  <c r="BG226" i="37" a="1"/>
  <c r="BG226" i="37" s="1"/>
  <c r="AX210" i="37" a="1"/>
  <c r="AX210" i="37" s="1"/>
  <c r="BF208" i="37" a="1"/>
  <c r="BF208" i="37" s="1"/>
  <c r="AX83" i="37" a="1"/>
  <c r="AX83" i="37" s="1"/>
  <c r="AW219" i="37" a="1"/>
  <c r="AW219" i="37" s="1"/>
  <c r="AW289" i="37" a="1"/>
  <c r="AW289" i="37" s="1"/>
  <c r="BL240" i="37" a="1"/>
  <c r="BL240" i="37" s="1"/>
  <c r="AX289" i="37" a="1"/>
  <c r="AX289" i="37" s="1"/>
  <c r="AW235" i="37" a="1"/>
  <c r="AW235" i="37" s="1"/>
  <c r="BJ151" i="37" a="1"/>
  <c r="BJ151" i="37" s="1"/>
  <c r="BM177" i="37" a="1"/>
  <c r="BM177" i="37" s="1"/>
  <c r="BC194" i="37" a="1"/>
  <c r="BC194" i="37" s="1"/>
  <c r="BI184" i="37" a="1"/>
  <c r="BI184" i="37" s="1"/>
  <c r="BD128" i="37" a="1"/>
  <c r="BD128" i="37" s="1"/>
  <c r="AX270" i="37" a="1"/>
  <c r="AX270" i="37" s="1"/>
  <c r="AW99" i="37" a="1"/>
  <c r="AW99" i="37" s="1"/>
  <c r="BI203" i="37" a="1"/>
  <c r="BI203" i="37" s="1"/>
  <c r="BE279" i="37" a="1"/>
  <c r="BE279" i="37" s="1"/>
  <c r="BH233" i="37" a="1"/>
  <c r="BH233" i="37" s="1"/>
  <c r="BF92" i="37" a="1"/>
  <c r="BF92" i="37" s="1"/>
  <c r="BL77" i="37" a="1"/>
  <c r="BL77" i="37" s="1"/>
  <c r="BD249" i="37" a="1"/>
  <c r="BD249" i="37" s="1"/>
  <c r="AY215" i="37" a="1"/>
  <c r="AY215" i="37" s="1"/>
  <c r="BJ110" i="37" a="1"/>
  <c r="BJ110" i="37" s="1"/>
  <c r="BC165" i="37" a="1"/>
  <c r="BC165" i="37" s="1"/>
  <c r="BK210" i="37" a="1"/>
  <c r="BK210" i="37" s="1"/>
  <c r="BI237" i="37" a="1"/>
  <c r="BI237" i="37" s="1"/>
  <c r="BC289" i="37" a="1"/>
  <c r="BC289" i="37" s="1"/>
  <c r="BE84" i="37" a="1"/>
  <c r="BE84" i="37" s="1"/>
  <c r="AW217" i="37" a="1"/>
  <c r="AW217" i="37" s="1"/>
  <c r="AW258" i="37" a="1"/>
  <c r="AW258" i="37" s="1"/>
  <c r="BF72" i="37" a="1"/>
  <c r="BF72" i="37" s="1"/>
  <c r="BF66" i="37" a="1"/>
  <c r="BF66" i="37" s="1"/>
  <c r="BL221" i="37" a="1"/>
  <c r="BL221" i="37" s="1"/>
  <c r="BD237" i="37" a="1"/>
  <c r="BD237" i="37" s="1"/>
  <c r="AX104" i="37" a="1"/>
  <c r="AX104" i="37" s="1"/>
  <c r="BB254" i="37" a="1"/>
  <c r="BB254" i="37" s="1"/>
  <c r="BA278" i="37" a="1"/>
  <c r="BA278" i="37" s="1"/>
  <c r="AW229" i="37" a="1"/>
  <c r="AW229" i="37" s="1"/>
  <c r="AW131" i="37" a="1"/>
  <c r="AW131" i="37" s="1"/>
  <c r="BG228" i="37" a="1"/>
  <c r="BG228" i="37" s="1"/>
  <c r="BL233" i="37" a="1"/>
  <c r="BL233" i="37" s="1"/>
  <c r="BG221" i="37" a="1"/>
  <c r="BG221" i="37" s="1"/>
  <c r="BM117" i="37" a="1"/>
  <c r="BM117" i="37" s="1"/>
  <c r="BJ40" i="37" a="1"/>
  <c r="BJ40" i="37" s="1"/>
  <c r="BC228" i="37" a="1"/>
  <c r="BC228" i="37" s="1"/>
  <c r="AW284" i="37" a="1"/>
  <c r="AW284" i="37" s="1"/>
  <c r="BI155" i="37" a="1"/>
  <c r="BI155" i="37" s="1"/>
  <c r="BJ199" i="37" a="1"/>
  <c r="BJ199" i="37" s="1"/>
  <c r="BM201" i="37" a="1"/>
  <c r="BM201" i="37" s="1"/>
  <c r="BA252" i="37" a="1"/>
  <c r="BA252" i="37" s="1"/>
  <c r="BC180" i="37" a="1"/>
  <c r="BC180" i="37" s="1"/>
  <c r="BI145" i="37" a="1"/>
  <c r="BI145" i="37" s="1"/>
  <c r="BF209" i="37" a="1"/>
  <c r="BF209" i="37" s="1"/>
  <c r="AW259" i="37" a="1"/>
  <c r="AW259" i="37" s="1"/>
  <c r="BF256" i="37" a="1"/>
  <c r="BF256" i="37" s="1"/>
  <c r="BA157" i="37" a="1"/>
  <c r="BA157" i="37" s="1"/>
  <c r="BJ122" i="37" a="1"/>
  <c r="BJ122" i="37" s="1"/>
  <c r="BH185" i="37" a="1"/>
  <c r="BH185" i="37" s="1"/>
  <c r="BC272" i="37" a="1"/>
  <c r="BC272" i="37" s="1"/>
  <c r="AY263" i="37" a="1"/>
  <c r="AY263" i="37" s="1"/>
  <c r="AY236" i="37" a="1"/>
  <c r="AY236" i="37" s="1"/>
  <c r="BF127" i="37" a="1"/>
  <c r="BF127" i="37" s="1"/>
  <c r="BI150" i="37" a="1"/>
  <c r="BI150" i="37" s="1"/>
  <c r="BK205" i="37" a="1"/>
  <c r="BK205" i="37" s="1"/>
  <c r="BF170" i="37" a="1"/>
  <c r="BF170" i="37" s="1"/>
  <c r="BI219" i="37" a="1"/>
  <c r="BI219" i="37" s="1"/>
  <c r="BC89" i="37" a="1"/>
  <c r="BC89" i="37" s="1"/>
  <c r="BI255" i="37" a="1"/>
  <c r="BI255" i="37" s="1"/>
  <c r="BC256" i="37" a="1"/>
  <c r="BC256" i="37" s="1"/>
  <c r="AW163" i="37" a="1"/>
  <c r="AW163" i="37" s="1"/>
  <c r="BH141" i="37" a="1"/>
  <c r="BH141" i="37" s="1"/>
  <c r="BC267" i="37" a="1"/>
  <c r="BC267" i="37" s="1"/>
  <c r="BC232" i="37" a="1"/>
  <c r="BC232" i="37" s="1"/>
  <c r="BD259" i="37" a="1"/>
  <c r="BD259" i="37" s="1"/>
  <c r="AY227" i="37" a="1"/>
  <c r="AY227" i="37" s="1"/>
  <c r="AW216" i="37" a="1"/>
  <c r="AW216" i="37" s="1"/>
  <c r="AY268" i="37" a="1"/>
  <c r="AY268" i="37" s="1"/>
  <c r="BH201" i="37" a="1"/>
  <c r="BH201" i="37" s="1"/>
  <c r="BD198" i="37" a="1"/>
  <c r="BD198" i="37" s="1"/>
  <c r="BD137" i="37" a="1"/>
  <c r="BD137" i="37" s="1"/>
  <c r="BF229" i="37" a="1"/>
  <c r="BF229" i="37" s="1"/>
  <c r="BB268" i="37" a="1"/>
  <c r="BB268" i="37" s="1"/>
  <c r="BA232" i="37" a="1"/>
  <c r="BA232" i="37" s="1"/>
  <c r="BK216" i="37" a="1"/>
  <c r="BK216" i="37" s="1"/>
  <c r="BF171" i="37" a="1"/>
  <c r="BF171" i="37" s="1"/>
  <c r="BM134" i="37" a="1"/>
  <c r="BM134" i="37" s="1"/>
  <c r="BM279" i="37" a="1"/>
  <c r="BM279" i="37" s="1"/>
  <c r="BI272" i="37" a="1"/>
  <c r="BI272" i="37" s="1"/>
  <c r="BK158" i="37" a="1"/>
  <c r="BK158" i="37" s="1"/>
  <c r="BI278" i="37" a="1"/>
  <c r="BI278" i="37" s="1"/>
  <c r="BE289" i="37" a="1"/>
  <c r="BE289" i="37" s="1"/>
  <c r="AY259" i="37" a="1"/>
  <c r="AY259" i="37" s="1"/>
  <c r="BI281" i="37" a="1"/>
  <c r="BI281" i="37" s="1"/>
  <c r="AZ225" i="37" a="1"/>
  <c r="AZ225" i="37" s="1"/>
  <c r="BL120" i="37" a="1"/>
  <c r="BL120" i="37" s="1"/>
  <c r="BG139" i="37" a="1"/>
  <c r="BG139" i="37" s="1"/>
  <c r="AZ193" i="37" a="1"/>
  <c r="AZ193" i="37" s="1"/>
  <c r="BI233" i="37" a="1"/>
  <c r="BI233" i="37" s="1"/>
  <c r="AX257" i="37" a="1"/>
  <c r="AX257" i="37" s="1"/>
  <c r="AX265" i="37" a="1"/>
  <c r="AX265" i="37" s="1"/>
  <c r="AX285" i="37" a="1"/>
  <c r="AX285" i="37" s="1"/>
  <c r="AY132" i="37" a="1"/>
  <c r="AY132" i="37" s="1"/>
  <c r="AY41" i="37" a="1"/>
  <c r="AY41" i="37" s="1"/>
  <c r="BA219" i="37" a="1"/>
  <c r="BA219" i="37" s="1"/>
  <c r="BA243" i="37" a="1"/>
  <c r="BA243" i="37" s="1"/>
  <c r="AZ227" i="37" a="1"/>
  <c r="AZ227" i="37" s="1"/>
  <c r="BB250" i="37" a="1"/>
  <c r="BB250" i="37" s="1"/>
  <c r="BF160" i="37" a="1"/>
  <c r="BF160" i="37" s="1"/>
  <c r="BB226" i="37" a="1"/>
  <c r="BB226" i="37" s="1"/>
  <c r="AY285" i="37" a="1"/>
  <c r="AY285" i="37" s="1"/>
  <c r="BD207" i="37" a="1"/>
  <c r="BD207" i="37" s="1"/>
  <c r="BG212" i="37" a="1"/>
  <c r="BG212" i="37" s="1"/>
  <c r="BM150" i="37" a="1"/>
  <c r="BM150" i="37" s="1"/>
  <c r="BF45" i="37" a="1"/>
  <c r="BF45" i="37" s="1"/>
  <c r="AY275" i="37" a="1"/>
  <c r="AY275" i="37" s="1"/>
  <c r="AY179" i="37" a="1"/>
  <c r="AY179" i="37" s="1"/>
  <c r="BB195" i="37" a="1"/>
  <c r="BB195" i="37" s="1"/>
  <c r="BH112" i="37" a="1"/>
  <c r="BH112" i="37" s="1"/>
  <c r="BI259" i="37" a="1"/>
  <c r="BI259" i="37" s="1"/>
  <c r="BM273" i="37" a="1"/>
  <c r="BM273" i="37" s="1"/>
  <c r="BM96" i="37" a="1"/>
  <c r="BM96" i="37" s="1"/>
  <c r="BC99" i="37" a="1"/>
  <c r="BC99" i="37" s="1"/>
  <c r="BH269" i="37" a="1"/>
  <c r="BH269" i="37" s="1"/>
  <c r="BC111" i="37" a="1"/>
  <c r="BC111" i="37" s="1"/>
  <c r="BE180" i="37" a="1"/>
  <c r="BE180" i="37" s="1"/>
  <c r="BA282" i="37" a="1"/>
  <c r="BA282" i="37" s="1"/>
  <c r="BH196" i="37" a="1"/>
  <c r="BH196" i="37" s="1"/>
  <c r="BK280" i="37" a="1"/>
  <c r="BK280" i="37" s="1"/>
  <c r="AZ75" i="37" a="1"/>
  <c r="AZ75" i="37" s="1"/>
  <c r="AX244" i="37" a="1"/>
  <c r="AX244" i="37" s="1"/>
  <c r="BI206" i="37" a="1"/>
  <c r="BI206" i="37" s="1"/>
  <c r="BD252" i="37" a="1"/>
  <c r="BD252" i="37" s="1"/>
  <c r="BB259" i="37" a="1"/>
  <c r="BB259" i="37" s="1"/>
  <c r="BD288" i="37" a="1"/>
  <c r="BD288" i="37" s="1"/>
  <c r="BE241" i="37" a="1"/>
  <c r="BE241" i="37" s="1"/>
  <c r="BF166" i="37" a="1"/>
  <c r="BF166" i="37" s="1"/>
  <c r="BH92" i="37" a="1"/>
  <c r="BH92" i="37" s="1"/>
  <c r="BF242" i="37" a="1"/>
  <c r="BF242" i="37" s="1"/>
  <c r="BC206" i="37" a="1"/>
  <c r="BC206" i="37" s="1"/>
  <c r="BC275" i="37" a="1"/>
  <c r="BC275" i="37" s="1"/>
  <c r="BF39" i="37" a="1"/>
  <c r="BF39" i="37" s="1"/>
  <c r="BF220" i="37" a="1"/>
  <c r="BF220" i="37" s="1"/>
  <c r="BM255" i="37" a="1"/>
  <c r="BM255" i="37" s="1"/>
  <c r="BJ51" i="37" a="1"/>
  <c r="BJ51" i="37" s="1"/>
  <c r="BC260" i="37" a="1"/>
  <c r="BC260" i="37" s="1"/>
  <c r="BF267" i="37" a="1"/>
  <c r="BF267" i="37" s="1"/>
  <c r="BD222" i="37" a="1"/>
  <c r="BD222" i="37" s="1"/>
  <c r="BA236" i="37" a="1"/>
  <c r="BA236" i="37" s="1"/>
  <c r="BD144" i="37" a="1"/>
  <c r="BD144" i="37" s="1"/>
  <c r="AW280" i="37" a="1"/>
  <c r="AW280" i="37" s="1"/>
  <c r="BA275" i="37" a="1"/>
  <c r="BA275" i="37" s="1"/>
  <c r="AY80" i="37" a="1"/>
  <c r="AY80" i="37" s="1"/>
  <c r="BB60" i="37" a="1"/>
  <c r="BB60" i="37" s="1"/>
  <c r="BJ247" i="37" a="1"/>
  <c r="BJ247" i="37" s="1"/>
  <c r="BK225" i="37" a="1"/>
  <c r="BK225" i="37" s="1"/>
  <c r="BA210" i="37" a="1"/>
  <c r="BA210" i="37" s="1"/>
  <c r="BI133" i="37" a="1"/>
  <c r="BI133" i="37" s="1"/>
  <c r="AX124" i="37" a="1"/>
  <c r="AX124" i="37" s="1"/>
  <c r="BF285" i="37" a="1"/>
  <c r="BF285" i="37" s="1"/>
  <c r="AW239" i="37" a="1"/>
  <c r="AW239" i="37" s="1"/>
  <c r="BD204" i="37" a="1"/>
  <c r="BD204" i="37" s="1"/>
  <c r="BH160" i="37" a="1"/>
  <c r="BH160" i="37" s="1"/>
  <c r="BG206" i="37" a="1"/>
  <c r="BG206" i="37" s="1"/>
  <c r="BC162" i="37" a="1"/>
  <c r="BC162" i="37" s="1"/>
  <c r="BA253" i="37" a="1"/>
  <c r="BA253" i="37" s="1"/>
  <c r="BC249" i="37" a="1"/>
  <c r="BC249" i="37" s="1"/>
  <c r="BM234" i="37" a="1"/>
  <c r="BM234" i="37" s="1"/>
  <c r="BL158" i="37" a="1"/>
  <c r="BL158" i="37" s="1"/>
  <c r="BG225" i="37" a="1"/>
  <c r="BG225" i="37" s="1"/>
  <c r="AW264" i="37" a="1"/>
  <c r="AW264" i="37" s="1"/>
  <c r="BL276" i="37" a="1"/>
  <c r="BL276" i="37" s="1"/>
  <c r="BB175" i="37" a="1"/>
  <c r="BB175" i="37" s="1"/>
  <c r="AW228" i="37" a="1"/>
  <c r="AW228" i="37" s="1"/>
  <c r="AX276" i="37" a="1"/>
  <c r="AX276" i="37" s="1"/>
  <c r="BJ249" i="37" a="1"/>
  <c r="BJ249" i="37" s="1"/>
  <c r="BL284" i="37" a="1"/>
  <c r="BL284" i="37" s="1"/>
  <c r="AW253" i="37" a="1"/>
  <c r="AW253" i="37" s="1"/>
  <c r="BM172" i="37" a="1"/>
  <c r="BM172" i="37" s="1"/>
  <c r="BH256" i="37" a="1"/>
  <c r="BH256" i="37" s="1"/>
  <c r="BI286" i="37" a="1"/>
  <c r="BI286" i="37" s="1"/>
  <c r="BA233" i="37" a="1"/>
  <c r="BA233" i="37" s="1"/>
  <c r="BD129" i="37" a="1"/>
  <c r="BD129" i="37" s="1"/>
  <c r="BH143" i="37" a="1"/>
  <c r="BH143" i="37" s="1"/>
  <c r="AZ209" i="37" a="1"/>
  <c r="AZ209" i="37" s="1"/>
  <c r="BB104" i="37" a="1"/>
  <c r="BB104" i="37" s="1"/>
  <c r="BF181" i="37" a="1"/>
  <c r="BF181" i="37" s="1"/>
  <c r="BC227" i="37" a="1"/>
  <c r="BC227" i="37" s="1"/>
  <c r="BA132" i="37" a="1"/>
  <c r="BA132" i="37" s="1"/>
  <c r="BA159" i="37" a="1"/>
  <c r="BA159" i="37" s="1"/>
  <c r="BL273" i="37" a="1"/>
  <c r="BL273" i="37" s="1"/>
  <c r="BD234" i="37" a="1"/>
  <c r="BD234" i="37" s="1"/>
  <c r="BA161" i="37" a="1"/>
  <c r="BA161" i="37" s="1"/>
  <c r="AX102" i="37" a="1"/>
  <c r="AX102" i="37" s="1"/>
  <c r="AW281" i="37" a="1"/>
  <c r="AW281" i="37" s="1"/>
  <c r="BC65" i="37" a="1"/>
  <c r="BC65" i="37" s="1"/>
  <c r="BB186" i="37" a="1"/>
  <c r="BB186" i="37" s="1"/>
  <c r="BM223" i="37" a="1"/>
  <c r="BM223" i="37" s="1"/>
  <c r="BJ233" i="37" a="1"/>
  <c r="BJ233" i="37" s="1"/>
  <c r="BC269" i="37" a="1"/>
  <c r="BC269" i="37" s="1"/>
  <c r="BB129" i="37" a="1"/>
  <c r="BB129" i="37" s="1"/>
  <c r="BH57" i="37" a="1"/>
  <c r="BH57" i="37" s="1"/>
  <c r="BM197" i="37" a="1"/>
  <c r="BM197" i="37" s="1"/>
  <c r="AY270" i="37" a="1"/>
  <c r="AY270" i="37" s="1"/>
  <c r="BL204" i="37" a="1"/>
  <c r="BL204" i="37" s="1"/>
  <c r="AX145" i="37" a="1"/>
  <c r="AX145" i="37" s="1"/>
  <c r="AW192" i="37" a="1"/>
  <c r="AW192" i="37" s="1"/>
  <c r="BH181" i="37" a="1"/>
  <c r="BH181" i="37" s="1"/>
  <c r="BL128" i="37" a="1"/>
  <c r="BL128" i="37" s="1"/>
  <c r="BM233" i="37" a="1"/>
  <c r="BM233" i="37" s="1"/>
  <c r="BK227" i="37" a="1"/>
  <c r="BK227" i="37" s="1"/>
  <c r="BC239" i="37" a="1"/>
  <c r="BC239" i="37" s="1"/>
  <c r="BI208" i="37" a="1"/>
  <c r="BI208" i="37" s="1"/>
  <c r="BI157" i="37" a="1"/>
  <c r="BI157" i="37" s="1"/>
  <c r="BB46" i="37" a="1"/>
  <c r="BB46" i="37" s="1"/>
  <c r="BA148" i="37" a="1"/>
  <c r="BA148" i="37" s="1"/>
  <c r="AX196" i="37" a="1"/>
  <c r="AX196" i="37" s="1"/>
  <c r="BM265" i="37" a="1"/>
  <c r="BM265" i="37" s="1"/>
  <c r="BJ116" i="37" a="1"/>
  <c r="BJ116" i="37" s="1"/>
  <c r="BH119" i="37" a="1"/>
  <c r="BH119" i="37" s="1"/>
  <c r="BE247" i="37" a="1"/>
  <c r="BE247" i="37" s="1"/>
  <c r="BB88" i="37" a="1"/>
  <c r="BB88" i="37" s="1"/>
  <c r="BB211" i="37" a="1"/>
  <c r="BB211" i="37" s="1"/>
  <c r="BA229" i="37" a="1"/>
  <c r="BA229" i="37" s="1"/>
  <c r="BB256" i="37" a="1"/>
  <c r="BB256" i="37" s="1"/>
  <c r="BJ259" i="37" a="1"/>
  <c r="BJ259" i="37" s="1"/>
  <c r="BL83" i="37" a="1"/>
  <c r="BL83" i="37" s="1"/>
  <c r="BD205" i="37" a="1"/>
  <c r="BD205" i="37" s="1"/>
  <c r="BL261" i="37" a="1"/>
  <c r="BL261" i="37" s="1"/>
  <c r="AY254" i="37" a="1"/>
  <c r="AY254" i="37" s="1"/>
  <c r="BI126" i="37" a="1"/>
  <c r="BI126" i="37" s="1"/>
  <c r="AW143" i="37" a="1"/>
  <c r="AW143" i="37" s="1"/>
  <c r="AY280" i="37" a="1"/>
  <c r="AY280" i="37" s="1"/>
  <c r="BI124" i="37" a="1"/>
  <c r="BI124" i="37" s="1"/>
  <c r="BG134" i="37" a="1"/>
  <c r="BG134" i="37" s="1"/>
  <c r="BF167" i="37" a="1"/>
  <c r="BF167" i="37" s="1"/>
  <c r="BH77" i="37" a="1"/>
  <c r="BH77" i="37" s="1"/>
  <c r="BH281" i="37" a="1"/>
  <c r="BH281" i="37" s="1"/>
  <c r="BE249" i="37" a="1"/>
  <c r="BE249" i="37" s="1"/>
  <c r="BI228" i="37" a="1"/>
  <c r="BI228" i="37" s="1"/>
  <c r="BJ142" i="37" a="1"/>
  <c r="BJ142" i="37" s="1"/>
  <c r="BE157" i="37" a="1"/>
  <c r="BE157" i="37" s="1"/>
  <c r="BH230" i="37" a="1"/>
  <c r="BH230" i="37" s="1"/>
  <c r="BA135" i="37" a="1"/>
  <c r="BA135" i="37" s="1"/>
  <c r="AZ204" i="37" a="1"/>
  <c r="AZ204" i="37" s="1"/>
  <c r="BB169" i="37" a="1"/>
  <c r="BB169" i="37" s="1"/>
  <c r="BJ203" i="37" a="1"/>
  <c r="BJ203" i="37" s="1"/>
  <c r="BH274" i="37" a="1"/>
  <c r="BH274" i="37" s="1"/>
  <c r="BF153" i="37" a="1"/>
  <c r="BF153" i="37" s="1"/>
  <c r="BH275" i="37" a="1"/>
  <c r="BH275" i="37" s="1"/>
  <c r="AX121" i="37" a="1"/>
  <c r="AX121" i="37" s="1"/>
  <c r="BH247" i="37" a="1"/>
  <c r="BH247" i="37" s="1"/>
  <c r="BI216" i="37" a="1"/>
  <c r="BI216" i="37" s="1"/>
  <c r="BD117" i="37" a="1"/>
  <c r="BD117" i="37" s="1"/>
  <c r="BE64" i="37" a="1"/>
  <c r="BE64" i="37" s="1"/>
  <c r="BI275" i="37" a="1"/>
  <c r="BI275" i="37" s="1"/>
  <c r="BE90" i="37" a="1"/>
  <c r="BE90" i="37" s="1"/>
  <c r="BD212" i="37" a="1"/>
  <c r="BD212" i="37" s="1"/>
  <c r="BB260" i="37" a="1"/>
  <c r="BB260" i="37" s="1"/>
  <c r="BA257" i="37" a="1"/>
  <c r="BA257" i="37" s="1"/>
  <c r="BJ235" i="37" a="1"/>
  <c r="BJ235" i="37" s="1"/>
  <c r="AY252" i="37" a="1"/>
  <c r="AY252" i="37" s="1"/>
  <c r="BE224" i="37" a="1"/>
  <c r="BE224" i="37" s="1"/>
  <c r="AW149" i="37" a="1"/>
  <c r="AW149" i="37" s="1"/>
  <c r="BD271" i="37" a="1"/>
  <c r="BD271" i="37" s="1"/>
  <c r="AX245" i="37" a="1"/>
  <c r="AX245" i="37" s="1"/>
  <c r="BE259" i="37" a="1"/>
  <c r="BE259" i="37" s="1"/>
  <c r="AZ165" i="37" a="1"/>
  <c r="AZ165" i="37" s="1"/>
  <c r="AW76" i="37" a="1"/>
  <c r="AW76" i="37" s="1"/>
  <c r="AY190" i="37" a="1"/>
  <c r="AY190" i="37" s="1"/>
  <c r="AY77" i="37" a="1"/>
  <c r="AY77" i="37" s="1"/>
  <c r="AZ161" i="37" a="1"/>
  <c r="AZ161" i="37" s="1"/>
  <c r="BA231" i="37" a="1"/>
  <c r="BA231" i="37" s="1"/>
  <c r="AW256" i="37" a="1"/>
  <c r="AW256" i="37" s="1"/>
  <c r="BG238" i="37" a="1"/>
  <c r="BG238" i="37" s="1"/>
  <c r="BH240" i="37" a="1"/>
  <c r="BH240" i="37" s="1"/>
  <c r="BJ246" i="37" a="1"/>
  <c r="BJ246" i="37" s="1"/>
  <c r="BI163" i="37" a="1"/>
  <c r="BI163" i="37" s="1"/>
  <c r="BL42" i="37" a="1"/>
  <c r="BL42" i="37" s="1"/>
  <c r="AW159" i="37" a="1"/>
  <c r="AW159" i="37" s="1"/>
  <c r="BI214" i="37" a="1"/>
  <c r="BI214" i="37" s="1"/>
  <c r="AX152" i="37" a="1"/>
  <c r="AX152" i="37" s="1"/>
  <c r="BG165" i="37" a="1"/>
  <c r="BG165" i="37" s="1"/>
  <c r="BD283" i="37" a="1"/>
  <c r="BD283" i="37" s="1"/>
  <c r="BA246" i="37" a="1"/>
  <c r="BA246" i="37" s="1"/>
  <c r="BA69" i="37" a="1"/>
  <c r="BA69" i="37" s="1"/>
  <c r="BA263" i="37" a="1"/>
  <c r="BA263" i="37" s="1"/>
  <c r="BJ257" i="37" a="1"/>
  <c r="BJ257" i="37" s="1"/>
  <c r="BI253" i="37" a="1"/>
  <c r="BI253" i="37" s="1"/>
  <c r="BL206" i="37" a="1"/>
  <c r="BL206" i="37" s="1"/>
  <c r="BI149" i="37" a="1"/>
  <c r="BI149" i="37" s="1"/>
  <c r="AX171" i="37" a="1"/>
  <c r="AX171" i="37" s="1"/>
  <c r="BH215" i="37" a="1"/>
  <c r="BH215" i="37" s="1"/>
  <c r="BE81" i="37" a="1"/>
  <c r="BE81" i="37" s="1"/>
  <c r="BB155" i="37" a="1"/>
  <c r="BB155" i="37" s="1"/>
  <c r="AW286" i="37" a="1"/>
  <c r="AW286" i="37" s="1"/>
  <c r="BM215" i="37" a="1"/>
  <c r="BM215" i="37" s="1"/>
  <c r="AY120" i="37" a="1"/>
  <c r="AY120" i="37" s="1"/>
  <c r="BM45" i="37" a="1"/>
  <c r="BM45" i="37" s="1"/>
  <c r="AZ231" i="37" a="1"/>
  <c r="AZ231" i="37" s="1"/>
  <c r="BG204" i="37" a="1"/>
  <c r="BG204" i="37" s="1"/>
  <c r="BF284" i="37" a="1"/>
  <c r="BF284" i="37" s="1"/>
  <c r="BJ201" i="37" a="1"/>
  <c r="BJ201" i="37" s="1"/>
  <c r="AW180" i="37" a="1"/>
  <c r="AW180" i="37" s="1"/>
  <c r="AW135" i="37" a="1"/>
  <c r="AW135" i="37" s="1"/>
  <c r="AX239" i="37" a="1"/>
  <c r="AX239" i="37" s="1"/>
  <c r="BE56" i="37" a="1"/>
  <c r="BE56" i="37" s="1"/>
  <c r="BL238" i="37" a="1"/>
  <c r="BL238" i="37" s="1"/>
  <c r="BL268" i="37" a="1"/>
  <c r="BL268" i="37" s="1"/>
  <c r="BM225" i="37" a="1"/>
  <c r="BM225" i="37" s="1"/>
  <c r="BH252" i="37" a="1"/>
  <c r="BH252" i="37" s="1"/>
  <c r="BH184" i="37" a="1"/>
  <c r="BH184" i="37" s="1"/>
  <c r="BK183" i="37" a="1"/>
  <c r="BK183" i="37" s="1"/>
  <c r="AY239" i="37" a="1"/>
  <c r="AY239" i="37" s="1"/>
  <c r="BM242" i="37" a="1"/>
  <c r="BM242" i="37" s="1"/>
  <c r="AW171" i="37" a="1"/>
  <c r="AW171" i="37" s="1"/>
  <c r="AY172" i="37" a="1"/>
  <c r="AY172" i="37" s="1"/>
  <c r="BC50" i="37" a="1"/>
  <c r="BC50" i="37" s="1"/>
  <c r="BH190" i="37" a="1"/>
  <c r="BH190" i="37" s="1"/>
  <c r="BB133" i="37" a="1"/>
  <c r="BB133" i="37" s="1"/>
  <c r="AZ97" i="37" a="1"/>
  <c r="AZ97" i="37" s="1"/>
  <c r="BF224" i="37" a="1"/>
  <c r="BF224" i="37" s="1"/>
  <c r="BM254" i="37" a="1"/>
  <c r="BM254" i="37" s="1"/>
  <c r="AW226" i="37" a="1"/>
  <c r="AW226" i="37" s="1"/>
  <c r="BI238" i="37" a="1"/>
  <c r="BI238" i="37" s="1"/>
  <c r="BC230" i="37" a="1"/>
  <c r="BC230" i="37" s="1"/>
  <c r="BJ107" i="37" a="1"/>
  <c r="BJ107" i="37" s="1"/>
  <c r="BA64" i="37" a="1"/>
  <c r="BA64" i="37" s="1"/>
  <c r="BE201" i="37" a="1"/>
  <c r="BE201" i="37" s="1"/>
  <c r="BE171" i="37" a="1"/>
  <c r="BE171" i="37" s="1"/>
  <c r="BH152" i="37" a="1"/>
  <c r="BH152" i="37" s="1"/>
  <c r="BK80" i="37" a="1"/>
  <c r="BK80" i="37" s="1"/>
  <c r="BC281" i="37" a="1"/>
  <c r="BC281" i="37" s="1"/>
  <c r="BM213" i="37" a="1"/>
  <c r="BM213" i="37" s="1"/>
  <c r="BL124" i="37" a="1"/>
  <c r="BL124" i="37" s="1"/>
  <c r="BE229" i="37" a="1"/>
  <c r="BE229" i="37" s="1"/>
  <c r="BL227" i="37" a="1"/>
  <c r="BL227" i="37" s="1"/>
  <c r="BE165" i="37" a="1"/>
  <c r="BE165" i="37" s="1"/>
  <c r="BF288" i="37" a="1"/>
  <c r="BF288" i="37" s="1"/>
  <c r="AZ78" i="37" a="1"/>
  <c r="AZ78" i="37" s="1"/>
  <c r="BI65" i="37" a="1"/>
  <c r="BI65" i="37" s="1"/>
  <c r="BC225" i="37" a="1"/>
  <c r="BC225" i="37" s="1"/>
  <c r="BA79" i="37" a="1"/>
  <c r="BA79" i="37" s="1"/>
  <c r="BD167" i="37" a="1"/>
  <c r="BD167" i="37" s="1"/>
  <c r="AW200" i="37" a="1"/>
  <c r="AW200" i="37" s="1"/>
  <c r="BI288" i="37" a="1"/>
  <c r="BI288" i="37" s="1"/>
  <c r="BH221" i="37" a="1"/>
  <c r="BH221" i="37" s="1"/>
  <c r="BJ98" i="37" a="1"/>
  <c r="BJ98" i="37" s="1"/>
  <c r="BI199" i="37" a="1"/>
  <c r="BI199" i="37" s="1"/>
  <c r="BI223" i="37" a="1"/>
  <c r="BI223" i="37" s="1"/>
  <c r="BH266" i="37" a="1"/>
  <c r="BH266" i="37" s="1"/>
  <c r="BB198" i="37" a="1"/>
  <c r="BB198" i="37" s="1"/>
  <c r="BH139" i="37" a="1"/>
  <c r="BH139" i="37" s="1"/>
  <c r="AZ235" i="37" a="1"/>
  <c r="AZ235" i="37" s="1"/>
  <c r="BM261" i="37" a="1"/>
  <c r="BM261" i="37" s="1"/>
  <c r="BF173" i="37" a="1"/>
  <c r="BF173" i="37" s="1"/>
  <c r="BC273" i="37" a="1"/>
  <c r="BC273" i="37" s="1"/>
  <c r="BE248" i="37" a="1"/>
  <c r="BE248" i="37" s="1"/>
  <c r="BB204" i="37" a="1"/>
  <c r="BB204" i="37" s="1"/>
  <c r="BH176" i="37" a="1"/>
  <c r="BH176" i="37" s="1"/>
  <c r="BG216" i="37" a="1"/>
  <c r="BG216" i="37" s="1"/>
  <c r="AY240" i="37" a="1"/>
  <c r="AY240" i="37" s="1"/>
  <c r="AX236" i="37" a="1"/>
  <c r="AX236" i="37" s="1"/>
  <c r="BG136" i="37" a="1"/>
  <c r="BG136" i="37" s="1"/>
  <c r="BM128" i="37" a="1"/>
  <c r="BM128" i="37" s="1"/>
  <c r="BF203" i="37" a="1"/>
  <c r="BF203" i="37" s="1"/>
  <c r="BA288" i="37" a="1"/>
  <c r="BA288" i="37" s="1"/>
  <c r="BD133" i="37" a="1"/>
  <c r="BD133" i="37" s="1"/>
  <c r="BE197" i="37" a="1"/>
  <c r="BE197" i="37" s="1"/>
  <c r="BM161" i="37" a="1"/>
  <c r="BM161" i="37" s="1"/>
  <c r="BL274" i="37" a="1"/>
  <c r="BL274" i="37" s="1"/>
  <c r="AX237" i="37" a="1"/>
  <c r="AX237" i="37" s="1"/>
  <c r="BD218" i="37" a="1"/>
  <c r="BD218" i="37" s="1"/>
  <c r="BB154" i="37" a="1"/>
  <c r="BB154" i="37" s="1"/>
  <c r="BI64" i="37" a="1"/>
  <c r="BI64" i="37" s="1"/>
  <c r="AW227" i="37" a="1"/>
  <c r="AW227" i="37" s="1"/>
  <c r="BH128" i="37" a="1"/>
  <c r="BH128" i="37" s="1"/>
  <c r="BE141" i="37" a="1"/>
  <c r="BE141" i="37" s="1"/>
  <c r="BB280" i="37" a="1"/>
  <c r="BB280" i="37" s="1"/>
  <c r="BH238" i="37" a="1"/>
  <c r="BH238" i="37" s="1"/>
  <c r="BI188" i="37" a="1"/>
  <c r="BI188" i="37" s="1"/>
  <c r="BG187" i="37" a="1"/>
  <c r="BG187" i="37" s="1"/>
  <c r="BL212" i="37" a="1"/>
  <c r="BL212" i="37" s="1"/>
  <c r="BB196" i="37" a="1"/>
  <c r="BB196" i="37" s="1"/>
  <c r="BI243" i="37" a="1"/>
  <c r="BI243" i="37" s="1"/>
  <c r="BI194" i="37" a="1"/>
  <c r="BI194" i="37" s="1"/>
  <c r="AW48" i="37" a="1"/>
  <c r="AW48" i="37" s="1"/>
  <c r="BJ188" i="37" a="1"/>
  <c r="BJ188" i="37" s="1"/>
  <c r="BH212" i="37" a="1"/>
  <c r="BH212" i="37" s="1"/>
  <c r="BB99" i="37" a="1"/>
  <c r="BB99" i="37" s="1"/>
  <c r="BD123" i="37" a="1"/>
  <c r="BD123" i="37" s="1"/>
  <c r="AW208" i="37" a="1"/>
  <c r="AW208" i="37" s="1"/>
  <c r="BA248" i="37" a="1"/>
  <c r="BA248" i="37" s="1"/>
  <c r="BA235" i="37" a="1"/>
  <c r="BA235" i="37" s="1"/>
  <c r="BI235" i="37" a="1"/>
  <c r="BI235" i="37" s="1"/>
  <c r="BF180" i="37" a="1"/>
  <c r="BF180" i="37" s="1"/>
  <c r="AX86" i="37" a="1"/>
  <c r="AX86" i="37" s="1"/>
  <c r="BJ279" i="37" a="1"/>
  <c r="BJ279" i="37" s="1"/>
  <c r="BB255" i="37" a="1"/>
  <c r="BB255" i="37" s="1"/>
  <c r="BL253" i="37" a="1"/>
  <c r="BL253" i="37" s="1"/>
  <c r="AW136" i="37" a="1"/>
  <c r="AW136" i="37" s="1"/>
  <c r="AZ122" i="37" a="1"/>
  <c r="AZ122" i="37" s="1"/>
  <c r="BE193" i="37" a="1"/>
  <c r="BE193" i="37" s="1"/>
  <c r="BL185" i="37" a="1"/>
  <c r="BL185" i="37" s="1"/>
  <c r="BD132" i="37" a="1"/>
  <c r="BD132" i="37" s="1"/>
  <c r="BE196" i="37" a="1"/>
  <c r="BE196" i="37" s="1"/>
  <c r="AW199" i="37" a="1"/>
  <c r="AW199" i="37" s="1"/>
  <c r="AW215" i="37" a="1"/>
  <c r="AW215" i="37" s="1"/>
  <c r="BM219" i="37" a="1"/>
  <c r="BM219" i="37" s="1"/>
  <c r="AZ205" i="37" a="1"/>
  <c r="AZ205" i="37" s="1"/>
  <c r="BL139" i="37" a="1"/>
  <c r="BL139" i="37" s="1"/>
  <c r="BG71" i="37" a="1"/>
  <c r="BG71" i="37" s="1"/>
  <c r="BJ157" i="37" a="1"/>
  <c r="BJ157" i="37" s="1"/>
  <c r="AX163" i="37" a="1"/>
  <c r="AX163" i="37" s="1"/>
  <c r="BE174" i="37" a="1"/>
  <c r="BE174" i="37" s="1"/>
  <c r="AX242" i="37" a="1"/>
  <c r="AX242" i="37" s="1"/>
  <c r="BI227" i="37" a="1"/>
  <c r="BI227" i="37" s="1"/>
  <c r="BM204" i="37" a="1"/>
  <c r="BM204" i="37" s="1"/>
  <c r="BH73" i="37" a="1"/>
  <c r="BH73" i="37" s="1"/>
  <c r="BL265" i="37" a="1"/>
  <c r="BL265" i="37" s="1"/>
  <c r="BA151" i="37" a="1"/>
  <c r="BA151" i="37" s="1"/>
  <c r="BF227" i="37" a="1"/>
  <c r="BF227" i="37" s="1"/>
  <c r="BB202" i="37" a="1"/>
  <c r="BB202" i="37" s="1"/>
  <c r="BD44" i="37" a="1"/>
  <c r="BD44" i="37" s="1"/>
  <c r="BH245" i="37" a="1"/>
  <c r="BH245" i="37" s="1"/>
  <c r="BJ229" i="37" a="1"/>
  <c r="BJ229" i="37" s="1"/>
  <c r="BH254" i="37" a="1"/>
  <c r="BH254" i="37" s="1"/>
  <c r="AX174" i="37" a="1"/>
  <c r="AX174" i="37" s="1"/>
  <c r="AZ189" i="37" a="1"/>
  <c r="AZ189" i="37" s="1"/>
  <c r="BF252" i="37" a="1"/>
  <c r="BF252" i="37" s="1"/>
  <c r="BI175" i="37" a="1"/>
  <c r="BI175" i="37" s="1"/>
  <c r="BD221" i="37" a="1"/>
  <c r="BD221" i="37" s="1"/>
  <c r="BH206" i="37" a="1"/>
  <c r="BH206" i="37" s="1"/>
  <c r="BH151" i="37" a="1"/>
  <c r="BH151" i="37" s="1"/>
  <c r="AW230" i="37" a="1"/>
  <c r="AW230" i="37" s="1"/>
  <c r="BB279" i="37" a="1"/>
  <c r="BB279" i="37" s="1"/>
  <c r="BM159" i="37" a="1"/>
  <c r="BM159" i="37" s="1"/>
  <c r="BC139" i="37" a="1"/>
  <c r="BC139" i="37" s="1"/>
  <c r="BJ52" i="37" a="1"/>
  <c r="BJ52" i="37" s="1"/>
  <c r="BB191" i="37" a="1"/>
  <c r="BB191" i="37" s="1"/>
  <c r="AY185" i="37" a="1"/>
  <c r="AY185" i="37" s="1"/>
  <c r="BB278" i="37" a="1"/>
  <c r="BB278" i="37" s="1"/>
  <c r="BK136" i="37" a="1"/>
  <c r="BK136" i="37" s="1"/>
  <c r="BC259" i="37" a="1"/>
  <c r="BC259" i="37" s="1"/>
  <c r="BB246" i="37" a="1"/>
  <c r="BB246" i="37" s="1"/>
  <c r="AY229" i="37" a="1"/>
  <c r="AY229" i="37" s="1"/>
  <c r="BM208" i="37" a="1"/>
  <c r="BM208" i="37" s="1"/>
  <c r="BA186" i="37" a="1"/>
  <c r="BA186" i="37" s="1"/>
  <c r="AY49" i="37" a="1"/>
  <c r="AY49" i="37" s="1"/>
  <c r="BI156" i="37" a="1"/>
  <c r="BI156" i="37" s="1"/>
  <c r="BF260" i="37" a="1"/>
  <c r="BF260" i="37" s="1"/>
  <c r="BB161" i="37" a="1"/>
  <c r="BB161" i="37" s="1"/>
  <c r="BB243" i="37" a="1"/>
  <c r="BB243" i="37" s="1"/>
  <c r="BJ254" i="37" a="1"/>
  <c r="BJ254" i="37" s="1"/>
  <c r="BD170" i="37" a="1"/>
  <c r="BD170" i="37" s="1"/>
  <c r="BF106" i="37" a="1"/>
  <c r="BF106" i="37" s="1"/>
  <c r="BH170" i="37" a="1"/>
  <c r="BH170" i="37" s="1"/>
  <c r="BL165" i="37" a="1"/>
  <c r="BL165" i="37" s="1"/>
  <c r="BE215" i="37" a="1"/>
  <c r="BE215" i="37" s="1"/>
  <c r="AY209" i="37" a="1"/>
  <c r="AY209" i="37" s="1"/>
  <c r="BG209" i="37" a="1"/>
  <c r="BG209" i="37" s="1"/>
  <c r="BJ173" i="37" a="1"/>
  <c r="BJ173" i="37" s="1"/>
  <c r="AY205" i="37" a="1"/>
  <c r="AY205" i="37" s="1"/>
  <c r="BD151" i="37" a="1"/>
  <c r="BD151" i="37" s="1"/>
  <c r="AX235" i="37" a="1"/>
  <c r="AX235" i="37" s="1"/>
  <c r="BA183" i="37" a="1"/>
  <c r="BA183" i="37" s="1"/>
  <c r="BI254" i="37" a="1"/>
  <c r="BI254" i="37" s="1"/>
  <c r="BA184" i="37" a="1"/>
  <c r="BA184" i="37" s="1"/>
  <c r="BB156" i="37" a="1"/>
  <c r="BB156" i="37" s="1"/>
  <c r="BK154" i="37" a="1"/>
  <c r="BK154" i="37" s="1"/>
  <c r="AW169" i="37" a="1"/>
  <c r="AW169" i="37" s="1"/>
  <c r="AX278" i="37" a="1"/>
  <c r="AX278" i="37" s="1"/>
  <c r="BC134" i="37" a="1"/>
  <c r="BC134" i="37" s="1"/>
  <c r="AZ187" i="37" a="1"/>
  <c r="AZ187" i="37" s="1"/>
  <c r="BJ146" i="37" a="1"/>
  <c r="BJ146" i="37" s="1"/>
  <c r="BM164" i="37" a="1"/>
  <c r="BM164" i="37" s="1"/>
  <c r="BA259" i="37" a="1"/>
  <c r="BA259" i="37" s="1"/>
  <c r="BI229" i="37" a="1"/>
  <c r="BI229" i="37" s="1"/>
  <c r="BE125" i="37" a="1"/>
  <c r="BE125" i="37" s="1"/>
  <c r="BC280" i="37" a="1"/>
  <c r="BC280" i="37" s="1"/>
  <c r="BE267" i="37" a="1"/>
  <c r="BE267" i="37" s="1"/>
  <c r="BK196" i="37" a="1"/>
  <c r="BK196" i="37" s="1"/>
  <c r="BE258" i="37" a="1"/>
  <c r="BE258" i="37" s="1"/>
  <c r="AY169" i="37" a="1"/>
  <c r="AY169" i="37" s="1"/>
  <c r="BL271" i="37" a="1"/>
  <c r="BL271" i="37" s="1"/>
  <c r="BE226" i="37" a="1"/>
  <c r="BE226" i="37" s="1"/>
  <c r="BM281" i="37" a="1"/>
  <c r="BM281" i="37" s="1"/>
  <c r="AY216" i="37" a="1"/>
  <c r="AY216" i="37" s="1"/>
  <c r="BC82" i="37" a="1"/>
  <c r="BC82" i="37" s="1"/>
  <c r="BH113" i="37" a="1"/>
  <c r="BH113" i="37" s="1"/>
  <c r="BA138" i="37" a="1"/>
  <c r="BA138" i="37" s="1"/>
  <c r="BC253" i="37" a="1"/>
  <c r="BC253" i="37" s="1"/>
  <c r="BB227" i="37" a="1"/>
  <c r="BB227" i="37" s="1"/>
  <c r="BF67" i="37" a="1"/>
  <c r="BF67" i="37" s="1"/>
  <c r="AY249" i="37" a="1"/>
  <c r="AY249" i="37" s="1"/>
  <c r="BI221" i="37" a="1"/>
  <c r="BI221" i="37" s="1"/>
  <c r="BL270" i="37" a="1"/>
  <c r="BL270" i="37" s="1"/>
  <c r="AZ219" i="37" a="1"/>
  <c r="AZ219" i="37" s="1"/>
  <c r="BB139" i="37" a="1"/>
  <c r="BB139" i="37" s="1"/>
  <c r="AY62" i="37" a="1"/>
  <c r="AY62" i="37" s="1"/>
  <c r="BI146" i="37" a="1"/>
  <c r="BI146" i="37" s="1"/>
  <c r="AY178" i="37" a="1"/>
  <c r="AY178" i="37" s="1"/>
  <c r="BC119" i="37" a="1"/>
  <c r="BC119" i="37" s="1"/>
  <c r="BD227" i="37" a="1"/>
  <c r="BD227" i="37" s="1"/>
  <c r="BJ267" i="37" a="1"/>
  <c r="BJ267" i="37" s="1"/>
  <c r="BF123" i="37" a="1"/>
  <c r="BF123" i="37" s="1"/>
  <c r="AZ40" i="37" a="1"/>
  <c r="AZ40" i="37" s="1"/>
  <c r="BK99" i="37" a="1"/>
  <c r="BK99" i="37" s="1"/>
  <c r="BA96" i="37" a="1"/>
  <c r="BA96" i="37" s="1"/>
  <c r="BA283" i="37" a="1"/>
  <c r="BA283" i="37" s="1"/>
  <c r="AY108" i="37" a="1"/>
  <c r="AY108" i="37" s="1"/>
  <c r="BG182" i="37" a="1"/>
  <c r="BG182" i="37" s="1"/>
  <c r="AX111" i="37" a="1"/>
  <c r="AX111" i="37" s="1"/>
  <c r="BJ238" i="37" a="1"/>
  <c r="BJ238" i="37" s="1"/>
  <c r="BL250" i="37" a="1"/>
  <c r="BL250" i="37" s="1"/>
  <c r="BJ260" i="37" a="1"/>
  <c r="BJ260" i="37" s="1"/>
  <c r="AX72" i="37" a="1"/>
  <c r="AX72" i="37" s="1"/>
  <c r="AY247" i="37" a="1"/>
  <c r="AY247" i="37" s="1"/>
  <c r="AX251" i="37" a="1"/>
  <c r="AX251" i="37" s="1"/>
  <c r="AW243" i="37" a="1"/>
  <c r="AW243" i="37" s="1"/>
  <c r="BM249" i="37" a="1"/>
  <c r="BM249" i="37" s="1"/>
  <c r="BA205" i="37" a="1"/>
  <c r="BA205" i="37" s="1"/>
  <c r="AZ180" i="37" a="1"/>
  <c r="AZ180" i="37" s="1"/>
  <c r="BF85" i="37" a="1"/>
  <c r="BF85" i="37" s="1"/>
  <c r="BI88" i="37" a="1"/>
  <c r="BI88" i="37" s="1"/>
  <c r="BH287" i="37" a="1"/>
  <c r="BH287" i="37" s="1"/>
  <c r="BD265" i="37" a="1"/>
  <c r="BD265" i="37" s="1"/>
  <c r="AX178" i="37" a="1"/>
  <c r="AX178" i="37" s="1"/>
  <c r="BG218" i="37" a="1"/>
  <c r="BG218" i="37" s="1"/>
  <c r="BG191" i="37" a="1"/>
  <c r="BG191" i="37" s="1"/>
  <c r="AW223" i="37" a="1"/>
  <c r="AW223" i="37" s="1"/>
  <c r="BE239" i="37" a="1"/>
  <c r="BE239" i="37" s="1"/>
  <c r="BM278" i="37" a="1"/>
  <c r="BM278" i="37" s="1"/>
  <c r="BA152" i="37" a="1"/>
  <c r="BA152" i="37" s="1"/>
  <c r="BL44" i="37" a="1"/>
  <c r="BL44" i="37" s="1"/>
  <c r="BC108" i="37" a="1"/>
  <c r="BC108" i="37" s="1"/>
  <c r="BG161" i="37" a="1"/>
  <c r="BG161" i="37" s="1"/>
  <c r="BJ220" i="37" a="1"/>
  <c r="BJ220" i="37" s="1"/>
  <c r="BI197" i="37" a="1"/>
  <c r="BI197" i="37" s="1"/>
  <c r="BL138" i="37" a="1"/>
  <c r="BL138" i="37" s="1"/>
  <c r="BL255" i="37" a="1"/>
  <c r="BL255" i="37" s="1"/>
  <c r="AX275" i="37" a="1"/>
  <c r="AX275" i="37" s="1"/>
  <c r="BA200" i="37" a="1"/>
  <c r="BA200" i="37" s="1"/>
  <c r="AX144" i="37" a="1"/>
  <c r="AX144" i="37" s="1"/>
  <c r="BM39" i="37" a="1"/>
  <c r="BM39" i="37" s="1"/>
  <c r="BB71" i="37" a="1"/>
  <c r="BB71" i="37" s="1"/>
  <c r="AW189" i="37" a="1"/>
  <c r="AW189" i="37" s="1"/>
  <c r="AW155" i="37" a="1"/>
  <c r="AW155" i="37" s="1"/>
  <c r="BM269" i="37" a="1"/>
  <c r="BM269" i="37" s="1"/>
  <c r="AX249" i="37" a="1"/>
  <c r="AX249" i="37" s="1"/>
  <c r="AX222" i="37" a="1"/>
  <c r="AX222" i="37" s="1"/>
  <c r="BM68" i="37" a="1"/>
  <c r="BM68" i="37" s="1"/>
  <c r="BH47" i="37" a="1"/>
  <c r="BH47" i="37" s="1"/>
  <c r="BM119" i="37" a="1"/>
  <c r="BM119" i="37" s="1"/>
  <c r="BL187" i="37" a="1"/>
  <c r="BL187" i="37" s="1"/>
  <c r="BI236" i="37" a="1"/>
  <c r="BI236" i="37" s="1"/>
  <c r="BL125" i="37" a="1"/>
  <c r="BL125" i="37" s="1"/>
  <c r="BB225" i="37" a="1"/>
  <c r="BB225" i="37" s="1"/>
  <c r="AY39" i="37" a="1"/>
  <c r="AY39" i="37" s="1"/>
  <c r="AW90" i="37" a="1"/>
  <c r="AW90" i="37" s="1"/>
  <c r="BL232" i="37" a="1"/>
  <c r="BL232" i="37" s="1"/>
  <c r="BF228" i="37" a="1"/>
  <c r="BF228" i="37" s="1"/>
  <c r="AY118" i="37" a="1"/>
  <c r="AY118" i="37" s="1"/>
  <c r="BC126" i="37" a="1"/>
  <c r="BC126" i="37" s="1"/>
  <c r="BF197" i="37" a="1"/>
  <c r="BF197" i="37" s="1"/>
  <c r="AY244" i="37" a="1"/>
  <c r="AY244" i="37" s="1"/>
  <c r="BM258" i="37" a="1"/>
  <c r="BM258" i="37" s="1"/>
  <c r="BC235" i="37" a="1"/>
  <c r="BC235" i="37" s="1"/>
  <c r="BI159" i="37" a="1"/>
  <c r="BI159" i="37" s="1"/>
  <c r="BE211" i="37" a="1"/>
  <c r="BE211" i="37" s="1"/>
  <c r="BB125" i="37" a="1"/>
  <c r="BB125" i="37" s="1"/>
  <c r="BJ44" i="37" a="1"/>
  <c r="BJ44" i="37" s="1"/>
  <c r="BI248" i="37" a="1"/>
  <c r="BI248" i="37" s="1"/>
  <c r="BI249" i="37" a="1"/>
  <c r="BI249" i="37" s="1"/>
  <c r="BF156" i="37" a="1"/>
  <c r="BF156" i="37" s="1"/>
  <c r="AY238" i="37" a="1"/>
  <c r="AY238" i="37" s="1"/>
  <c r="BG118" i="37" a="1"/>
  <c r="BG118" i="37" s="1"/>
  <c r="BG119" i="37" a="1"/>
  <c r="BG119" i="37" s="1"/>
  <c r="BM263" i="37" a="1"/>
  <c r="BM263" i="37" s="1"/>
  <c r="AW254" i="37" a="1"/>
  <c r="AW254" i="37" s="1"/>
  <c r="AY154" i="37" a="1"/>
  <c r="AY154" i="37" s="1"/>
  <c r="AX77" i="37" a="1"/>
  <c r="AX77" i="37" s="1"/>
  <c r="BJ135" i="37" a="1"/>
  <c r="BJ135" i="37" s="1"/>
  <c r="BA182" i="37" a="1"/>
  <c r="BA182" i="37" s="1"/>
  <c r="BA240" i="37" a="1"/>
  <c r="BA240" i="37" s="1"/>
  <c r="BJ237" i="37" a="1"/>
  <c r="BJ237" i="37" s="1"/>
  <c r="AW212" i="37" a="1"/>
  <c r="AW212" i="37" s="1"/>
  <c r="AY207" i="37" a="1"/>
  <c r="AY207" i="37" s="1"/>
  <c r="BC278" i="37" a="1"/>
  <c r="BC278" i="37" s="1"/>
  <c r="BI280" i="37" a="1"/>
  <c r="BI280" i="37" s="1"/>
  <c r="BE246" i="37" a="1"/>
  <c r="BE246" i="37" s="1"/>
  <c r="BG183" i="37" a="1"/>
  <c r="BG183" i="37" s="1"/>
  <c r="BE230" i="37" a="1"/>
  <c r="BE230" i="37" s="1"/>
  <c r="BC188" i="37" a="1"/>
  <c r="BC188" i="37" s="1"/>
  <c r="BM77" i="37" a="1"/>
  <c r="BM77" i="37" s="1"/>
  <c r="AW231" i="37" a="1"/>
  <c r="AW231" i="37" s="1"/>
  <c r="BF154" i="37" a="1"/>
  <c r="BF154" i="37" s="1"/>
  <c r="BB176" i="37" a="1"/>
  <c r="BB176" i="37" s="1"/>
  <c r="AW246" i="37" a="1"/>
  <c r="AW246" i="37" s="1"/>
  <c r="BI147" i="37" a="1"/>
  <c r="BI147" i="37" s="1"/>
  <c r="BJ71" i="37" a="1"/>
  <c r="BJ71" i="37" s="1"/>
  <c r="BJ174" i="37" a="1"/>
  <c r="BJ174" i="37" s="1"/>
  <c r="BD206" i="37" a="1"/>
  <c r="BD206" i="37" s="1"/>
  <c r="BJ86" i="37" a="1"/>
  <c r="BJ86" i="37" s="1"/>
  <c r="BA227" i="37" a="1"/>
  <c r="BA227" i="37" s="1"/>
  <c r="BE131" i="37" a="1"/>
  <c r="BE131" i="37" s="1"/>
  <c r="BC132" i="37" a="1"/>
  <c r="BC132" i="37" s="1"/>
  <c r="BD261" i="37" a="1"/>
  <c r="BD261" i="37" s="1"/>
  <c r="AZ237" i="37" a="1"/>
  <c r="AZ237" i="37" s="1"/>
  <c r="AY182" i="37" a="1"/>
  <c r="AY182" i="37" s="1"/>
  <c r="BC243" i="37" a="1"/>
  <c r="BC243" i="37" s="1"/>
  <c r="AY111" i="37" a="1"/>
  <c r="AY111" i="37" s="1"/>
  <c r="BB146" i="37" a="1"/>
  <c r="BB146" i="37" s="1"/>
  <c r="BE160" i="37" a="1"/>
  <c r="BE160" i="37" s="1"/>
  <c r="BD143" i="37" a="1"/>
  <c r="BD143" i="37" s="1"/>
  <c r="BA154" i="37" a="1"/>
  <c r="BA154" i="37" s="1"/>
  <c r="BK237" i="37" a="1"/>
  <c r="BK237" i="37" s="1"/>
  <c r="BH198" i="37" a="1"/>
  <c r="BH198" i="37" s="1"/>
  <c r="BH219" i="37" a="1"/>
  <c r="BH219" i="37" s="1"/>
  <c r="BM286" i="37" a="1"/>
  <c r="BM286" i="37" s="1"/>
  <c r="AW73" i="37" a="1"/>
  <c r="AW73" i="37" s="1"/>
  <c r="AX187" i="37" a="1"/>
  <c r="AX187" i="37" s="1"/>
  <c r="BG280" i="37" a="1"/>
  <c r="BG280" i="37" s="1"/>
  <c r="BE166" i="37" a="1"/>
  <c r="BE166" i="37" s="1"/>
  <c r="BC113" i="37" a="1"/>
  <c r="BC113" i="37" s="1"/>
  <c r="AY187" i="37" a="1"/>
  <c r="AY187" i="37" s="1"/>
  <c r="BI225" i="37" a="1"/>
  <c r="BI225" i="37" s="1"/>
  <c r="BF200" i="37" a="1"/>
  <c r="BF200" i="37" s="1"/>
  <c r="BJ287" i="37" a="1"/>
  <c r="BJ287" i="37" s="1"/>
  <c r="BD262" i="37" a="1"/>
  <c r="BD262" i="37" s="1"/>
  <c r="BI80" i="37" a="1"/>
  <c r="BI80" i="37" s="1"/>
  <c r="BD245" i="37" a="1"/>
  <c r="BD245" i="37" s="1"/>
  <c r="BA199" i="37" a="1"/>
  <c r="BA199" i="37" s="1"/>
  <c r="BB107" i="37" a="1"/>
  <c r="BB107" i="37" s="1"/>
  <c r="BA222" i="37" a="1"/>
  <c r="BA222" i="37" s="1"/>
  <c r="BB80" i="37" a="1"/>
  <c r="BB80" i="37" s="1"/>
  <c r="BD156" i="37" a="1"/>
  <c r="BD156" i="37" s="1"/>
  <c r="BC233" i="37" a="1"/>
  <c r="BC233" i="37" s="1"/>
  <c r="BF286" i="37" a="1"/>
  <c r="BF286" i="37" s="1"/>
  <c r="AW213" i="37" a="1"/>
  <c r="AW213" i="37" s="1"/>
  <c r="AW283" i="37" a="1"/>
  <c r="AW283" i="37" s="1"/>
  <c r="BE233" i="37" a="1"/>
  <c r="BE233" i="37" s="1"/>
  <c r="BB178" i="37" a="1"/>
  <c r="BB178" i="37" s="1"/>
  <c r="AX60" i="37" a="1"/>
  <c r="AX60" i="37" s="1"/>
  <c r="AZ160" i="37" a="1"/>
  <c r="AZ160" i="37" s="1"/>
  <c r="BJ190" i="37" a="1"/>
  <c r="BJ190" i="37" s="1"/>
  <c r="BM114" i="37" a="1"/>
  <c r="BM114" i="37" s="1"/>
  <c r="BK188" i="37" a="1"/>
  <c r="BK188" i="37" s="1"/>
  <c r="BC79" i="37" a="1"/>
  <c r="BC79" i="37" s="1"/>
  <c r="BJ180" i="37" a="1"/>
  <c r="BJ180" i="37" s="1"/>
  <c r="BH127" i="37" a="1"/>
  <c r="BH127" i="37" s="1"/>
  <c r="AZ198" i="37" a="1"/>
  <c r="AZ198" i="37" s="1"/>
  <c r="BK220" i="37" a="1"/>
  <c r="BK220" i="37" s="1"/>
  <c r="BE202" i="37" a="1"/>
  <c r="BE202" i="37" s="1"/>
  <c r="BM167" i="37" a="1"/>
  <c r="BM167" i="37" s="1"/>
  <c r="BK152" i="37" a="1"/>
  <c r="BK152" i="37" s="1"/>
  <c r="BD70" i="37" a="1"/>
  <c r="BD70" i="37" s="1"/>
  <c r="BB247" i="37" a="1"/>
  <c r="BB247" i="37" s="1"/>
  <c r="BB218" i="37" a="1"/>
  <c r="BB218" i="37" s="1"/>
  <c r="BB287" i="37" a="1"/>
  <c r="BB287" i="37" s="1"/>
  <c r="AX281" i="37" a="1"/>
  <c r="AX281" i="37" s="1"/>
  <c r="BM60" i="37" a="1"/>
  <c r="BM60" i="37" s="1"/>
  <c r="BG192" i="37" a="1"/>
  <c r="BG192" i="37" s="1"/>
  <c r="AZ215" i="37" a="1"/>
  <c r="AZ215" i="37" s="1"/>
  <c r="BA176" i="37" a="1"/>
  <c r="BA176" i="37" s="1"/>
  <c r="BJ172" i="37" a="1"/>
  <c r="BJ172" i="37" s="1"/>
  <c r="BB184" i="37" a="1"/>
  <c r="BB184" i="37" s="1"/>
  <c r="AX56" i="37" a="1"/>
  <c r="AX56" i="37" s="1"/>
  <c r="BJ286" i="37" a="1"/>
  <c r="BJ286" i="37" s="1"/>
  <c r="BH263" i="37" a="1"/>
  <c r="BH263" i="37" s="1"/>
  <c r="BM187" i="37" a="1"/>
  <c r="BM187" i="37" s="1"/>
  <c r="BJ206" i="37" a="1"/>
  <c r="BJ206" i="37" s="1"/>
  <c r="BF129" i="37" a="1"/>
  <c r="BF129" i="37" s="1"/>
  <c r="AY96" i="37" a="1"/>
  <c r="AY96" i="37" s="1"/>
  <c r="BC238" i="37" a="1"/>
  <c r="BC238" i="37" s="1"/>
  <c r="BC137" i="37" a="1"/>
  <c r="BC137" i="37" s="1"/>
  <c r="BM253" i="37" a="1"/>
  <c r="BM253" i="37" s="1"/>
  <c r="BF230" i="37" a="1"/>
  <c r="BF230" i="37" s="1"/>
  <c r="BB110" i="37" a="1"/>
  <c r="BB110" i="37" s="1"/>
  <c r="AY102" i="37" a="1"/>
  <c r="AY102" i="37" s="1"/>
  <c r="BC95" i="37" a="1"/>
  <c r="BC95" i="37" s="1"/>
  <c r="BA137" i="37" a="1"/>
  <c r="BA137" i="37" s="1"/>
  <c r="BL248" i="37" a="1"/>
  <c r="BL248" i="37" s="1"/>
  <c r="BC211" i="37" a="1"/>
  <c r="BC211" i="37" s="1"/>
  <c r="BA271" i="37" a="1"/>
  <c r="BA271" i="37" s="1"/>
  <c r="BC59" i="37" a="1"/>
  <c r="BC59" i="37" s="1"/>
  <c r="BL161" i="37" a="1"/>
  <c r="BL161" i="37" s="1"/>
  <c r="BG163" i="37" a="1"/>
  <c r="BG163" i="37" s="1"/>
  <c r="BE265" i="37" a="1"/>
  <c r="BE265" i="37" s="1"/>
  <c r="BL259" i="37" a="1"/>
  <c r="BL259" i="37" s="1"/>
  <c r="BI213" i="37" a="1"/>
  <c r="BI213" i="37" s="1"/>
  <c r="BI143" i="37" a="1"/>
  <c r="BI143" i="37" s="1"/>
  <c r="AZ190" i="37" a="1"/>
  <c r="AZ190" i="37" s="1"/>
  <c r="AY139" i="37" a="1"/>
  <c r="AY139" i="37" s="1"/>
  <c r="BM222" i="37" a="1"/>
  <c r="BM222" i="37" s="1"/>
  <c r="AW78" i="37" a="1"/>
  <c r="AW78" i="37" s="1"/>
  <c r="BG196" i="37" a="1"/>
  <c r="BG196" i="37" s="1"/>
  <c r="AX266" i="37" a="1"/>
  <c r="AX266" i="37" s="1"/>
  <c r="AX231" i="37" a="1"/>
  <c r="AX231" i="37" s="1"/>
  <c r="BA272" i="37" a="1"/>
  <c r="BA272" i="37" s="1"/>
  <c r="AX191" i="37" a="1"/>
  <c r="AX191" i="37" s="1"/>
  <c r="BJ130" i="37" a="1"/>
  <c r="BJ130" i="37" s="1"/>
  <c r="BJ264" i="37" a="1"/>
  <c r="BJ264" i="37" s="1"/>
  <c r="BC98" i="37" a="1"/>
  <c r="BC98" i="37" s="1"/>
  <c r="BC185" i="37" a="1"/>
  <c r="BC185" i="37" s="1"/>
  <c r="BA256" i="37" a="1"/>
  <c r="BA256" i="37" s="1"/>
  <c r="BB210" i="37" a="1"/>
  <c r="BB210" i="37" s="1"/>
  <c r="BM101" i="37" a="1"/>
  <c r="BM101" i="37" s="1"/>
  <c r="BA122" i="37" a="1"/>
  <c r="BA122" i="37" s="1"/>
  <c r="BH194" i="37" a="1"/>
  <c r="BH194" i="37" s="1"/>
  <c r="AX277" i="37" a="1"/>
  <c r="AX277" i="37" s="1"/>
  <c r="BA273" i="37" a="1"/>
  <c r="BA273" i="37" s="1"/>
  <c r="AY257" i="37" a="1"/>
  <c r="AY257" i="37" s="1"/>
  <c r="BL178" i="37" a="1"/>
  <c r="BL178" i="37" s="1"/>
  <c r="AW56" i="37" a="1"/>
  <c r="AW56" i="37" s="1"/>
  <c r="BH225" i="37" a="1"/>
  <c r="BH225" i="37" s="1"/>
  <c r="AW252" i="37" a="1"/>
  <c r="AW252" i="37" s="1"/>
  <c r="AY70" i="37" a="1"/>
  <c r="AY70" i="37" s="1"/>
  <c r="BE217" i="37" a="1"/>
  <c r="BE217" i="37" s="1"/>
  <c r="BM229" i="37" a="1"/>
  <c r="BM229" i="37" s="1"/>
  <c r="BA212" i="37" a="1"/>
  <c r="BA212" i="37" s="1"/>
  <c r="BB201" i="37" a="1"/>
  <c r="BB201" i="37" s="1"/>
  <c r="BJ88" i="37" a="1"/>
  <c r="BJ88" i="37" s="1"/>
  <c r="BA280" i="37" a="1"/>
  <c r="BA280" i="37" s="1"/>
  <c r="BE273" i="37" a="1"/>
  <c r="BE273" i="37" s="1"/>
  <c r="BL173" i="37" a="1"/>
  <c r="BL173" i="37" s="1"/>
  <c r="BE50" i="37" a="1"/>
  <c r="BE50" i="37" s="1"/>
  <c r="BF199" i="37" a="1"/>
  <c r="BF199" i="37" s="1"/>
  <c r="AW173" i="37" a="1"/>
  <c r="AW173" i="37" s="1"/>
  <c r="BD250" i="37" a="1"/>
  <c r="BD250" i="37" s="1"/>
  <c r="BF245" i="37" a="1"/>
  <c r="BF245" i="37" s="1"/>
  <c r="AX195" i="37" a="1"/>
  <c r="AX195" i="37" s="1"/>
  <c r="BL111" i="37" a="1"/>
  <c r="BL111" i="37" s="1"/>
  <c r="BI207" i="37" a="1"/>
  <c r="BI207" i="37" s="1"/>
  <c r="BJ185" i="37" a="1"/>
  <c r="BJ185" i="37" s="1"/>
  <c r="AZ116" i="37" a="1"/>
  <c r="AZ116" i="37" s="1"/>
  <c r="BF269" i="37" a="1"/>
  <c r="BF269" i="37" s="1"/>
  <c r="AW128" i="37" a="1"/>
  <c r="AW128" i="37" s="1"/>
  <c r="BD94" i="37" a="1"/>
  <c r="BD94" i="37" s="1"/>
  <c r="BC191" i="37" a="1"/>
  <c r="BC191" i="37" s="1"/>
  <c r="BE130" i="37" a="1"/>
  <c r="BE130" i="37" s="1"/>
  <c r="BD239" i="37" a="1"/>
  <c r="BD239" i="37" s="1"/>
  <c r="AY281" i="37" a="1"/>
  <c r="AY281" i="37" s="1"/>
  <c r="BL237" i="37" a="1"/>
  <c r="BL237" i="37" s="1"/>
  <c r="AY218" i="37" a="1"/>
  <c r="AY218" i="37" s="1"/>
  <c r="BD183" i="37" a="1"/>
  <c r="BD183" i="37" s="1"/>
  <c r="BA107" i="37" a="1"/>
  <c r="BA107" i="37" s="1"/>
  <c r="BE70" i="37" a="1"/>
  <c r="BE70" i="37" s="1"/>
  <c r="AZ96" i="37" a="1"/>
  <c r="AZ96" i="37" s="1"/>
  <c r="BL197" i="37" a="1"/>
  <c r="BL197" i="37" s="1"/>
  <c r="BM138" i="37" a="1"/>
  <c r="BM138" i="37" s="1"/>
  <c r="BJ182" i="37" a="1"/>
  <c r="BJ182" i="37" s="1"/>
  <c r="BH97" i="37" a="1"/>
  <c r="BH97" i="37" s="1"/>
  <c r="BE221" i="37" a="1"/>
  <c r="BE221" i="37" s="1"/>
  <c r="BA242" i="37" a="1"/>
  <c r="BA242" i="37" s="1"/>
  <c r="BD273" i="37" a="1"/>
  <c r="BD273" i="37" s="1"/>
  <c r="BA247" i="37" a="1"/>
  <c r="BA247" i="37" s="1"/>
  <c r="AZ280" i="37" a="1"/>
  <c r="AZ280" i="37" s="1"/>
  <c r="AY171" i="37" a="1"/>
  <c r="AY171" i="37" s="1"/>
  <c r="BA181" i="37" a="1"/>
  <c r="BA181" i="37" s="1"/>
  <c r="BD97" i="37" a="1"/>
  <c r="BD97" i="37" s="1"/>
  <c r="BF274" i="37" a="1"/>
  <c r="BF274" i="37" s="1"/>
  <c r="AX208" i="37" a="1"/>
  <c r="AX208" i="37" s="1"/>
  <c r="BE149" i="37" a="1"/>
  <c r="BE149" i="37" s="1"/>
  <c r="BA276" i="37" a="1"/>
  <c r="BA276" i="37" s="1"/>
  <c r="BA180" i="37" a="1"/>
  <c r="BA180" i="37" s="1"/>
  <c r="BA160" i="37" a="1"/>
  <c r="BA160" i="37" s="1"/>
  <c r="AY241" i="37" a="1"/>
  <c r="AY241" i="37" s="1"/>
  <c r="BH239" i="37" a="1"/>
  <c r="BH239" i="37" s="1"/>
  <c r="BM221" i="37" a="1"/>
  <c r="BM221" i="37" s="1"/>
  <c r="AW266" i="37" a="1"/>
  <c r="AW266" i="37" s="1"/>
  <c r="BC133" i="37" a="1"/>
  <c r="BC133" i="37" s="1"/>
  <c r="BA174" i="37" a="1"/>
  <c r="BA174" i="37" s="1"/>
  <c r="BL155" i="37" a="1"/>
  <c r="BL155" i="37" s="1"/>
  <c r="AX218" i="37" a="1"/>
  <c r="AX218" i="37" s="1"/>
  <c r="BC159" i="37" a="1"/>
  <c r="BC159" i="37" s="1"/>
  <c r="BM202" i="37" a="1"/>
  <c r="BM202" i="37" s="1"/>
  <c r="BD280" i="37" a="1"/>
  <c r="BD280" i="37" s="1"/>
  <c r="BH218" i="37" a="1"/>
  <c r="BH218" i="37" s="1"/>
  <c r="BD251" i="37" a="1"/>
  <c r="BD251" i="37" s="1"/>
  <c r="BH204" i="37" a="1"/>
  <c r="BH204" i="37" s="1"/>
  <c r="AX105" i="37" a="1"/>
  <c r="AX105" i="37" s="1"/>
  <c r="BL241" i="37" a="1"/>
  <c r="BL241" i="37" s="1"/>
  <c r="BE113" i="37" a="1"/>
  <c r="BE113" i="37" s="1"/>
  <c r="AW184" i="37" a="1"/>
  <c r="AW184" i="37" s="1"/>
  <c r="AX286" i="37" a="1"/>
  <c r="AX286" i="37" s="1"/>
  <c r="BJ225" i="37" a="1"/>
  <c r="BJ225" i="37" s="1"/>
  <c r="AX81" i="37" a="1"/>
  <c r="AX81" i="37" s="1"/>
  <c r="BC110" i="37" a="1"/>
  <c r="BC110" i="37" s="1"/>
  <c r="AW205" i="37" a="1"/>
  <c r="AW205" i="37" s="1"/>
  <c r="AZ196" i="37" a="1"/>
  <c r="AZ196" i="37" s="1"/>
  <c r="BM276" i="37" a="1"/>
  <c r="BM276" i="37" s="1"/>
  <c r="BI196" i="37" a="1"/>
  <c r="BI196" i="37" s="1"/>
  <c r="BC171" i="37" a="1"/>
  <c r="BC171" i="37" s="1"/>
  <c r="BH82" i="37" a="1"/>
  <c r="BH82" i="37" s="1"/>
  <c r="AZ233" i="37" a="1"/>
  <c r="AZ233" i="37" s="1"/>
  <c r="BM217" i="37" a="1"/>
  <c r="BM217" i="37" s="1"/>
  <c r="AY251" i="37" a="1"/>
  <c r="AY251" i="37" s="1"/>
  <c r="AY235" i="37" a="1"/>
  <c r="AY235" i="37" s="1"/>
  <c r="BC151" i="37" a="1"/>
  <c r="BC151" i="37" s="1"/>
  <c r="BL67" i="37" a="1"/>
  <c r="BL67" i="37" s="1"/>
  <c r="BD215" i="37" a="1"/>
  <c r="BD215" i="37" s="1"/>
  <c r="BJ228" i="37" a="1"/>
  <c r="BJ228" i="37" s="1"/>
  <c r="BE240" i="37" a="1"/>
  <c r="BE240" i="37" s="1"/>
  <c r="BE213" i="37" a="1"/>
  <c r="BE213" i="37" s="1"/>
  <c r="BB149" i="37" a="1"/>
  <c r="BB149" i="37" s="1"/>
  <c r="BE264" i="37" a="1"/>
  <c r="BE264" i="37" s="1"/>
  <c r="BG229" i="37" a="1"/>
  <c r="BG229" i="37" s="1"/>
  <c r="BM144" i="37" a="1"/>
  <c r="BM144" i="37" s="1"/>
  <c r="BD203" i="37" a="1"/>
  <c r="BD203" i="37" s="1"/>
  <c r="BE156" i="37" a="1"/>
  <c r="BE156" i="37" s="1"/>
  <c r="AZ223" i="37" a="1"/>
  <c r="AZ223" i="37" s="1"/>
  <c r="BL106" i="37" a="1"/>
  <c r="BL106" i="37" s="1"/>
  <c r="AX248" i="37" a="1"/>
  <c r="AX248" i="37" s="1"/>
  <c r="BC229" i="37" a="1"/>
  <c r="BC229" i="37" s="1"/>
  <c r="BE269" i="37" a="1"/>
  <c r="BE269" i="37" s="1"/>
  <c r="BD264" i="37" a="1"/>
  <c r="BD264" i="37" s="1"/>
  <c r="AZ120" i="37" a="1"/>
  <c r="AZ120" i="37" s="1"/>
  <c r="AY204" i="37" a="1"/>
  <c r="AY204" i="37" s="1"/>
  <c r="BJ189" i="37" a="1"/>
  <c r="BJ189" i="37" s="1"/>
  <c r="BM102" i="37" a="1"/>
  <c r="BM102" i="37" s="1"/>
  <c r="BD282" i="37" a="1"/>
  <c r="BD282" i="37" s="1"/>
  <c r="BB271" i="37" a="1"/>
  <c r="BB271" i="37" s="1"/>
  <c r="BE152" i="37" a="1"/>
  <c r="BE152" i="37" s="1"/>
  <c r="BE178" i="37" a="1"/>
  <c r="BE178" i="37" s="1"/>
  <c r="BI215" i="37" a="1"/>
  <c r="BI215" i="37" s="1"/>
  <c r="BD240" i="37" a="1"/>
  <c r="BD240" i="37" s="1"/>
  <c r="BK233" i="37" a="1"/>
  <c r="BK233" i="37" s="1"/>
  <c r="BK204" i="37" a="1"/>
  <c r="BK204" i="37" s="1"/>
  <c r="AX58" i="37" a="1"/>
  <c r="AX58" i="37" s="1"/>
  <c r="BM207" i="37" a="1"/>
  <c r="BM207" i="37" s="1"/>
  <c r="AX189" i="37" a="1"/>
  <c r="AX189" i="37" s="1"/>
  <c r="BH262" i="37" a="1"/>
  <c r="BH262" i="37" s="1"/>
  <c r="BD211" i="37" a="1"/>
  <c r="BD211" i="37" s="1"/>
  <c r="BG236" i="37" a="1"/>
  <c r="BG236" i="37" s="1"/>
  <c r="BC183" i="37" a="1"/>
  <c r="BC183" i="37" s="1"/>
  <c r="BD136" i="37" a="1"/>
  <c r="BD136" i="37" s="1"/>
  <c r="AZ168" i="37" a="1"/>
  <c r="AZ168" i="37" s="1"/>
  <c r="BG184" i="37" a="1"/>
  <c r="BG184" i="37" s="1"/>
  <c r="BD285" i="37" a="1"/>
  <c r="BD285" i="37" s="1"/>
  <c r="BE236" i="37" a="1"/>
  <c r="BE236" i="37" s="1"/>
  <c r="AX185" i="37" a="1"/>
  <c r="AX185" i="37" s="1"/>
  <c r="AX84" i="37" a="1"/>
  <c r="AX84" i="37" s="1"/>
  <c r="AZ138" i="37" a="1"/>
  <c r="AZ138" i="37" s="1"/>
  <c r="BD103" i="37" a="1"/>
  <c r="BD103" i="37" s="1"/>
  <c r="BF261" i="37" a="1"/>
  <c r="BF261" i="37" s="1"/>
  <c r="AX158" i="37" a="1"/>
  <c r="AX158" i="37" s="1"/>
  <c r="BC144" i="37" a="1"/>
  <c r="BC144" i="37" s="1"/>
  <c r="BF169" i="37" a="1"/>
  <c r="BF169" i="37" s="1"/>
  <c r="BJ95" i="37" a="1"/>
  <c r="BJ95" i="37" s="1"/>
  <c r="BH279" i="37" a="1"/>
  <c r="BH279" i="37" s="1"/>
  <c r="BA224" i="37" a="1"/>
  <c r="BA224" i="37" s="1"/>
  <c r="BL281" i="37" a="1"/>
  <c r="BL281" i="37" s="1"/>
  <c r="BE281" i="37" a="1"/>
  <c r="BE281" i="37" s="1"/>
  <c r="AY230" i="37" a="1"/>
  <c r="AY230" i="37" s="1"/>
  <c r="BD241" i="37" a="1"/>
  <c r="BD241" i="37" s="1"/>
  <c r="BD153" i="37" a="1"/>
  <c r="BD153" i="37" s="1"/>
  <c r="BK111" i="37" a="1"/>
  <c r="BK111" i="37" s="1"/>
  <c r="AY141" i="37" a="1"/>
  <c r="AY141" i="37" s="1"/>
  <c r="BD194" i="37" a="1"/>
  <c r="BD194" i="37" s="1"/>
  <c r="BJ275" i="37" a="1"/>
  <c r="BJ275" i="37" s="1"/>
  <c r="BM125" i="37" a="1"/>
  <c r="BM125" i="37" s="1"/>
  <c r="BB217" i="37" a="1"/>
  <c r="BB217" i="37" s="1"/>
  <c r="AX192" i="37" a="1"/>
  <c r="AX192" i="37" s="1"/>
  <c r="BL78" i="37" a="1"/>
  <c r="BL78" i="37" s="1"/>
  <c r="AY269" i="37" a="1"/>
  <c r="AY269" i="37" s="1"/>
  <c r="BL234" i="37" a="1"/>
  <c r="BL234" i="37" s="1"/>
  <c r="AX82" i="37" a="1"/>
  <c r="AX82" i="37" s="1"/>
  <c r="AX96" i="37" a="1"/>
  <c r="AX96" i="37" s="1"/>
  <c r="AX154" i="37" a="1"/>
  <c r="AX154" i="37" s="1"/>
  <c r="BE212" i="37" a="1"/>
  <c r="BE212" i="37" s="1"/>
  <c r="BJ242" i="37" a="1"/>
  <c r="BJ242" i="37" s="1"/>
  <c r="BL219" i="37" a="1"/>
  <c r="BL219" i="37" s="1"/>
  <c r="BJ117" i="37" a="1"/>
  <c r="BJ117" i="37" s="1"/>
  <c r="BC81" i="37" a="1"/>
  <c r="BC81" i="37" s="1"/>
  <c r="BD195" i="37" a="1"/>
  <c r="BD195" i="37" s="1"/>
  <c r="BG224" i="37" a="1"/>
  <c r="BG224" i="37" s="1"/>
  <c r="BD246" i="37" a="1"/>
  <c r="BD246" i="37" s="1"/>
  <c r="BC178" i="37" a="1"/>
  <c r="BC178" i="37" s="1"/>
  <c r="AW188" i="37" a="1"/>
  <c r="AW188" i="37" s="1"/>
  <c r="BM54" i="37" a="1"/>
  <c r="BM54" i="37" s="1"/>
  <c r="AW193" i="37" a="1"/>
  <c r="AW193" i="37" s="1"/>
  <c r="AZ230" i="37" a="1"/>
  <c r="AZ230" i="37" s="1"/>
  <c r="BC276" i="37" a="1"/>
  <c r="BC276" i="37" s="1"/>
  <c r="BC261" i="37" a="1"/>
  <c r="BC261" i="37" s="1"/>
  <c r="BL169" i="37" a="1"/>
  <c r="BL169" i="37" s="1"/>
  <c r="AX120" i="37" a="1"/>
  <c r="AX120" i="37" s="1"/>
  <c r="BM153" i="37" a="1"/>
  <c r="BM153" i="37" s="1"/>
  <c r="AY161" i="37" a="1"/>
  <c r="AY161" i="37" s="1"/>
  <c r="BC247" i="37" a="1"/>
  <c r="BC247" i="37" s="1"/>
  <c r="BH249" i="37" a="1"/>
  <c r="BH249" i="37" s="1"/>
  <c r="BB145" i="37" a="1"/>
  <c r="BB145" i="37" s="1"/>
  <c r="BJ59" i="37" a="1"/>
  <c r="BJ59" i="37" s="1"/>
  <c r="BL156" i="37" a="1"/>
  <c r="BL156" i="37" s="1"/>
  <c r="AZ276" i="37" a="1"/>
  <c r="AZ276" i="37" s="1"/>
  <c r="BK274" i="37" a="1"/>
  <c r="BK274" i="37" s="1"/>
  <c r="BD125" i="37" a="1"/>
  <c r="BD125" i="37" s="1"/>
  <c r="AX220" i="37" a="1"/>
  <c r="AX220" i="37" s="1"/>
  <c r="BM173" i="37" a="1"/>
  <c r="BM173" i="37" s="1"/>
  <c r="BB115" i="37" a="1"/>
  <c r="BB115" i="37" s="1"/>
  <c r="BK206" i="37" a="1"/>
  <c r="BK206" i="37" s="1"/>
  <c r="BJ277" i="37" a="1"/>
  <c r="BJ277" i="37" s="1"/>
  <c r="BL208" i="37" a="1"/>
  <c r="BL208" i="37" s="1"/>
  <c r="BA195" i="37" a="1"/>
  <c r="BA195" i="37" s="1"/>
  <c r="BB79" i="37" a="1"/>
  <c r="BB79" i="37" s="1"/>
  <c r="BJ167" i="37" a="1"/>
  <c r="BJ167" i="37" s="1"/>
  <c r="BI160" i="37" a="1"/>
  <c r="BI160" i="37" s="1"/>
  <c r="BG169" i="37" a="1"/>
  <c r="BG169" i="37" s="1"/>
  <c r="BC217" i="37" a="1"/>
  <c r="BC217" i="37" s="1"/>
  <c r="BA198" i="37" a="1"/>
  <c r="BA198" i="37" s="1"/>
  <c r="BK151" i="37" a="1"/>
  <c r="BK151" i="37" s="1"/>
  <c r="BD82" i="37" a="1"/>
  <c r="BD82" i="37" s="1"/>
  <c r="BA190" i="37" a="1"/>
  <c r="BA190" i="37" s="1"/>
  <c r="AY278" i="37" a="1"/>
  <c r="AY278" i="37" s="1"/>
  <c r="BL256" i="37" a="1"/>
  <c r="BL256" i="37" s="1"/>
  <c r="BF234" i="37" a="1"/>
  <c r="BF234" i="37" s="1"/>
  <c r="BL137" i="37" a="1"/>
  <c r="BL137" i="37" s="1"/>
  <c r="BK186" i="37" a="1"/>
  <c r="BK186" i="37" s="1"/>
  <c r="AZ199" i="37" a="1"/>
  <c r="AZ199" i="37" s="1"/>
  <c r="AX200" i="37" a="1"/>
  <c r="AX200" i="37" s="1"/>
  <c r="AX219" i="37" a="1"/>
  <c r="AX219" i="37" s="1"/>
  <c r="AY197" i="37" a="1"/>
  <c r="AY197" i="37" s="1"/>
  <c r="AX173" i="37" a="1"/>
  <c r="AX173" i="37" s="1"/>
  <c r="BL201" i="37" a="1"/>
  <c r="BL201" i="37" s="1"/>
  <c r="BC245" i="37" a="1"/>
  <c r="BC245" i="37" s="1"/>
  <c r="BB257" i="37" a="1"/>
  <c r="BB257" i="37" s="1"/>
  <c r="BH273" i="37" a="1"/>
  <c r="BH273" i="37" s="1"/>
  <c r="AX156" i="37" a="1"/>
  <c r="AX156" i="37" s="1"/>
  <c r="BG189" i="37" a="1"/>
  <c r="BG189" i="37" s="1"/>
  <c r="AY74" i="37" a="1"/>
  <c r="AY74" i="37" s="1"/>
  <c r="BM199" i="37" a="1"/>
  <c r="BM199" i="37" s="1"/>
  <c r="AW204" i="37" a="1"/>
  <c r="AW204" i="37" s="1"/>
  <c r="BC231" i="37" a="1"/>
  <c r="BC231" i="37" s="1"/>
  <c r="BD220" i="37" a="1"/>
  <c r="BD220" i="37" s="1"/>
  <c r="BL145" i="37" a="1"/>
  <c r="BL145" i="37" s="1"/>
  <c r="BD60" i="37" a="1"/>
  <c r="BD60" i="37" s="1"/>
  <c r="AZ147" i="37" a="1"/>
  <c r="AZ147" i="37" s="1"/>
  <c r="BI198" i="37" a="1"/>
  <c r="BI198" i="37" s="1"/>
  <c r="BE277" i="37" a="1"/>
  <c r="BE277" i="37" s="1"/>
  <c r="BF235" i="37" a="1"/>
  <c r="BF235" i="37" s="1"/>
  <c r="BB197" i="37" a="1"/>
  <c r="BB197" i="37" s="1"/>
  <c r="BF162" i="37" a="1"/>
  <c r="BF162" i="37" s="1"/>
  <c r="BC69" i="37" a="1"/>
  <c r="BC69" i="37" s="1"/>
  <c r="AY117" i="37" a="1"/>
  <c r="AY117" i="37" s="1"/>
  <c r="BI95" i="37" a="1"/>
  <c r="BI95" i="37" s="1"/>
  <c r="BJ200" i="37" a="1"/>
  <c r="BJ200" i="37" s="1"/>
  <c r="BM127" i="37" a="1"/>
  <c r="BM127" i="37" s="1"/>
  <c r="BC112" i="37" a="1"/>
  <c r="BC112" i="37" s="1"/>
  <c r="AY198" i="37" a="1"/>
  <c r="AY198" i="37" s="1"/>
  <c r="BD75" i="37" a="1"/>
  <c r="BD75" i="37" s="1"/>
  <c r="BE285" i="37" a="1"/>
  <c r="BE285" i="37" s="1"/>
  <c r="BB241" i="37" a="1"/>
  <c r="BB241" i="37" s="1"/>
  <c r="BM280" i="37" a="1"/>
  <c r="BM280" i="37" s="1"/>
  <c r="BD244" i="37" a="1"/>
  <c r="BD244" i="37" s="1"/>
  <c r="BF271" i="37" a="1"/>
  <c r="BF271" i="37" s="1"/>
  <c r="BL102" i="37" a="1"/>
  <c r="BL102" i="37" s="1"/>
  <c r="AW88" i="37" a="1"/>
  <c r="AW88" i="37" s="1"/>
  <c r="BB142" i="37" a="1"/>
  <c r="BB142" i="37" s="1"/>
  <c r="BL190" i="37" a="1"/>
  <c r="BL190" i="37" s="1"/>
  <c r="BD284" i="37" a="1"/>
  <c r="BD284" i="37" s="1"/>
  <c r="AY119" i="37" a="1"/>
  <c r="AY119" i="37" s="1"/>
  <c r="BF183" i="37" a="1"/>
  <c r="BF183" i="37" s="1"/>
  <c r="AY286" i="37" a="1"/>
  <c r="AY286" i="37" s="1"/>
  <c r="BL220" i="37" a="1"/>
  <c r="BL220" i="37" s="1"/>
  <c r="BA133" i="37" a="1"/>
  <c r="BA133" i="37" s="1"/>
  <c r="BD50" i="37" a="1"/>
  <c r="BD50" i="37" s="1"/>
  <c r="BH211" i="37" a="1"/>
  <c r="BH211" i="37" s="1"/>
  <c r="BD270" i="37" a="1"/>
  <c r="BD270" i="37" s="1"/>
  <c r="BA91" i="37" a="1"/>
  <c r="BA91" i="37" s="1"/>
  <c r="BJ289" i="37" a="1"/>
  <c r="BJ289" i="37" s="1"/>
  <c r="BD186" i="37" a="1"/>
  <c r="BD186" i="37" s="1"/>
  <c r="BJ170" i="37" a="1"/>
  <c r="BJ170" i="37" s="1"/>
  <c r="BM107" i="37" a="1"/>
  <c r="BM107" i="37" s="1"/>
  <c r="BM169" i="37" a="1"/>
  <c r="BM169" i="37" s="1"/>
  <c r="AW187" i="37" a="1"/>
  <c r="AW187" i="37" s="1"/>
  <c r="BF259" i="37" a="1"/>
  <c r="BF259" i="37" s="1"/>
  <c r="AX183" i="37" a="1"/>
  <c r="AX183" i="37" s="1"/>
  <c r="BC124" i="37" a="1"/>
  <c r="BC124" i="37" s="1"/>
  <c r="BF148" i="37" a="1"/>
  <c r="BF148" i="37" s="1"/>
  <c r="BI119" i="37" a="1"/>
  <c r="BI119" i="37" s="1"/>
  <c r="BH138" i="37" a="1"/>
  <c r="BH138" i="37" s="1"/>
  <c r="BE254" i="37" a="1"/>
  <c r="BE254" i="37" s="1"/>
  <c r="BA202" i="37" a="1"/>
  <c r="BA202" i="37" s="1"/>
  <c r="BL151" i="37" a="1"/>
  <c r="BL151" i="37" s="1"/>
  <c r="BF95" i="37" a="1"/>
  <c r="BF95" i="37" s="1"/>
  <c r="BM146" i="37" a="1"/>
  <c r="BM146" i="37" s="1"/>
  <c r="AW278" i="37" a="1"/>
  <c r="AW278" i="37" s="1"/>
  <c r="BF202" i="37" a="1"/>
  <c r="BF202" i="37" s="1"/>
  <c r="BB231" i="37" a="1"/>
  <c r="BB231" i="37" s="1"/>
  <c r="AX190" i="37" a="1"/>
  <c r="AX190" i="37" s="1"/>
  <c r="BL94" i="37" a="1"/>
  <c r="BL94" i="37" s="1"/>
  <c r="BF192" i="37" a="1"/>
  <c r="BF192" i="37" s="1"/>
  <c r="AW220" i="37" a="1"/>
  <c r="AW220" i="37" s="1"/>
  <c r="BC287" i="37" a="1"/>
  <c r="BC287" i="37" s="1"/>
  <c r="BB222" i="37" a="1"/>
  <c r="BB222" i="37" s="1"/>
  <c r="BC167" i="37" a="1"/>
  <c r="BC167" i="37" s="1"/>
  <c r="AW64" i="37" a="1"/>
  <c r="AW64" i="37" s="1"/>
  <c r="BB141" i="37" a="1"/>
  <c r="BB141" i="37" s="1"/>
  <c r="AW251" i="37" a="1"/>
  <c r="AW251" i="37" s="1"/>
  <c r="BF188" i="37" a="1"/>
  <c r="BF188" i="37" s="1"/>
  <c r="BM109" i="37" a="1"/>
  <c r="BM109" i="37" s="1"/>
  <c r="BL244" i="37" a="1"/>
  <c r="BL244" i="37" s="1"/>
  <c r="BM252" i="37" a="1"/>
  <c r="BM252" i="37" s="1"/>
  <c r="BD202" i="37" a="1"/>
  <c r="BD202" i="37" s="1"/>
  <c r="BE96" i="37" a="1"/>
  <c r="BE96" i="37" s="1"/>
  <c r="BF222" i="37" a="1"/>
  <c r="BF222" i="37" s="1"/>
  <c r="AW71" i="37" a="1"/>
  <c r="AW71" i="37" s="1"/>
  <c r="BI265" i="37" a="1"/>
  <c r="BI265" i="37" s="1"/>
  <c r="BJ205" i="37" a="1"/>
  <c r="BJ205" i="37" s="1"/>
  <c r="BL183" i="37" a="1"/>
  <c r="BL183" i="37" s="1"/>
  <c r="BI76" i="37" a="1"/>
  <c r="BI76" i="37" s="1"/>
  <c r="BB127" i="37" a="1"/>
  <c r="BB127" i="37" s="1"/>
  <c r="BH217" i="37" a="1"/>
  <c r="BH217" i="37" s="1"/>
  <c r="AZ232" i="37" a="1"/>
  <c r="AZ232" i="37" s="1"/>
  <c r="BA239" i="37" a="1"/>
  <c r="BA239" i="37" s="1"/>
  <c r="AY220" i="37" a="1"/>
  <c r="AY220" i="37" s="1"/>
  <c r="BK147" i="37" a="1"/>
  <c r="BK147" i="37" s="1"/>
  <c r="BB148" i="37" a="1"/>
  <c r="BB148" i="37" s="1"/>
  <c r="BG197" i="37" a="1"/>
  <c r="BG197" i="37" s="1"/>
  <c r="BF280" i="37" a="1"/>
  <c r="BF280" i="37" s="1"/>
  <c r="AY282" i="37" a="1"/>
  <c r="AY282" i="37" s="1"/>
  <c r="BB214" i="37" a="1"/>
  <c r="BB214" i="37" s="1"/>
  <c r="BG76" i="37" a="1"/>
  <c r="BG76" i="37" s="1"/>
  <c r="BL104" i="37" a="1"/>
  <c r="BL104" i="37" s="1"/>
  <c r="AZ210" i="37" a="1"/>
  <c r="AZ210" i="37" s="1"/>
  <c r="BA261" i="37" a="1"/>
  <c r="BA261" i="37" s="1"/>
  <c r="BA250" i="37" a="1"/>
  <c r="BA250" i="37" s="1"/>
  <c r="AX223" i="37" a="1"/>
  <c r="AX223" i="37" s="1"/>
  <c r="BB170" i="37" a="1"/>
  <c r="BB170" i="37" s="1"/>
  <c r="BM250" i="37" a="1"/>
  <c r="BM250" i="37" s="1"/>
  <c r="BM181" i="37" a="1"/>
  <c r="BM181" i="37" s="1"/>
  <c r="BH69" i="37" a="1"/>
  <c r="BH69" i="37" s="1"/>
  <c r="BI241" i="37" a="1"/>
  <c r="BI241" i="37" s="1"/>
  <c r="BB283" i="37" a="1"/>
  <c r="BB283" i="37" s="1"/>
  <c r="AZ162" i="37" a="1"/>
  <c r="AZ162" i="37" s="1"/>
  <c r="BC47" i="37" a="1"/>
  <c r="BC47" i="37" s="1"/>
  <c r="BF131" i="37" a="1"/>
  <c r="BF131" i="37" s="1"/>
  <c r="AX122" i="37" a="1"/>
  <c r="AX122" i="37" s="1"/>
  <c r="AW138" i="37" a="1"/>
  <c r="AW138" i="37" s="1"/>
  <c r="BI289" i="37" a="1"/>
  <c r="BI289" i="37" s="1"/>
  <c r="BB282" i="37" a="1"/>
  <c r="BB282" i="37" s="1"/>
  <c r="AX254" i="37" a="1"/>
  <c r="AX254" i="37" s="1"/>
  <c r="BI226" i="37" a="1"/>
  <c r="BI226" i="37" s="1"/>
  <c r="BE218" i="37" a="1"/>
  <c r="BE218" i="37" s="1"/>
  <c r="AY168" i="37" a="1"/>
  <c r="AY168" i="37" s="1"/>
  <c r="BG199" i="37" a="1"/>
  <c r="BG199" i="37" s="1"/>
  <c r="BM243" i="37" a="1"/>
  <c r="BM243" i="37" s="1"/>
  <c r="BD87" i="37" a="1"/>
  <c r="BD87" i="37" s="1"/>
  <c r="BG113" i="37" a="1"/>
  <c r="BG113" i="37" s="1"/>
  <c r="BH236" i="37" a="1"/>
  <c r="BH236" i="37" s="1"/>
  <c r="BI171" i="37" a="1"/>
  <c r="BI171" i="37" s="1"/>
  <c r="BI100" i="37" a="1"/>
  <c r="BI100" i="37" s="1"/>
  <c r="BD201" i="37" a="1"/>
  <c r="BD201" i="37" s="1"/>
  <c r="BE286" i="37" a="1"/>
  <c r="BE286" i="37" s="1"/>
  <c r="AY203" i="37" a="1"/>
  <c r="AY203" i="37" s="1"/>
  <c r="BF244" i="37" a="1"/>
  <c r="BF244" i="37" s="1"/>
  <c r="BF82" i="37" a="1"/>
  <c r="BF82" i="37" s="1"/>
  <c r="BF111" i="37" a="1"/>
  <c r="BF111" i="37" s="1"/>
  <c r="BF120" i="37" a="1"/>
  <c r="BF120" i="37" s="1"/>
  <c r="BK193" i="37" a="1"/>
  <c r="BK193" i="37" s="1"/>
  <c r="AX193" i="37" a="1"/>
  <c r="AX193" i="37" s="1"/>
  <c r="AY283" i="37" a="1"/>
  <c r="AY283" i="37" s="1"/>
  <c r="BC215" i="37" a="1"/>
  <c r="BC215" i="37" s="1"/>
  <c r="BL132" i="37" a="1"/>
  <c r="BL132" i="37" s="1"/>
  <c r="BL218" i="37" a="1"/>
  <c r="BL218" i="37" s="1"/>
  <c r="BK235" i="37" a="1"/>
  <c r="BK235" i="37" s="1"/>
  <c r="BA266" i="37" a="1"/>
  <c r="BA266" i="37" s="1"/>
  <c r="BA194" i="37" a="1"/>
  <c r="BA194" i="37" s="1"/>
  <c r="BC216" i="37" a="1"/>
  <c r="BC216" i="37" s="1"/>
  <c r="BI125" i="37" a="1"/>
  <c r="BI125" i="37" s="1"/>
  <c r="AW170" i="37" a="1"/>
  <c r="AW170" i="37" s="1"/>
  <c r="BF150" i="37" a="1"/>
  <c r="BF150" i="37" s="1"/>
  <c r="BA144" i="37" a="1"/>
  <c r="BA144" i="37" s="1"/>
  <c r="BH259" i="37" a="1"/>
  <c r="BH259" i="37" s="1"/>
  <c r="AW67" i="37" a="1"/>
  <c r="AW67" i="37" s="1"/>
  <c r="BB82" i="37" a="1"/>
  <c r="BB82" i="37" s="1"/>
  <c r="BB190" i="37" a="1"/>
  <c r="BB190" i="37" s="1"/>
  <c r="BH235" i="37" a="1"/>
  <c r="BH235" i="37" s="1"/>
  <c r="BL146" i="37" a="1"/>
  <c r="BL146" i="37" s="1"/>
  <c r="BC223" i="37" a="1"/>
  <c r="BC223" i="37" s="1"/>
  <c r="BJ243" i="37" a="1"/>
  <c r="BJ243" i="37" s="1"/>
  <c r="BL92" i="37" a="1"/>
  <c r="BL92" i="37" s="1"/>
  <c r="AW273" i="37" a="1"/>
  <c r="AW273" i="37" s="1"/>
  <c r="BA214" i="37" a="1"/>
  <c r="BA214" i="37" s="1"/>
  <c r="BC148" i="37" a="1"/>
  <c r="BC148" i="37" s="1"/>
  <c r="BI251" i="37" a="1"/>
  <c r="BI251" i="37" s="1"/>
  <c r="AX267" i="37" a="1"/>
  <c r="AX267" i="37" s="1"/>
  <c r="BJ127" i="37" a="1"/>
  <c r="BJ127" i="37" s="1"/>
  <c r="BA46" i="37" a="1"/>
  <c r="BA46" i="37" s="1"/>
  <c r="BH142" i="37" a="1"/>
  <c r="BH142" i="37" s="1"/>
  <c r="BD176" i="37" a="1"/>
  <c r="BD176" i="37" s="1"/>
  <c r="BM191" i="37" a="1"/>
  <c r="BM191" i="37" s="1"/>
  <c r="BM241" i="37" a="1"/>
  <c r="BM241" i="37" s="1"/>
  <c r="BM98" i="37" a="1"/>
  <c r="BM98" i="37" s="1"/>
  <c r="BA94" i="37" a="1"/>
  <c r="BA94" i="37" s="1"/>
  <c r="AY195" i="37" a="1"/>
  <c r="AY195" i="37" s="1"/>
  <c r="AX182" i="37" a="1"/>
  <c r="AX182" i="37" s="1"/>
  <c r="AY264" i="37" a="1"/>
  <c r="AY264" i="37" s="1"/>
  <c r="BM246" i="37" a="1"/>
  <c r="BM246" i="37" s="1"/>
  <c r="BM105" i="37" a="1"/>
  <c r="BM105" i="37" s="1"/>
  <c r="BL131" i="37" a="1"/>
  <c r="BL131" i="37" s="1"/>
  <c r="BD107" i="37" a="1"/>
  <c r="BD107" i="37" s="1"/>
  <c r="BM82" i="37" a="1"/>
  <c r="BM82" i="37" s="1"/>
  <c r="BH202" i="37" a="1"/>
  <c r="BH202" i="37" s="1"/>
  <c r="AW111" i="37" a="1"/>
  <c r="AW111" i="37" s="1"/>
  <c r="BH209" i="37" a="1"/>
  <c r="BH209" i="37" s="1"/>
  <c r="BL267" i="37" a="1"/>
  <c r="BL267" i="37" s="1"/>
  <c r="BC254" i="37" a="1"/>
  <c r="BC254" i="37" s="1"/>
  <c r="BK117" i="37" a="1"/>
  <c r="BK117" i="37" s="1"/>
  <c r="BJ166" i="37" a="1"/>
  <c r="BJ166" i="37" s="1"/>
  <c r="BF178" i="37" a="1"/>
  <c r="BF178" i="37" s="1"/>
  <c r="BH207" i="37" a="1"/>
  <c r="BH207" i="37" s="1"/>
  <c r="BM257" i="37" a="1"/>
  <c r="BM257" i="37" s="1"/>
  <c r="AW270" i="37" a="1"/>
  <c r="AW270" i="37" s="1"/>
  <c r="AZ216" i="37" a="1"/>
  <c r="AZ216" i="37" s="1"/>
  <c r="BI161" i="37" a="1"/>
  <c r="BI161" i="37" s="1"/>
  <c r="BL207" i="37" a="1"/>
  <c r="BL207" i="37" s="1"/>
  <c r="BF78" i="37" a="1"/>
  <c r="BF78" i="37" s="1"/>
  <c r="BK214" i="37" a="1"/>
  <c r="BK214" i="37" s="1"/>
  <c r="AZ226" i="37" a="1"/>
  <c r="AZ226" i="37" s="1"/>
  <c r="BJ145" i="37" a="1"/>
  <c r="BJ145" i="37" s="1"/>
  <c r="BH64" i="37" a="1"/>
  <c r="BH64" i="37" s="1"/>
  <c r="AX232" i="37" a="1"/>
  <c r="AX232" i="37" s="1"/>
  <c r="BD113" i="37" a="1"/>
  <c r="BD113" i="37" s="1"/>
  <c r="BI168" i="37" a="1"/>
  <c r="BI168" i="37" s="1"/>
  <c r="BI202" i="37" a="1"/>
  <c r="BI202" i="37" s="1"/>
  <c r="BG211" i="37" a="1"/>
  <c r="BG211" i="37" s="1"/>
  <c r="BB92" i="37" a="1"/>
  <c r="BB92" i="37" s="1"/>
  <c r="AZ94" i="37" a="1"/>
  <c r="AZ94" i="37" s="1"/>
  <c r="BD122" i="37" a="1"/>
  <c r="BD122" i="37" s="1"/>
  <c r="AW267" i="37" a="1"/>
  <c r="AW267" i="37" s="1"/>
  <c r="AW248" i="37" a="1"/>
  <c r="AW248" i="37" s="1"/>
  <c r="BK197" i="37" a="1"/>
  <c r="BK197" i="37" s="1"/>
  <c r="BC121" i="37" a="1"/>
  <c r="BC121" i="37" s="1"/>
  <c r="BA197" i="37" a="1"/>
  <c r="BA197" i="37" s="1"/>
  <c r="BB163" i="37" a="1"/>
  <c r="BB163" i="37" s="1"/>
  <c r="AX216" i="37" a="1"/>
  <c r="AX216" i="37" s="1"/>
  <c r="BF239" i="37" a="1"/>
  <c r="BF239" i="37" s="1"/>
  <c r="BF163" i="37" a="1"/>
  <c r="BF163" i="37" s="1"/>
  <c r="BH146" i="37" a="1"/>
  <c r="BH146" i="37" s="1"/>
  <c r="BI62" i="37" a="1"/>
  <c r="BI62" i="37" s="1"/>
  <c r="BK137" i="37" a="1"/>
  <c r="BK137" i="37" s="1"/>
  <c r="BM151" i="37" a="1"/>
  <c r="BM151" i="37" s="1"/>
  <c r="AY78" i="37" a="1"/>
  <c r="AY78" i="37" s="1"/>
  <c r="BF223" i="37" a="1"/>
  <c r="BF223" i="37" s="1"/>
  <c r="BA218" i="37" a="1"/>
  <c r="BA218" i="37" s="1"/>
  <c r="BG237" i="37" a="1"/>
  <c r="BG237" i="37" s="1"/>
  <c r="BI106" i="37" a="1"/>
  <c r="BI106" i="37" s="1"/>
  <c r="BC168" i="37" a="1"/>
  <c r="BC168" i="37" s="1"/>
  <c r="BE54" i="37" a="1"/>
  <c r="BE54" i="37" s="1"/>
  <c r="BC208" i="37" a="1"/>
  <c r="BC208" i="37" s="1"/>
  <c r="BG167" i="37" a="1"/>
  <c r="BG167" i="37" s="1"/>
  <c r="AX221" i="37" a="1"/>
  <c r="AX221" i="37" s="1"/>
  <c r="BM145" i="37" a="1"/>
  <c r="BM145" i="37" s="1"/>
  <c r="BC195" i="37" a="1"/>
  <c r="BC195" i="37" s="1"/>
  <c r="BM50" i="37" a="1"/>
  <c r="BM50" i="37" s="1"/>
  <c r="BB171" i="37" a="1"/>
  <c r="BB171" i="37" s="1"/>
  <c r="BH171" i="37" a="1"/>
  <c r="BH171" i="37" s="1"/>
  <c r="BK164" i="37" a="1"/>
  <c r="BK164" i="37" s="1"/>
  <c r="BL217" i="37" a="1"/>
  <c r="BL217" i="37" s="1"/>
  <c r="AW57" i="37" a="1"/>
  <c r="AW57" i="37" s="1"/>
  <c r="BL278" i="37" a="1"/>
  <c r="BL278" i="37" s="1"/>
  <c r="BD114" i="37" a="1"/>
  <c r="BD114" i="37" s="1"/>
  <c r="BH44" i="37" a="1"/>
  <c r="BH44" i="37" s="1"/>
  <c r="BD278" i="37" a="1"/>
  <c r="BD278" i="37" s="1"/>
  <c r="AW127" i="37" a="1"/>
  <c r="AW127" i="37" s="1"/>
  <c r="AW196" i="37" a="1"/>
  <c r="AW196" i="37" s="1"/>
  <c r="BF184" i="37" a="1"/>
  <c r="BF184" i="37" s="1"/>
  <c r="AX53" i="37" a="1"/>
  <c r="AX53" i="37" s="1"/>
  <c r="AX54" i="37" a="1"/>
  <c r="AX54" i="37" s="1"/>
  <c r="BM113" i="37" a="1"/>
  <c r="BM113" i="37" s="1"/>
  <c r="AY40" i="37" a="1"/>
  <c r="AY40" i="37" s="1"/>
  <c r="BB123" i="37" a="1"/>
  <c r="BB123" i="37" s="1"/>
  <c r="BL215" i="37" a="1"/>
  <c r="BL215" i="37" s="1"/>
  <c r="AX148" i="37" a="1"/>
  <c r="AX148" i="37" s="1"/>
  <c r="AY137" i="37" a="1"/>
  <c r="AY137" i="37" s="1"/>
  <c r="AY105" i="37" a="1"/>
  <c r="AY105" i="37" s="1"/>
  <c r="AY55" i="37" a="1"/>
  <c r="AY55" i="37" s="1"/>
  <c r="BE187" i="37" a="1"/>
  <c r="BE187" i="37" s="1"/>
  <c r="BF143" i="37" a="1"/>
  <c r="BF143" i="37" s="1"/>
  <c r="BB194" i="37" a="1"/>
  <c r="BB194" i="37" s="1"/>
  <c r="BG151" i="37" a="1"/>
  <c r="BG151" i="37" s="1"/>
  <c r="BH161" i="37" a="1"/>
  <c r="BH161" i="37" s="1"/>
  <c r="BD160" i="37" a="1"/>
  <c r="BD160" i="37" s="1"/>
  <c r="AZ157" i="37" a="1"/>
  <c r="AZ157" i="37" s="1"/>
  <c r="BD105" i="37" a="1"/>
  <c r="BD105" i="37" s="1"/>
  <c r="BA211" i="37" a="1"/>
  <c r="BA211" i="37" s="1"/>
  <c r="BL68" i="37" a="1"/>
  <c r="BL68" i="37" s="1"/>
  <c r="BF219" i="37" a="1"/>
  <c r="BF219" i="37" s="1"/>
  <c r="BF145" i="37" a="1"/>
  <c r="BF145" i="37" s="1"/>
  <c r="AY101" i="37" a="1"/>
  <c r="AY101" i="37" s="1"/>
  <c r="BM64" i="37" a="1"/>
  <c r="BM64" i="37" s="1"/>
  <c r="BE199" i="37" a="1"/>
  <c r="BE199" i="37" s="1"/>
  <c r="BG120" i="37" a="1"/>
  <c r="BG120" i="37" s="1"/>
  <c r="AW55" i="37" a="1"/>
  <c r="AW55" i="37" s="1"/>
  <c r="BG38" i="37" a="1"/>
  <c r="BG38" i="37" s="1"/>
  <c r="AX74" i="37" a="1"/>
  <c r="AX74" i="37" s="1"/>
  <c r="AZ98" i="37" a="1"/>
  <c r="AZ98" i="37" s="1"/>
  <c r="BB130" i="37" a="1"/>
  <c r="BB130" i="37" s="1"/>
  <c r="BJ23" i="37" a="1"/>
  <c r="BJ23" i="37" s="1"/>
  <c r="BK168" i="37" a="1"/>
  <c r="BK168" i="37" s="1"/>
  <c r="BD154" i="37" a="1"/>
  <c r="BD154" i="37" s="1"/>
  <c r="AZ208" i="37" a="1"/>
  <c r="AZ208" i="37" s="1"/>
  <c r="BC266" i="37" a="1"/>
  <c r="BC266" i="37" s="1"/>
  <c r="BC176" i="37" a="1"/>
  <c r="BC176" i="37" s="1"/>
  <c r="BE117" i="37" a="1"/>
  <c r="BE117" i="37" s="1"/>
  <c r="BL88" i="37" a="1"/>
  <c r="BL88" i="37" s="1"/>
  <c r="BA63" i="37" a="1"/>
  <c r="BA63" i="37" s="1"/>
  <c r="BJ187" i="37" a="1"/>
  <c r="BJ187" i="37" s="1"/>
  <c r="AX149" i="37" a="1"/>
  <c r="AX149" i="37" s="1"/>
  <c r="BF116" i="37" a="1"/>
  <c r="BF116" i="37" s="1"/>
  <c r="BA48" i="37" a="1"/>
  <c r="BA48" i="37" s="1"/>
  <c r="BM180" i="37" a="1"/>
  <c r="BM180" i="37" s="1"/>
  <c r="AY225" i="37" a="1"/>
  <c r="AY225" i="37" s="1"/>
  <c r="BL176" i="37" a="1"/>
  <c r="BL176" i="37" s="1"/>
  <c r="BG185" i="37" a="1"/>
  <c r="BG185" i="37" s="1"/>
  <c r="BC87" i="37" a="1"/>
  <c r="BC87" i="37" s="1"/>
  <c r="BJ224" i="37" a="1"/>
  <c r="BJ224" i="37" s="1"/>
  <c r="BB57" i="37" a="1"/>
  <c r="BB57" i="37" s="1"/>
  <c r="BH169" i="37" a="1"/>
  <c r="BH169" i="37" s="1"/>
  <c r="BE101" i="37" a="1"/>
  <c r="BE101" i="37" s="1"/>
  <c r="BF168" i="37" a="1"/>
  <c r="BF168" i="37" s="1"/>
  <c r="BL167" i="37" a="1"/>
  <c r="BL167" i="37" s="1"/>
  <c r="BG95" i="37" a="1"/>
  <c r="BG95" i="37" s="1"/>
  <c r="BL79" i="37" a="1"/>
  <c r="BL79" i="37" s="1"/>
  <c r="AY69" i="37" a="1"/>
  <c r="AY69" i="37" s="1"/>
  <c r="AY177" i="37" a="1"/>
  <c r="AY177" i="37" s="1"/>
  <c r="AW172" i="37" a="1"/>
  <c r="AW172" i="37" s="1"/>
  <c r="BD161" i="37" a="1"/>
  <c r="BD161" i="37" s="1"/>
  <c r="BF187" i="37" a="1"/>
  <c r="BF187" i="37" s="1"/>
  <c r="BB251" i="37" a="1"/>
  <c r="BB251" i="37" s="1"/>
  <c r="BJ138" i="37" a="1"/>
  <c r="BJ138" i="37" s="1"/>
  <c r="BB66" i="37" a="1"/>
  <c r="BB66" i="37" s="1"/>
  <c r="BF193" i="37" a="1"/>
  <c r="BF193" i="37" s="1"/>
  <c r="BG162" i="37" a="1"/>
  <c r="BG162" i="37" s="1"/>
  <c r="AW166" i="37" a="1"/>
  <c r="AW166" i="37" s="1"/>
  <c r="BJ131" i="37" a="1"/>
  <c r="BJ131" i="37" s="1"/>
  <c r="AZ137" i="37" a="1"/>
  <c r="AZ137" i="37" s="1"/>
  <c r="BM210" i="37" a="1"/>
  <c r="BM210" i="37" s="1"/>
  <c r="BI137" i="37" a="1"/>
  <c r="BI137" i="37" s="1"/>
  <c r="BL57" i="37" a="1"/>
  <c r="BL57" i="37" s="1"/>
  <c r="BE92" i="37" a="1"/>
  <c r="BE92" i="37" s="1"/>
  <c r="BE205" i="37" a="1"/>
  <c r="BE205" i="37" s="1"/>
  <c r="BM251" i="37" a="1"/>
  <c r="BM251" i="37" s="1"/>
  <c r="AZ274" i="37" a="1"/>
  <c r="AZ274" i="37" s="1"/>
  <c r="BA127" i="37" a="1"/>
  <c r="BA127" i="37" s="1"/>
  <c r="BH132" i="37" a="1"/>
  <c r="BH132" i="37" s="1"/>
  <c r="BA268" i="37" a="1"/>
  <c r="BA268" i="37" s="1"/>
  <c r="BH111" i="37" a="1"/>
  <c r="BH111" i="37" s="1"/>
  <c r="AY253" i="37" a="1"/>
  <c r="AY253" i="37" s="1"/>
  <c r="AZ155" i="37" a="1"/>
  <c r="AZ155" i="37" s="1"/>
  <c r="BE257" i="37" a="1"/>
  <c r="BE257" i="37" s="1"/>
  <c r="BC102" i="37" a="1"/>
  <c r="BC102" i="37" s="1"/>
  <c r="BI122" i="37" a="1"/>
  <c r="BI122" i="37" s="1"/>
  <c r="BK155" i="37" a="1"/>
  <c r="BK155" i="37" s="1"/>
  <c r="BG133" i="37" a="1"/>
  <c r="BG133" i="37" s="1"/>
  <c r="BA262" i="37" a="1"/>
  <c r="BA262" i="37" s="1"/>
  <c r="AX155" i="37" a="1"/>
  <c r="AX155" i="37" s="1"/>
  <c r="BM149" i="37" a="1"/>
  <c r="BM149" i="37" s="1"/>
  <c r="BM115" i="37" a="1"/>
  <c r="BM115" i="37" s="1"/>
  <c r="AW92" i="37" a="1"/>
  <c r="AW92" i="37" s="1"/>
  <c r="BA188" i="37" a="1"/>
  <c r="BA188" i="37" s="1"/>
  <c r="BD187" i="37" a="1"/>
  <c r="BD187" i="37" s="1"/>
  <c r="BK223" i="37" a="1"/>
  <c r="BK223" i="37" s="1"/>
  <c r="AZ164" i="37" a="1"/>
  <c r="AZ164" i="37" s="1"/>
  <c r="BL209" i="37" a="1"/>
  <c r="BL209" i="37" s="1"/>
  <c r="BA120" i="37" a="1"/>
  <c r="BA120" i="37" s="1"/>
  <c r="BI63" i="37" a="1"/>
  <c r="BI63" i="37" s="1"/>
  <c r="BA88" i="37" a="1"/>
  <c r="BA88" i="37" s="1"/>
  <c r="AW195" i="37" a="1"/>
  <c r="AW195" i="37" s="1"/>
  <c r="BC66" i="37" a="1"/>
  <c r="BC66" i="37" s="1"/>
  <c r="BF206" i="37" a="1"/>
  <c r="BF206" i="37" s="1"/>
  <c r="BI172" i="37" a="1"/>
  <c r="BI172" i="37" s="1"/>
  <c r="AW66" i="37" a="1"/>
  <c r="AW66" i="37" s="1"/>
  <c r="BB228" i="37" a="1"/>
  <c r="BB228" i="37" s="1"/>
  <c r="BH165" i="37" a="1"/>
  <c r="BH165" i="37" s="1"/>
  <c r="BJ155" i="37" a="1"/>
  <c r="BJ155" i="37" s="1"/>
  <c r="AY114" i="37" a="1"/>
  <c r="AY114" i="37" s="1"/>
  <c r="BG158" i="37" a="1"/>
  <c r="BG158" i="37" s="1"/>
  <c r="BA187" i="37" a="1"/>
  <c r="BA187" i="37" s="1"/>
  <c r="AW125" i="37" a="1"/>
  <c r="AW125" i="37" s="1"/>
  <c r="AX118" i="37" a="1"/>
  <c r="AX118" i="37" s="1"/>
  <c r="BF51" i="37" a="1"/>
  <c r="BF51" i="37" s="1"/>
  <c r="AZ229" i="37" a="1"/>
  <c r="AZ229" i="37" s="1"/>
  <c r="BC149" i="37" a="1"/>
  <c r="BC149" i="37" s="1"/>
  <c r="BE41" i="37" a="1"/>
  <c r="BE41" i="37" s="1"/>
  <c r="AW59" i="37" a="1"/>
  <c r="AW59" i="37" s="1"/>
  <c r="AW165" i="37" a="1"/>
  <c r="AW165" i="37" s="1"/>
  <c r="BA114" i="37" a="1"/>
  <c r="BA114" i="37" s="1"/>
  <c r="BA102" i="37" a="1"/>
  <c r="BA102" i="37" s="1"/>
  <c r="BD162" i="37" a="1"/>
  <c r="BD162" i="37" s="1"/>
  <c r="BD116" i="37" a="1"/>
  <c r="BD116" i="37" s="1"/>
  <c r="BM179" i="37" a="1"/>
  <c r="BM179" i="37" s="1"/>
  <c r="BH186" i="37" a="1"/>
  <c r="BH186" i="37" s="1"/>
  <c r="BE159" i="37" a="1"/>
  <c r="BE159" i="37" s="1"/>
  <c r="BM147" i="37" a="1"/>
  <c r="BM147" i="37" s="1"/>
  <c r="BL144" i="37" a="1"/>
  <c r="BL144" i="37" s="1"/>
  <c r="BB103" i="37" a="1"/>
  <c r="BB103" i="37" s="1"/>
  <c r="AX274" i="37" a="1"/>
  <c r="AX274" i="37" s="1"/>
  <c r="BB207" i="37" a="1"/>
  <c r="BB207" i="37" s="1"/>
  <c r="BI178" i="37" a="1"/>
  <c r="BI178" i="37" s="1"/>
  <c r="BH42" i="37" a="1"/>
  <c r="BH42" i="37" s="1"/>
  <c r="BH105" i="37" a="1"/>
  <c r="BH105" i="37" s="1"/>
  <c r="BL184" i="37" a="1"/>
  <c r="BL184" i="37" s="1"/>
  <c r="BJ76" i="37" a="1"/>
  <c r="BJ76" i="37" s="1"/>
  <c r="AZ197" i="37" a="1"/>
  <c r="AZ197" i="37" s="1"/>
  <c r="AW174" i="37" a="1"/>
  <c r="AW174" i="37" s="1"/>
  <c r="BF103" i="37" a="1"/>
  <c r="BF103" i="37" s="1"/>
  <c r="BE214" i="37" a="1"/>
  <c r="BE214" i="37" s="1"/>
  <c r="BK38" i="37" a="1"/>
  <c r="BK38" i="37" s="1"/>
  <c r="BI82" i="37" a="1"/>
  <c r="BI82" i="37" s="1"/>
  <c r="BF118" i="37" a="1"/>
  <c r="BF118" i="37" s="1"/>
  <c r="BM247" i="37" a="1"/>
  <c r="BM247" i="37" s="1"/>
  <c r="BG160" i="37" a="1"/>
  <c r="BG160" i="37" s="1"/>
  <c r="AZ72" i="37" a="1"/>
  <c r="AZ72" i="37" s="1"/>
  <c r="BE78" i="37" a="1"/>
  <c r="BE78" i="37" s="1"/>
  <c r="BM133" i="37" a="1"/>
  <c r="BM133" i="37" s="1"/>
  <c r="BD228" i="37" a="1"/>
  <c r="BD228" i="37" s="1"/>
  <c r="AW137" i="37" a="1"/>
  <c r="AW137" i="37" s="1"/>
  <c r="BE194" i="37" a="1"/>
  <c r="BE194" i="37" s="1"/>
  <c r="BB124" i="37" a="1"/>
  <c r="BB124" i="37" s="1"/>
  <c r="BJ160" i="37" a="1"/>
  <c r="BJ160" i="37" s="1"/>
  <c r="BD200" i="37" a="1"/>
  <c r="BD200" i="37" s="1"/>
  <c r="BJ125" i="37" a="1"/>
  <c r="BJ125" i="37" s="1"/>
  <c r="BD76" i="37" a="1"/>
  <c r="BD76" i="37" s="1"/>
  <c r="BM270" i="37" a="1"/>
  <c r="BM270" i="37" s="1"/>
  <c r="AZ70" i="37" a="1"/>
  <c r="AZ70" i="37" s="1"/>
  <c r="BL129" i="37" a="1"/>
  <c r="BL129" i="37" s="1"/>
  <c r="BE185" i="37" a="1"/>
  <c r="BE185" i="37" s="1"/>
  <c r="BC78" i="37" a="1"/>
  <c r="BC78" i="37" s="1"/>
  <c r="BD189" i="37" a="1"/>
  <c r="BD189" i="37" s="1"/>
  <c r="BJ156" i="37" a="1"/>
  <c r="BJ156" i="37" s="1"/>
  <c r="BJ114" i="37" a="1"/>
  <c r="BJ114" i="37" s="1"/>
  <c r="BD48" i="37" a="1"/>
  <c r="BD48" i="37" s="1"/>
  <c r="BA168" i="37" a="1"/>
  <c r="BA168" i="37" s="1"/>
  <c r="AZ188" i="37" a="1"/>
  <c r="AZ188" i="37" s="1"/>
  <c r="BI263" i="37" a="1"/>
  <c r="BI263" i="37" s="1"/>
  <c r="BD126" i="37" a="1"/>
  <c r="BD126" i="37" s="1"/>
  <c r="BH130" i="37" a="1"/>
  <c r="BH130" i="37" s="1"/>
  <c r="BA207" i="37" a="1"/>
  <c r="BA207" i="37" s="1"/>
  <c r="BC106" i="37" a="1"/>
  <c r="BC106" i="37" s="1"/>
  <c r="BF198" i="37" a="1"/>
  <c r="BF198" i="37" s="1"/>
  <c r="AY233" i="37" a="1"/>
  <c r="AY233" i="37" s="1"/>
  <c r="AY246" i="37" a="1"/>
  <c r="AY246" i="37" s="1"/>
  <c r="AW236" i="37" a="1"/>
  <c r="AW236" i="37" s="1"/>
  <c r="BC288" i="37" a="1"/>
  <c r="BC288" i="37" s="1"/>
  <c r="BF264" i="37" a="1"/>
  <c r="BF264" i="37" s="1"/>
  <c r="AY134" i="37" a="1"/>
  <c r="AY134" i="37" s="1"/>
  <c r="BI118" i="37" a="1"/>
  <c r="BI118" i="37" s="1"/>
  <c r="BD110" i="37" a="1"/>
  <c r="BD110" i="37" s="1"/>
  <c r="BD115" i="37" a="1"/>
  <c r="BD115" i="37" s="1"/>
  <c r="AY91" i="37" a="1"/>
  <c r="AY91" i="37" s="1"/>
  <c r="BE146" i="37" a="1"/>
  <c r="BE146" i="37" s="1"/>
  <c r="AY110" i="37" a="1"/>
  <c r="AY110" i="37" s="1"/>
  <c r="BL205" i="37" a="1"/>
  <c r="BL205" i="37" s="1"/>
  <c r="BI151" i="37" a="1"/>
  <c r="BI151" i="37" s="1"/>
  <c r="BC213" i="37" a="1"/>
  <c r="BC213" i="37" s="1"/>
  <c r="BL45" i="37" a="1"/>
  <c r="BL45" i="37" s="1"/>
  <c r="BI89" i="37" a="1"/>
  <c r="BI89" i="37" s="1"/>
  <c r="BI140" i="37" a="1"/>
  <c r="BI140" i="37" s="1"/>
  <c r="BA206" i="37" a="1"/>
  <c r="BA206" i="37" s="1"/>
  <c r="BM155" i="37" a="1"/>
  <c r="BM155" i="37" s="1"/>
  <c r="BL47" i="37" a="1"/>
  <c r="BL47" i="37" s="1"/>
  <c r="BL196" i="37" a="1"/>
  <c r="BL196" i="37" s="1"/>
  <c r="BF64" i="37" a="1"/>
  <c r="BF64" i="37" s="1"/>
  <c r="BB151" i="37" a="1"/>
  <c r="BB151" i="37" s="1"/>
  <c r="BA230" i="37" a="1"/>
  <c r="BA230" i="37" s="1"/>
  <c r="BB122" i="37" a="1"/>
  <c r="BB122" i="37" s="1"/>
  <c r="BA173" i="37" a="1"/>
  <c r="BA173" i="37" s="1"/>
  <c r="BM140" i="37" a="1"/>
  <c r="BM140" i="37" s="1"/>
  <c r="BC73" i="37" a="1"/>
  <c r="BC73" i="37" s="1"/>
  <c r="BF221" i="37" a="1"/>
  <c r="BF221" i="37" s="1"/>
  <c r="BJ77" i="37" a="1"/>
  <c r="BJ77" i="37" s="1"/>
  <c r="BE97" i="37" a="1"/>
  <c r="BE97" i="37" s="1"/>
  <c r="BA50" i="37" a="1"/>
  <c r="BA50" i="37" s="1"/>
  <c r="BL164" i="37" a="1"/>
  <c r="BL164" i="37" s="1"/>
  <c r="BE164" i="37" a="1"/>
  <c r="BE164" i="37" s="1"/>
  <c r="BM216" i="37" a="1"/>
  <c r="BM216" i="37" s="1"/>
  <c r="BG219" i="37" a="1"/>
  <c r="BG219" i="37" s="1"/>
  <c r="BE87" i="37" a="1"/>
  <c r="BE87" i="37" s="1"/>
  <c r="AZ185" i="37" a="1"/>
  <c r="AZ185" i="37" s="1"/>
  <c r="BL60" i="37" a="1"/>
  <c r="BL60" i="37" s="1"/>
  <c r="BE133" i="37" a="1"/>
  <c r="BE133" i="37" s="1"/>
  <c r="AY186" i="37" a="1"/>
  <c r="AY186" i="37" s="1"/>
  <c r="BJ158" i="37" a="1"/>
  <c r="BJ158" i="37" s="1"/>
  <c r="BA170" i="37" a="1"/>
  <c r="BA170" i="37" s="1"/>
  <c r="BD209" i="37" a="1"/>
  <c r="BD209" i="37" s="1"/>
  <c r="BH60" i="37" a="1"/>
  <c r="BH60" i="37" s="1"/>
  <c r="BC90" i="37" a="1"/>
  <c r="BC90" i="37" s="1"/>
  <c r="AX119" i="37" a="1"/>
  <c r="AX119" i="37" s="1"/>
  <c r="BF249" i="37" a="1"/>
  <c r="BF249" i="37" s="1"/>
  <c r="BK114" i="37" a="1"/>
  <c r="BK114" i="37" s="1"/>
  <c r="AY131" i="37" a="1"/>
  <c r="AY131" i="37" s="1"/>
  <c r="BC128" i="37" a="1"/>
  <c r="BC128" i="37" s="1"/>
  <c r="BF157" i="37" a="1"/>
  <c r="BF157" i="37" s="1"/>
  <c r="BM231" i="37" a="1"/>
  <c r="BM231" i="37" s="1"/>
  <c r="BM129" i="37" a="1"/>
  <c r="BM129" i="37" s="1"/>
  <c r="AZ181" i="37" a="1"/>
  <c r="AZ181" i="37" s="1"/>
  <c r="AW61" i="37" a="1"/>
  <c r="AW61" i="37" s="1"/>
  <c r="BC270" i="37" a="1"/>
  <c r="BC270" i="37" s="1"/>
  <c r="BA123" i="37" a="1"/>
  <c r="BA123" i="37" s="1"/>
  <c r="BI148" i="37" a="1"/>
  <c r="BI148" i="37" s="1"/>
  <c r="BC49" i="37" a="1"/>
  <c r="BC49" i="37" s="1"/>
  <c r="BD65" i="37" a="1"/>
  <c r="BD65" i="37" s="1"/>
  <c r="BK209" i="37" a="1"/>
  <c r="BK209" i="37" s="1"/>
  <c r="AW81" i="37" a="1"/>
  <c r="AW81" i="37" s="1"/>
  <c r="AX204" i="37" a="1"/>
  <c r="AX204" i="37" s="1"/>
  <c r="BM124" i="37" a="1"/>
  <c r="BM124" i="37" s="1"/>
  <c r="BC158" i="37" a="1"/>
  <c r="BC158" i="37" s="1"/>
  <c r="BC277" i="37" a="1"/>
  <c r="BC277" i="37" s="1"/>
  <c r="BK199" i="37" a="1"/>
  <c r="BK199" i="37" s="1"/>
  <c r="AW224" i="37" a="1"/>
  <c r="AW224" i="37" s="1"/>
  <c r="BJ165" i="37" a="1"/>
  <c r="BJ165" i="37" s="1"/>
  <c r="BC117" i="37" a="1"/>
  <c r="BC117" i="37" s="1"/>
  <c r="BG70" i="37" a="1"/>
  <c r="BG70" i="37" s="1"/>
  <c r="BL235" i="37" a="1"/>
  <c r="BL235" i="37" s="1"/>
  <c r="BA169" i="37" a="1"/>
  <c r="BA169" i="37" s="1"/>
  <c r="AY157" i="37" a="1"/>
  <c r="AY157" i="37" s="1"/>
  <c r="AX41" i="37" a="1"/>
  <c r="AX41" i="37" s="1"/>
  <c r="AZ114" i="37" a="1"/>
  <c r="AZ114" i="37" s="1"/>
  <c r="BA286" i="37" a="1"/>
  <c r="BA286" i="37" s="1"/>
  <c r="BI141" i="37" a="1"/>
  <c r="BI141" i="37" s="1"/>
  <c r="BC248" i="37" a="1"/>
  <c r="BC248" i="37" s="1"/>
  <c r="BI162" i="37" a="1"/>
  <c r="BI162" i="37" s="1"/>
  <c r="BK226" i="37" a="1"/>
  <c r="BK226" i="37" s="1"/>
  <c r="BE235" i="37" a="1"/>
  <c r="BE235" i="37" s="1"/>
  <c r="BH40" i="37" a="1"/>
  <c r="BH40" i="37" s="1"/>
  <c r="AW117" i="37" a="1"/>
  <c r="AW117" i="37" s="1"/>
  <c r="BE168" i="37" a="1"/>
  <c r="BE168" i="37" s="1"/>
  <c r="BM174" i="37" a="1"/>
  <c r="BM174" i="37" s="1"/>
  <c r="BJ129" i="37" a="1"/>
  <c r="BJ129" i="37" s="1"/>
  <c r="AW126" i="37" a="1"/>
  <c r="AW126" i="37" s="1"/>
  <c r="AY148" i="37" a="1"/>
  <c r="AY148" i="37" s="1"/>
  <c r="BK163" i="37" a="1"/>
  <c r="BK163" i="37" s="1"/>
  <c r="AX160" i="37" a="1"/>
  <c r="AX160" i="37" s="1"/>
  <c r="BD152" i="37" a="1"/>
  <c r="BD152" i="37" s="1"/>
  <c r="BM142" i="37" a="1"/>
  <c r="BM142" i="37" s="1"/>
  <c r="BA145" i="37" a="1"/>
  <c r="BA145" i="37" s="1"/>
  <c r="BL153" i="37" a="1"/>
  <c r="BL153" i="37" s="1"/>
  <c r="BM205" i="37" a="1"/>
  <c r="BM205" i="37" s="1"/>
  <c r="AZ79" i="37" a="1"/>
  <c r="AZ79" i="37" s="1"/>
  <c r="BL126" i="37" a="1"/>
  <c r="BL126" i="37" s="1"/>
  <c r="BK231" i="37" a="1"/>
  <c r="BK231" i="37" s="1"/>
  <c r="BC271" i="37" a="1"/>
  <c r="BC271" i="37" s="1"/>
  <c r="BH133" i="37" a="1"/>
  <c r="BH133" i="37" s="1"/>
  <c r="BM158" i="37" a="1"/>
  <c r="BM158" i="37" s="1"/>
  <c r="BK92" i="37" a="1"/>
  <c r="BK92" i="37" s="1"/>
  <c r="AX117" i="37" a="1"/>
  <c r="AX117" i="37" s="1"/>
  <c r="BH135" i="37" a="1"/>
  <c r="BH135" i="37" s="1"/>
  <c r="BM51" i="37" a="1"/>
  <c r="BM51" i="37" s="1"/>
  <c r="BE105" i="37" a="1"/>
  <c r="BE105" i="37" s="1"/>
  <c r="BJ181" i="37" a="1"/>
  <c r="BJ181" i="37" s="1"/>
  <c r="BA225" i="37" a="1"/>
  <c r="BA225" i="37" s="1"/>
  <c r="BG227" i="37" a="1"/>
  <c r="BG227" i="37" s="1"/>
  <c r="BB192" i="37" a="1"/>
  <c r="BB192" i="37" s="1"/>
  <c r="BL66" i="37" a="1"/>
  <c r="BL66" i="37" s="1"/>
  <c r="BF236" i="37" a="1"/>
  <c r="BF236" i="37" s="1"/>
  <c r="BM55" i="37" a="1"/>
  <c r="BM55" i="37" s="1"/>
  <c r="BM206" i="37" a="1"/>
  <c r="BM206" i="37" s="1"/>
  <c r="BI192" i="37" a="1"/>
  <c r="BI192" i="37" s="1"/>
  <c r="BK64" i="37" a="1"/>
  <c r="BK64" i="37" s="1"/>
  <c r="BI71" i="37" a="1"/>
  <c r="BI71" i="37" s="1"/>
  <c r="BF204" i="37" a="1"/>
  <c r="BF204" i="37" s="1"/>
  <c r="BH120" i="37" a="1"/>
  <c r="BH120" i="37" s="1"/>
  <c r="AY99" i="37" a="1"/>
  <c r="AY99" i="37" s="1"/>
  <c r="BK207" i="37" a="1"/>
  <c r="BK207" i="37" s="1"/>
  <c r="BH88" i="37" a="1"/>
  <c r="BH88" i="37" s="1"/>
  <c r="BL177" i="37" a="1"/>
  <c r="BL177" i="37" s="1"/>
  <c r="BB143" i="37" a="1"/>
  <c r="BB143" i="37" s="1"/>
  <c r="BL85" i="37" a="1"/>
  <c r="BL85" i="37" s="1"/>
  <c r="AZ156" i="37" a="1"/>
  <c r="AZ156" i="37" s="1"/>
  <c r="BD150" i="37" a="1"/>
  <c r="BD150" i="37" s="1"/>
  <c r="AY164" i="37" a="1"/>
  <c r="AY164" i="37" s="1"/>
  <c r="BH168" i="37" a="1"/>
  <c r="BH168" i="37" s="1"/>
  <c r="BM194" i="37" a="1"/>
  <c r="BM194" i="37" s="1"/>
  <c r="AX75" i="37" a="1"/>
  <c r="AX75" i="37" s="1"/>
  <c r="BG164" i="37" a="1"/>
  <c r="BG164" i="37" s="1"/>
  <c r="BA97" i="37" a="1"/>
  <c r="BA97" i="37" s="1"/>
  <c r="BB48" i="37" a="1"/>
  <c r="BB48" i="37" s="1"/>
  <c r="BK75" i="37" a="1"/>
  <c r="BK75" i="37" s="1"/>
  <c r="BJ106" i="37" a="1"/>
  <c r="BJ106" i="37" s="1"/>
  <c r="BH147" i="37" a="1"/>
  <c r="BH147" i="37" s="1"/>
  <c r="BI110" i="37" a="1"/>
  <c r="BI110" i="37" s="1"/>
  <c r="BE223" i="37" a="1"/>
  <c r="BE223" i="37" s="1"/>
  <c r="BF55" i="37" a="1"/>
  <c r="BF55" i="37" s="1"/>
  <c r="BM198" i="37" a="1"/>
  <c r="BM198" i="37" s="1"/>
  <c r="BG64" i="37" a="1"/>
  <c r="BG64" i="37" s="1"/>
  <c r="BD226" i="37" a="1"/>
  <c r="BD226" i="37" s="1"/>
  <c r="BD172" i="37" a="1"/>
  <c r="BD172" i="37" s="1"/>
  <c r="BH70" i="37" a="1"/>
  <c r="BH70" i="37" s="1"/>
  <c r="AY64" i="37" a="1"/>
  <c r="AY64" i="37" s="1"/>
  <c r="BI247" i="37" a="1"/>
  <c r="BI247" i="37" s="1"/>
  <c r="AW234" i="37" a="1"/>
  <c r="AW234" i="37" s="1"/>
  <c r="BF186" i="37" a="1"/>
  <c r="BF186" i="37" s="1"/>
  <c r="AY145" i="37" a="1"/>
  <c r="AY145" i="37" s="1"/>
  <c r="BH74" i="37" a="1"/>
  <c r="BH74" i="37" s="1"/>
  <c r="BC240" i="37" a="1"/>
  <c r="BC240" i="37" s="1"/>
  <c r="AZ38" i="37" a="1"/>
  <c r="AZ38" i="37" s="1"/>
  <c r="BB96" i="37" a="1"/>
  <c r="BB96" i="37" s="1"/>
  <c r="BF257" i="37" a="1"/>
  <c r="BF257" i="37" s="1"/>
  <c r="BI138" i="37" a="1"/>
  <c r="BI138" i="37" s="1"/>
  <c r="BD269" i="37" a="1"/>
  <c r="BD269" i="37" s="1"/>
  <c r="BL186" i="37" a="1"/>
  <c r="BL186" i="37" s="1"/>
  <c r="BB203" i="37" a="1"/>
  <c r="BB203" i="37" s="1"/>
  <c r="AW179" i="37" a="1"/>
  <c r="AW179" i="37" s="1"/>
  <c r="BA147" i="37" a="1"/>
  <c r="BA147" i="37" s="1"/>
  <c r="BF96" i="37" a="1"/>
  <c r="BF96" i="37" s="1"/>
  <c r="AY196" i="37" a="1"/>
  <c r="AY196" i="37" s="1"/>
  <c r="BH101" i="37" a="1"/>
  <c r="BH101" i="37" s="1"/>
  <c r="BM44" i="37" a="1"/>
  <c r="BM44" i="37" s="1"/>
  <c r="AX135" i="37" a="1"/>
  <c r="AX135" i="37" s="1"/>
  <c r="BE181" i="37" a="1"/>
  <c r="BE181" i="37" s="1"/>
  <c r="BK112" i="37" a="1"/>
  <c r="BK112" i="37" s="1"/>
  <c r="AY208" i="37" a="1"/>
  <c r="AY208" i="37" s="1"/>
  <c r="BI191" i="37" a="1"/>
  <c r="BI191" i="37" s="1"/>
  <c r="AW201" i="37" a="1"/>
  <c r="AW201" i="37" s="1"/>
  <c r="BD120" i="37" a="1"/>
  <c r="BD120" i="37" s="1"/>
  <c r="BD171" i="37" a="1"/>
  <c r="BD171" i="37" s="1"/>
  <c r="AW95" i="37" a="1"/>
  <c r="AW95" i="37" s="1"/>
  <c r="BH157" i="37" a="1"/>
  <c r="BH157" i="37" s="1"/>
  <c r="BF112" i="37" a="1"/>
  <c r="BF112" i="37" s="1"/>
  <c r="AX181" i="37" a="1"/>
  <c r="AX181" i="37" s="1"/>
  <c r="AY160" i="37" a="1"/>
  <c r="AY160" i="37" s="1"/>
  <c r="BI78" i="37" a="1"/>
  <c r="BI78" i="37" s="1"/>
  <c r="AY173" i="37" a="1"/>
  <c r="AY173" i="37" s="1"/>
  <c r="BF115" i="37" a="1"/>
  <c r="BF115" i="37" s="1"/>
  <c r="BF231" i="37" a="1"/>
  <c r="BF231" i="37" s="1"/>
  <c r="BF243" i="37" a="1"/>
  <c r="BF243" i="37" s="1"/>
  <c r="AZ234" i="37" a="1"/>
  <c r="AZ234" i="37" s="1"/>
  <c r="BE163" i="37" a="1"/>
  <c r="BE163" i="37" s="1"/>
  <c r="BA86" i="37" a="1"/>
  <c r="BA86" i="37" s="1"/>
  <c r="BE227" i="37" a="1"/>
  <c r="BE227" i="37" s="1"/>
  <c r="BL59" i="37" a="1"/>
  <c r="BL59" i="37" s="1"/>
  <c r="AZ91" i="37" a="1"/>
  <c r="AZ91" i="37" s="1"/>
  <c r="BJ193" i="37" a="1"/>
  <c r="BJ193" i="37" s="1"/>
  <c r="BM192" i="37" a="1"/>
  <c r="BM192" i="37" s="1"/>
  <c r="BF265" i="37" a="1"/>
  <c r="BF265" i="37" s="1"/>
  <c r="BF159" i="37" a="1"/>
  <c r="BF159" i="37" s="1"/>
  <c r="BE72" i="37" a="1"/>
  <c r="BE72" i="37" s="1"/>
  <c r="BA166" i="37" a="1"/>
  <c r="BA166" i="37" s="1"/>
  <c r="AY53" i="37" a="1"/>
  <c r="AY53" i="37" s="1"/>
  <c r="BG92" i="37" a="1"/>
  <c r="BG92" i="37" s="1"/>
  <c r="BC205" i="37" a="1"/>
  <c r="BC205" i="37" s="1"/>
  <c r="BJ177" i="37" a="1"/>
  <c r="BJ177" i="37" s="1"/>
  <c r="AX165" i="37" a="1"/>
  <c r="AX165" i="37" s="1"/>
  <c r="BI222" i="37" a="1"/>
  <c r="BI222" i="37" s="1"/>
  <c r="BD112" i="37" a="1"/>
  <c r="BD112" i="37" s="1"/>
  <c r="BK44" i="37" a="1"/>
  <c r="BK44" i="37" s="1"/>
  <c r="BD157" i="37" a="1"/>
  <c r="BD157" i="37" s="1"/>
  <c r="AY103" i="37" a="1"/>
  <c r="AY103" i="37" s="1"/>
  <c r="BL149" i="37" a="1"/>
  <c r="BL149" i="37" s="1"/>
  <c r="BI211" i="37" a="1"/>
  <c r="BI211" i="37" s="1"/>
  <c r="BI113" i="37" a="1"/>
  <c r="BI113" i="37" s="1"/>
  <c r="BH261" i="37" a="1"/>
  <c r="BH261" i="37" s="1"/>
  <c r="AW47" i="37" a="1"/>
  <c r="AW47" i="37" s="1"/>
  <c r="BD102" i="37" a="1"/>
  <c r="BD102" i="37" s="1"/>
  <c r="BE150" i="37" a="1"/>
  <c r="BE150" i="37" s="1"/>
  <c r="AZ217" i="37" a="1"/>
  <c r="AZ217" i="37" s="1"/>
  <c r="AZ99" i="37" a="1"/>
  <c r="AZ99" i="37" s="1"/>
  <c r="BA213" i="37" a="1"/>
  <c r="BA213" i="37" s="1"/>
  <c r="BA43" i="37" a="1"/>
  <c r="BA43" i="37" s="1"/>
  <c r="BI246" i="37" a="1"/>
  <c r="BI246" i="37" s="1"/>
  <c r="BL254" i="37" a="1"/>
  <c r="BL254" i="37" s="1"/>
  <c r="BJ265" i="37" a="1"/>
  <c r="BJ265" i="37" s="1"/>
  <c r="BG42" i="37" a="1"/>
  <c r="BG42" i="37" s="1"/>
  <c r="BD231" i="37" a="1"/>
  <c r="BD231" i="37" s="1"/>
  <c r="AW72" i="37" a="1"/>
  <c r="AW72" i="37" s="1"/>
  <c r="BE161" i="37" a="1"/>
  <c r="BE161" i="37" s="1"/>
  <c r="BB164" i="37" a="1"/>
  <c r="BB164" i="37" s="1"/>
  <c r="BD213" i="37" a="1"/>
  <c r="BD213" i="37" s="1"/>
  <c r="BL168" i="37" a="1"/>
  <c r="BL168" i="37" s="1"/>
  <c r="BM168" i="37" a="1"/>
  <c r="BM168" i="37" s="1"/>
  <c r="BI120" i="37" a="1"/>
  <c r="BI120" i="37" s="1"/>
  <c r="BK122" i="37" a="1"/>
  <c r="BK122" i="37" s="1"/>
  <c r="BI93" i="37" a="1"/>
  <c r="BI93" i="37" s="1"/>
  <c r="BM156" i="37" a="1"/>
  <c r="BM156" i="37" s="1"/>
  <c r="BF139" i="37" a="1"/>
  <c r="BF139" i="37" s="1"/>
  <c r="AX215" i="37" a="1"/>
  <c r="AX215" i="37" s="1"/>
  <c r="BC214" i="37" a="1"/>
  <c r="BC214" i="37" s="1"/>
  <c r="BG150" i="37" a="1"/>
  <c r="BG150" i="37" s="1"/>
  <c r="AW54" i="37" a="1"/>
  <c r="AW54" i="37" s="1"/>
  <c r="AW120" i="37" a="1"/>
  <c r="AW120" i="37" s="1"/>
  <c r="AX43" i="37" a="1"/>
  <c r="AX43" i="37" s="1"/>
  <c r="BH163" i="37" a="1"/>
  <c r="BH163" i="37" s="1"/>
  <c r="BK228" i="37" a="1"/>
  <c r="BK228" i="37" s="1"/>
  <c r="BC173" i="37" a="1"/>
  <c r="BC173" i="37" s="1"/>
  <c r="BD164" i="37" a="1"/>
  <c r="BD164" i="37" s="1"/>
  <c r="BB200" i="37" a="1"/>
  <c r="BB200" i="37" s="1"/>
  <c r="BD178" i="37" a="1"/>
  <c r="BD178" i="37" s="1"/>
  <c r="BH58" i="37" a="1"/>
  <c r="BH58" i="37" s="1"/>
  <c r="BG186" i="37" a="1"/>
  <c r="BG186" i="37" s="1"/>
  <c r="BB121" i="37" a="1"/>
  <c r="BB121" i="37" s="1"/>
  <c r="BC172" i="37" a="1"/>
  <c r="BC172" i="37" s="1"/>
  <c r="BC141" i="37" a="1"/>
  <c r="BC141" i="37" s="1"/>
  <c r="BJ154" i="37" a="1"/>
  <c r="BJ154" i="37" s="1"/>
  <c r="BJ94" i="37" a="1"/>
  <c r="BJ94" i="37" s="1"/>
  <c r="BI167" i="37" a="1"/>
  <c r="BI167" i="37" s="1"/>
  <c r="BH276" i="37" a="1"/>
  <c r="BH276" i="37" s="1"/>
  <c r="BF117" i="37" a="1"/>
  <c r="BF117" i="37" s="1"/>
  <c r="BL114" i="37" a="1"/>
  <c r="BL114" i="37" s="1"/>
  <c r="BF282" i="37" a="1"/>
  <c r="BF282" i="37" s="1"/>
  <c r="BL175" i="37" a="1"/>
  <c r="BL175" i="37" s="1"/>
  <c r="BJ140" i="37" a="1"/>
  <c r="BJ140" i="37" s="1"/>
  <c r="BI98" i="37" a="1"/>
  <c r="BI98" i="37" s="1"/>
  <c r="BC177" i="37" a="1"/>
  <c r="BC177" i="37" s="1"/>
  <c r="BM200" i="37" a="1"/>
  <c r="BM200" i="37" s="1"/>
  <c r="BB174" i="37" a="1"/>
  <c r="BB174" i="37" s="1"/>
  <c r="AY43" i="37" a="1"/>
  <c r="AY43" i="37" s="1"/>
  <c r="BH75" i="37" a="1"/>
  <c r="BH75" i="37" s="1"/>
  <c r="BF98" i="37" a="1"/>
  <c r="BF98" i="37" s="1"/>
  <c r="AY76" i="37" a="1"/>
  <c r="AY76" i="37" s="1"/>
  <c r="AZ42" i="37" a="1"/>
  <c r="AZ42" i="37" s="1"/>
  <c r="BC115" i="37" a="1"/>
  <c r="BC115" i="37" s="1"/>
  <c r="BF214" i="37" a="1"/>
  <c r="BF214" i="37" s="1"/>
  <c r="BE68" i="37" a="1"/>
  <c r="BE68" i="37" s="1"/>
  <c r="BH183" i="37" a="1"/>
  <c r="BH183" i="37" s="1"/>
  <c r="BM67" i="37" a="1"/>
  <c r="BM67" i="37" s="1"/>
  <c r="BA124" i="37" a="1"/>
  <c r="BA124" i="37" s="1"/>
  <c r="BB95" i="37" a="1"/>
  <c r="BB95" i="37" s="1"/>
  <c r="BA167" i="37" a="1"/>
  <c r="BA167" i="37" s="1"/>
  <c r="BI79" i="37" a="1"/>
  <c r="BI79" i="37" s="1"/>
  <c r="BD179" i="37" a="1"/>
  <c r="BD179" i="37" s="1"/>
  <c r="BC136" i="37" a="1"/>
  <c r="BC136" i="37" s="1"/>
  <c r="BJ38" i="37" a="1"/>
  <c r="BJ38" i="37" s="1"/>
  <c r="BK162" i="37" a="1"/>
  <c r="BK162" i="37" s="1"/>
  <c r="AX49" i="37" a="1"/>
  <c r="AX49" i="37" s="1"/>
  <c r="BK195" i="37" a="1"/>
  <c r="BK195" i="37" s="1"/>
  <c r="BB235" i="37" a="1"/>
  <c r="BB235" i="37" s="1"/>
  <c r="AX168" i="37" a="1"/>
  <c r="AX168" i="37" s="1"/>
  <c r="BM106" i="37" a="1"/>
  <c r="BM106" i="37" s="1"/>
  <c r="AX230" i="37" a="1"/>
  <c r="AX230" i="37" s="1"/>
  <c r="AW198" i="37" a="1"/>
  <c r="AW198" i="37" s="1"/>
  <c r="AY217" i="37" a="1"/>
  <c r="AY217" i="37" s="1"/>
  <c r="AX94" i="37" a="1"/>
  <c r="AX94" i="37" s="1"/>
  <c r="BE189" i="37" a="1"/>
  <c r="BE189" i="37" s="1"/>
  <c r="BA142" i="37" a="1"/>
  <c r="BA142" i="37" s="1"/>
  <c r="AY262" i="37" a="1"/>
  <c r="AY262" i="37" s="1"/>
  <c r="BM122" i="37" a="1"/>
  <c r="BM122" i="37" s="1"/>
  <c r="BA85" i="37" a="1"/>
  <c r="BA85" i="37" s="1"/>
  <c r="BH197" i="37" a="1"/>
  <c r="BH197" i="37" s="1"/>
  <c r="AZ184" i="37" a="1"/>
  <c r="AZ184" i="37" s="1"/>
  <c r="AZ191" i="37" a="1"/>
  <c r="AZ191" i="37" s="1"/>
  <c r="AY81" i="37" a="1"/>
  <c r="AY81" i="37" s="1"/>
  <c r="BB108" i="37" a="1"/>
  <c r="BB108" i="37" s="1"/>
  <c r="BC163" i="37" a="1"/>
  <c r="BC163" i="37" s="1"/>
  <c r="BH50" i="37" a="1"/>
  <c r="BH50" i="37" s="1"/>
  <c r="BJ118" i="37" a="1"/>
  <c r="BJ118" i="37" s="1"/>
  <c r="AW211" i="37" a="1"/>
  <c r="AW211" i="37" s="1"/>
  <c r="AW214" i="37" a="1"/>
  <c r="AW214" i="37" s="1"/>
  <c r="BF233" i="37" a="1"/>
  <c r="BF233" i="37" s="1"/>
  <c r="BC91" i="37" a="1"/>
  <c r="BC91" i="37" s="1"/>
  <c r="BH94" i="37" a="1"/>
  <c r="BH94" i="37" s="1"/>
  <c r="BA234" i="37" a="1"/>
  <c r="BA234" i="37" s="1"/>
  <c r="BM120" i="37" a="1"/>
  <c r="BM120" i="37" s="1"/>
  <c r="AZ154" i="37" a="1"/>
  <c r="AZ154" i="37" s="1"/>
  <c r="BH187" i="37" a="1"/>
  <c r="BH187" i="37" s="1"/>
  <c r="AY122" i="37" a="1"/>
  <c r="AY122" i="37" s="1"/>
  <c r="AW262" i="37" a="1"/>
  <c r="AW262" i="37" s="1"/>
  <c r="AZ131" i="37" a="1"/>
  <c r="AZ131" i="37" s="1"/>
  <c r="BI165" i="37" a="1"/>
  <c r="BI165" i="37" s="1"/>
  <c r="BM75" i="37" a="1"/>
  <c r="BM75" i="37" s="1"/>
  <c r="AX164" i="37" a="1"/>
  <c r="AX164" i="37" s="1"/>
  <c r="BF107" i="37" a="1"/>
  <c r="BF107" i="37" s="1"/>
  <c r="AZ95" i="37" a="1"/>
  <c r="AZ95" i="37" s="1"/>
  <c r="AX142" i="37" a="1"/>
  <c r="AX142" i="37" s="1"/>
  <c r="BL202" i="37" a="1"/>
  <c r="BL202" i="37" s="1"/>
  <c r="BM72" i="37" a="1"/>
  <c r="BM72" i="37" s="1"/>
  <c r="AZ239" i="37" a="1"/>
  <c r="AZ239" i="37" s="1"/>
  <c r="BL135" i="37" a="1"/>
  <c r="BL135" i="37" s="1"/>
  <c r="AY165" i="37" a="1"/>
  <c r="AY165" i="37" s="1"/>
  <c r="BF71" i="37" a="1"/>
  <c r="BF71" i="37" s="1"/>
  <c r="BI242" i="37" a="1"/>
  <c r="BI242" i="37" s="1"/>
  <c r="BA143" i="37" a="1"/>
  <c r="BA143" i="37" s="1"/>
  <c r="BF241" i="37" a="1"/>
  <c r="BF241" i="37" s="1"/>
  <c r="AY151" i="37" a="1"/>
  <c r="AY151" i="37" s="1"/>
  <c r="BF128" i="37" a="1"/>
  <c r="BF128" i="37" s="1"/>
  <c r="BC203" i="37" a="1"/>
  <c r="BC203" i="37" s="1"/>
  <c r="BF253" i="37" a="1"/>
  <c r="BF253" i="37" s="1"/>
  <c r="AW157" i="37" a="1"/>
  <c r="AW157" i="37" s="1"/>
  <c r="BB74" i="37" a="1"/>
  <c r="BB74" i="37" s="1"/>
  <c r="BF266" i="37" a="1"/>
  <c r="BF266" i="37" s="1"/>
  <c r="AY71" i="37" a="1"/>
  <c r="AY71" i="37" s="1"/>
  <c r="BH85" i="37" a="1"/>
  <c r="BH85" i="37" s="1"/>
  <c r="AX228" i="37" a="1"/>
  <c r="AX228" i="37" s="1"/>
  <c r="BI91" i="37" a="1"/>
  <c r="BI91" i="37" s="1"/>
  <c r="BC175" i="37" a="1"/>
  <c r="BC175" i="37" s="1"/>
  <c r="AX128" i="37" a="1"/>
  <c r="AX128" i="37" s="1"/>
  <c r="BD83" i="37" a="1"/>
  <c r="BD83" i="37" s="1"/>
  <c r="BC152" i="37" a="1"/>
  <c r="BC152" i="37" s="1"/>
  <c r="BH192" i="37" a="1"/>
  <c r="BH192" i="37" s="1"/>
  <c r="AX199" i="37" a="1"/>
  <c r="AX199" i="37" s="1"/>
  <c r="BE107" i="37" a="1"/>
  <c r="BE107" i="37" s="1"/>
  <c r="BJ179" i="37" a="1"/>
  <c r="BJ179" i="37" s="1"/>
  <c r="BA65" i="37" a="1"/>
  <c r="BA65" i="37" s="1"/>
  <c r="BA89" i="37" a="1"/>
  <c r="BA89" i="37" s="1"/>
  <c r="BC196" i="37" a="1"/>
  <c r="BC196" i="37" s="1"/>
  <c r="BM166" i="37" a="1"/>
  <c r="BM166" i="37" s="1"/>
  <c r="BM154" i="37" a="1"/>
  <c r="BM154" i="37" s="1"/>
  <c r="AX153" i="37" a="1"/>
  <c r="AX153" i="37" s="1"/>
  <c r="BK91" i="37" a="1"/>
  <c r="BK91" i="37" s="1"/>
  <c r="AZ214" i="37" a="1"/>
  <c r="AZ214" i="37" s="1"/>
  <c r="BA208" i="37" a="1"/>
  <c r="BA208" i="37" s="1"/>
  <c r="BJ245" i="37" a="1"/>
  <c r="BJ245" i="37" s="1"/>
  <c r="BA209" i="37" a="1"/>
  <c r="BA209" i="37" s="1"/>
  <c r="BE210" i="37" a="1"/>
  <c r="BE210" i="37" s="1"/>
  <c r="BB140" i="37" a="1"/>
  <c r="BB140" i="37" s="1"/>
  <c r="AW142" i="37" a="1"/>
  <c r="AW142" i="37" s="1"/>
  <c r="BD80" i="37" a="1"/>
  <c r="BD80" i="37" s="1"/>
  <c r="BK182" i="37" a="1"/>
  <c r="BK182" i="37" s="1"/>
  <c r="BL174" i="37" a="1"/>
  <c r="BL174" i="37" s="1"/>
  <c r="BA171" i="37" a="1"/>
  <c r="BA171" i="37" s="1"/>
  <c r="BL282" i="37" a="1"/>
  <c r="BL282" i="37" s="1"/>
  <c r="BI92" i="37" a="1"/>
  <c r="BI92" i="37" s="1"/>
  <c r="BK211" i="37" a="1"/>
  <c r="BK211" i="37" s="1"/>
  <c r="BI130" i="37" a="1"/>
  <c r="BI130" i="37" s="1"/>
  <c r="BC202" i="37" a="1"/>
  <c r="BC202" i="37" s="1"/>
  <c r="AW77" i="37" a="1"/>
  <c r="AW77" i="37" s="1"/>
  <c r="BD173" i="37" a="1"/>
  <c r="BD173" i="37" s="1"/>
  <c r="BD98" i="37" a="1"/>
  <c r="BD98" i="37" s="1"/>
  <c r="AW175" i="37" a="1"/>
  <c r="AW175" i="37" s="1"/>
  <c r="BF125" i="37" a="1"/>
  <c r="BF125" i="37" s="1"/>
  <c r="BJ97" i="37" a="1"/>
  <c r="BJ97" i="37" s="1"/>
  <c r="BD81" i="37" a="1"/>
  <c r="BD81" i="37" s="1"/>
  <c r="BA101" i="37" a="1"/>
  <c r="BA101" i="37" s="1"/>
  <c r="AZ39" i="37" a="1"/>
  <c r="AZ39" i="37" s="1"/>
  <c r="BI99" i="37" a="1"/>
  <c r="BI99" i="37" s="1"/>
  <c r="BC7" i="37" a="1"/>
  <c r="BC7" i="37" s="1"/>
  <c r="AY232" i="37" a="1"/>
  <c r="AY232" i="37" s="1"/>
  <c r="BL99" i="37" a="1"/>
  <c r="BL99" i="37" s="1"/>
  <c r="BA249" i="37" a="1"/>
  <c r="BA249" i="37" s="1"/>
  <c r="AX201" i="37" a="1"/>
  <c r="AX201" i="37" s="1"/>
  <c r="BD175" i="37" a="1"/>
  <c r="BD175" i="37" s="1"/>
  <c r="BJ92" i="37" a="1"/>
  <c r="BJ92" i="37" s="1"/>
  <c r="BJ72" i="37" a="1"/>
  <c r="BJ72" i="37" s="1"/>
  <c r="AX133" i="37" a="1"/>
  <c r="AX133" i="37" s="1"/>
  <c r="BL210" i="37" a="1"/>
  <c r="BL210" i="37" s="1"/>
  <c r="BD79" i="37" a="1"/>
  <c r="BD79" i="37" s="1"/>
  <c r="BF83" i="37" a="1"/>
  <c r="BF83" i="37" s="1"/>
  <c r="BE52" i="37" a="1"/>
  <c r="BE52" i="37" s="1"/>
  <c r="BA130" i="37" a="1"/>
  <c r="BA130" i="37" s="1"/>
  <c r="BC174" i="37" a="1"/>
  <c r="BC174" i="37" s="1"/>
  <c r="BH231" i="37" a="1"/>
  <c r="BH231" i="37" s="1"/>
  <c r="BH172" i="37" a="1"/>
  <c r="BH172" i="37" s="1"/>
  <c r="BB112" i="37" a="1"/>
  <c r="BB112" i="37" s="1"/>
  <c r="BM220" i="37" a="1"/>
  <c r="BM220" i="37" s="1"/>
  <c r="BF44" i="37" a="1"/>
  <c r="BF44" i="37" s="1"/>
  <c r="AY156" i="37" a="1"/>
  <c r="AY156" i="37" s="1"/>
  <c r="BI87" i="37" a="1"/>
  <c r="BI87" i="37" s="1"/>
  <c r="AY159" i="37" a="1"/>
  <c r="AY159" i="37" s="1"/>
  <c r="AX110" i="37" a="1"/>
  <c r="AX110" i="37" s="1"/>
  <c r="BM135" i="37" a="1"/>
  <c r="BM135" i="37" s="1"/>
  <c r="AY97" i="37" a="1"/>
  <c r="AY97" i="37" s="1"/>
  <c r="AX91" i="37" a="1"/>
  <c r="AX91" i="37" s="1"/>
  <c r="AY200" i="37" a="1"/>
  <c r="AY200" i="37" s="1"/>
  <c r="BJ230" i="37" a="1"/>
  <c r="BJ230" i="37" s="1"/>
  <c r="BL214" i="37" a="1"/>
  <c r="BL214" i="37" s="1"/>
  <c r="BH104" i="37" a="1"/>
  <c r="BH104" i="37" s="1"/>
  <c r="BM84" i="37" a="1"/>
  <c r="BM84" i="37" s="1"/>
  <c r="BA217" i="37" a="1"/>
  <c r="BA217" i="37" s="1"/>
  <c r="BA54" i="37" a="1"/>
  <c r="BA54" i="37" s="1"/>
  <c r="BC164" i="37" a="1"/>
  <c r="BC164" i="37" s="1"/>
  <c r="AW183" i="37" a="1"/>
  <c r="AW183" i="37" s="1"/>
  <c r="AY167" i="37" a="1"/>
  <c r="AY167" i="37" s="1"/>
  <c r="BJ197" i="37" a="1"/>
  <c r="BJ197" i="37" s="1"/>
  <c r="BD190" i="37" a="1"/>
  <c r="BD190" i="37" s="1"/>
  <c r="BC70" i="37" a="1"/>
  <c r="BC70" i="37" s="1"/>
  <c r="BE173" i="37" a="1"/>
  <c r="BE173" i="37" s="1"/>
  <c r="BI109" i="37" a="1"/>
  <c r="BI109" i="37" s="1"/>
  <c r="BM211" i="37" a="1"/>
  <c r="BM211" i="37" s="1"/>
  <c r="BB234" i="37" a="1"/>
  <c r="BB234" i="37" s="1"/>
  <c r="BK116" i="37" a="1"/>
  <c r="BK116" i="37" s="1"/>
  <c r="BF195" i="37" a="1"/>
  <c r="BF195" i="37" s="1"/>
  <c r="BF138" i="37" a="1"/>
  <c r="BF138" i="37" s="1"/>
  <c r="AW93" i="37" a="1"/>
  <c r="AW93" i="37" s="1"/>
  <c r="BE43" i="37" a="1"/>
  <c r="BE43" i="37" s="1"/>
  <c r="BJ168" i="37" a="1"/>
  <c r="BJ168" i="37" s="1"/>
  <c r="BC61" i="37" a="1"/>
  <c r="BC61" i="37" s="1"/>
  <c r="BE216" i="37" a="1"/>
  <c r="BE216" i="37" s="1"/>
  <c r="BF194" i="37" a="1"/>
  <c r="BF194" i="37" s="1"/>
  <c r="AW82" i="37" a="1"/>
  <c r="AW82" i="37" s="1"/>
  <c r="BB40" i="37" a="1"/>
  <c r="BB40" i="37" s="1"/>
  <c r="BG77" i="37" a="1"/>
  <c r="BG77" i="37" s="1"/>
  <c r="BE183" i="37" a="1"/>
  <c r="BE183" i="37" s="1"/>
  <c r="BH241" i="37" a="1"/>
  <c r="BH241" i="37" s="1"/>
  <c r="BJ207" i="37" a="1"/>
  <c r="BJ207" i="37" s="1"/>
  <c r="BE145" i="37" a="1"/>
  <c r="BE145" i="37" s="1"/>
  <c r="BA99" i="37" a="1"/>
  <c r="BA99" i="37" s="1"/>
  <c r="BF41" i="37" a="1"/>
  <c r="BF41" i="37" s="1"/>
  <c r="AW21" i="37" a="1"/>
  <c r="AW21" i="37" s="1"/>
  <c r="BC8" i="37" a="1"/>
  <c r="BC8" i="37" s="1"/>
  <c r="BG234" i="37" a="1"/>
  <c r="BG234" i="37" s="1"/>
  <c r="BI12" i="37" a="1"/>
  <c r="BI12" i="37" s="1"/>
  <c r="AY16" i="37" a="1"/>
  <c r="AY16" i="37" s="1"/>
  <c r="BA21" i="37" a="1"/>
  <c r="BA21" i="37" s="1"/>
  <c r="BL9" i="37" a="1"/>
  <c r="BL9" i="37" s="1"/>
  <c r="BL18" i="37" a="1"/>
  <c r="BL18" i="37" s="1"/>
  <c r="BD27" i="37" a="1"/>
  <c r="BD27" i="37" s="1"/>
  <c r="BJ184" i="37" a="1"/>
  <c r="BJ184" i="37" s="1"/>
  <c r="BC11" i="37" a="1"/>
  <c r="BC11" i="37" s="1"/>
  <c r="BF5" i="37" a="1"/>
  <c r="BF5" i="37" s="1"/>
  <c r="BI45" i="37" a="1"/>
  <c r="BI45" i="37" s="1"/>
  <c r="BF17" i="37" a="1"/>
  <c r="BF17" i="37" s="1"/>
  <c r="AW23" i="37" a="1"/>
  <c r="AW23" i="37" s="1"/>
  <c r="BD35" i="37" a="1"/>
  <c r="BD35" i="37" s="1"/>
  <c r="BM30" i="37" a="1"/>
  <c r="BM30" i="37" s="1"/>
  <c r="AX151" i="37" a="1"/>
  <c r="AX151" i="37" s="1"/>
  <c r="BB20" i="37" a="1"/>
  <c r="BB20" i="37" s="1"/>
  <c r="BL33" i="37" a="1"/>
  <c r="BL33" i="37" s="1"/>
  <c r="BI127" i="37" a="1"/>
  <c r="BI127" i="37" s="1"/>
  <c r="BK215" i="37" a="1"/>
  <c r="BK215" i="37" s="1"/>
  <c r="BI30" i="37" a="1"/>
  <c r="BI30" i="37" s="1"/>
  <c r="BD8" i="37" a="1"/>
  <c r="BD8" i="37" s="1"/>
  <c r="BH36" i="37" a="1"/>
  <c r="BH36" i="37" s="1"/>
  <c r="BJ70" i="37" a="1"/>
  <c r="BJ70" i="37" s="1"/>
  <c r="BD22" i="37" a="1"/>
  <c r="BD22" i="37" s="1"/>
  <c r="AY7" i="37" a="1"/>
  <c r="AY7" i="37" s="1"/>
  <c r="AX23" i="37" a="1"/>
  <c r="AX23" i="37" s="1"/>
  <c r="BI10" i="37" a="1"/>
  <c r="BI10" i="37" s="1"/>
  <c r="BH48" i="37" a="1"/>
  <c r="BH48" i="37" s="1"/>
  <c r="BG32" i="37" a="1"/>
  <c r="BG32" i="37" s="1"/>
  <c r="AX34" i="37" a="1"/>
  <c r="AX34" i="37" s="1"/>
  <c r="BJ37" i="37" a="1"/>
  <c r="BJ37" i="37" s="1"/>
  <c r="BL150" i="37" a="1"/>
  <c r="BL150" i="37" s="1"/>
  <c r="BD56" i="37" a="1"/>
  <c r="BD56" i="37" s="1"/>
  <c r="BC21" i="37" a="1"/>
  <c r="BC21" i="37" s="1"/>
  <c r="BF31" i="37" a="1"/>
  <c r="BF31" i="37" s="1"/>
  <c r="BF21" i="37" a="1"/>
  <c r="BF21" i="37" s="1"/>
  <c r="BH24" i="37" a="1"/>
  <c r="BH24" i="37" s="1"/>
  <c r="BH62" i="37" a="1"/>
  <c r="BH62" i="37" s="1"/>
  <c r="BM148" i="37" a="1"/>
  <c r="BM148" i="37" s="1"/>
  <c r="BJ161" i="37" a="1"/>
  <c r="BJ161" i="37" s="1"/>
  <c r="AY63" i="37" a="1"/>
  <c r="AY63" i="37" s="1"/>
  <c r="BB135" i="37" a="1"/>
  <c r="BB135" i="37" s="1"/>
  <c r="BA87" i="37" a="1"/>
  <c r="BA87" i="37" s="1"/>
  <c r="BJ74" i="37" a="1"/>
  <c r="BJ74" i="37" s="1"/>
  <c r="BL58" i="37" a="1"/>
  <c r="BL58" i="37" s="1"/>
  <c r="BC142" i="37" a="1"/>
  <c r="BC142" i="37" s="1"/>
  <c r="BF109" i="37" a="1"/>
  <c r="BF109" i="37" s="1"/>
  <c r="BF155" i="37" a="1"/>
  <c r="BF155" i="37" s="1"/>
  <c r="BA254" i="37" a="1"/>
  <c r="BA254" i="37" s="1"/>
  <c r="BM182" i="37" a="1"/>
  <c r="BM182" i="37" s="1"/>
  <c r="BK184" i="37" a="1"/>
  <c r="BK184" i="37" s="1"/>
  <c r="BM171" i="37" a="1"/>
  <c r="BM171" i="37" s="1"/>
  <c r="BM137" i="37" a="1"/>
  <c r="BM137" i="37" s="1"/>
  <c r="BD66" i="37" a="1"/>
  <c r="BD66" i="37" s="1"/>
  <c r="BB158" i="37" a="1"/>
  <c r="BB158" i="37" s="1"/>
  <c r="BC156" i="37" a="1"/>
  <c r="BC156" i="37" s="1"/>
  <c r="BH38" i="37" a="1"/>
  <c r="BH38" i="37" s="1"/>
  <c r="BJ93" i="37" a="1"/>
  <c r="BJ93" i="37" s="1"/>
  <c r="BF65" i="37" a="1"/>
  <c r="BF65" i="37" s="1"/>
  <c r="AX162" i="37" a="1"/>
  <c r="AX162" i="37" s="1"/>
  <c r="AW182" i="37" a="1"/>
  <c r="AW182" i="37" s="1"/>
  <c r="BD121" i="37" a="1"/>
  <c r="BD121" i="37" s="1"/>
  <c r="BH178" i="37" a="1"/>
  <c r="BH178" i="37" s="1"/>
  <c r="BG222" i="37" a="1"/>
  <c r="BG222" i="37" s="1"/>
  <c r="BB65" i="37" a="1"/>
  <c r="BB65" i="37" s="1"/>
  <c r="BA134" i="37" a="1"/>
  <c r="BA134" i="37" s="1"/>
  <c r="BA57" i="37" a="1"/>
  <c r="BA57" i="37" s="1"/>
  <c r="BB248" i="37" a="1"/>
  <c r="BB248" i="37" s="1"/>
  <c r="BE207" i="37" a="1"/>
  <c r="BE207" i="37" s="1"/>
  <c r="BL46" i="37" a="1"/>
  <c r="BL46" i="37" s="1"/>
  <c r="BM65" i="37" a="1"/>
  <c r="BM65" i="37" s="1"/>
  <c r="BA163" i="37" a="1"/>
  <c r="BA163" i="37" s="1"/>
  <c r="BE182" i="37" a="1"/>
  <c r="BE182" i="37" s="1"/>
  <c r="BK120" i="37" a="1"/>
  <c r="BK120" i="37" s="1"/>
  <c r="AY155" i="37" a="1"/>
  <c r="AY155" i="37" s="1"/>
  <c r="BJ212" i="37" a="1"/>
  <c r="BJ212" i="37" s="1"/>
  <c r="BF268" i="37" a="1"/>
  <c r="BF268" i="37" s="1"/>
  <c r="AX197" i="37" a="1"/>
  <c r="AX197" i="37" s="1"/>
  <c r="BE148" i="37" a="1"/>
  <c r="BE148" i="37" s="1"/>
  <c r="AX180" i="37" a="1"/>
  <c r="AX180" i="37" s="1"/>
  <c r="BI173" i="37" a="1"/>
  <c r="BI173" i="37" s="1"/>
  <c r="BF60" i="37" a="1"/>
  <c r="BF60" i="37" s="1"/>
  <c r="BI11" i="37" a="1"/>
  <c r="BI11" i="37" s="1"/>
  <c r="BA17" i="37" a="1"/>
  <c r="BA17" i="37" s="1"/>
  <c r="BJ58" i="37" a="1"/>
  <c r="BJ58" i="37" s="1"/>
  <c r="BD16" i="37" a="1"/>
  <c r="BD16" i="37" s="1"/>
  <c r="BJ5" i="37" a="1"/>
  <c r="BJ5" i="37" s="1"/>
  <c r="BB54" i="37" a="1"/>
  <c r="BB54" i="37" s="1"/>
  <c r="BG17" i="37" a="1"/>
  <c r="BG17" i="37" s="1"/>
  <c r="BI8" i="37" a="1"/>
  <c r="BI8" i="37" s="1"/>
  <c r="BD88" i="37" a="1"/>
  <c r="BD88" i="37" s="1"/>
  <c r="BI13" i="37" a="1"/>
  <c r="BI13" i="37" s="1"/>
  <c r="BI23" i="37" a="1"/>
  <c r="BI23" i="37" s="1"/>
  <c r="AY18" i="37" a="1"/>
  <c r="AY18" i="37" s="1"/>
  <c r="BE103" i="37" a="1"/>
  <c r="BE103" i="37" s="1"/>
  <c r="AY17" i="37" a="1"/>
  <c r="AY17" i="37" s="1"/>
  <c r="BD21" i="37" a="1"/>
  <c r="BD21" i="37" s="1"/>
  <c r="BJ7" i="37" a="1"/>
  <c r="BJ7" i="37" s="1"/>
  <c r="BF35" i="37" a="1"/>
  <c r="BF35" i="37" s="1"/>
  <c r="BI117" i="37" a="1"/>
  <c r="BI117" i="37" s="1"/>
  <c r="AZ26" i="37" a="1"/>
  <c r="AZ26" i="37" s="1"/>
  <c r="BF14" i="37" a="1"/>
  <c r="BF14" i="37" s="1"/>
  <c r="BK70" i="37" a="1"/>
  <c r="BK70" i="37" s="1"/>
  <c r="AX28" i="37" a="1"/>
  <c r="AX28" i="37" s="1"/>
  <c r="BK37" i="37" a="1"/>
  <c r="BK37" i="37" s="1"/>
  <c r="BE25" i="37" a="1"/>
  <c r="BE25" i="37" s="1"/>
  <c r="BL5" i="37" a="1"/>
  <c r="BL5" i="37" s="1"/>
  <c r="AY90" i="37" a="1"/>
  <c r="AY90" i="37" s="1"/>
  <c r="BL7" i="37" a="1"/>
  <c r="BL7" i="37" s="1"/>
  <c r="BM35" i="37" a="1"/>
  <c r="BM35" i="37" s="1"/>
  <c r="BC30" i="37" a="1"/>
  <c r="BC30" i="37" s="1"/>
  <c r="BH222" i="37" a="1"/>
  <c r="BH222" i="37" s="1"/>
  <c r="BI104" i="37" a="1"/>
  <c r="BI104" i="37" s="1"/>
  <c r="AW34" i="37" a="1"/>
  <c r="AW34" i="37" s="1"/>
  <c r="BM11" i="37" a="1"/>
  <c r="BM11" i="37" s="1"/>
  <c r="AW22" i="37" a="1"/>
  <c r="AW22" i="37" s="1"/>
  <c r="BL112" i="37" a="1"/>
  <c r="BL112" i="37" s="1"/>
  <c r="BJ69" i="37" a="1"/>
  <c r="BJ69" i="37" s="1"/>
  <c r="BC25" i="37" a="1"/>
  <c r="BC25" i="37" s="1"/>
  <c r="BI37" i="37" a="1"/>
  <c r="BI37" i="37" s="1"/>
  <c r="BH125" i="37" a="1"/>
  <c r="BH125" i="37" s="1"/>
  <c r="BG36" i="37" a="1"/>
  <c r="BG36" i="37" s="1"/>
  <c r="BK62" i="37" a="1"/>
  <c r="BK62" i="37" s="1"/>
  <c r="AX39" i="37" a="1"/>
  <c r="AX39" i="37" s="1"/>
  <c r="AW177" i="37" a="1"/>
  <c r="AW177" i="37" s="1"/>
  <c r="BL50" i="37" a="1"/>
  <c r="BL50" i="37" s="1"/>
  <c r="BJ63" i="37" a="1"/>
  <c r="BJ63" i="37" s="1"/>
  <c r="BJ216" i="37" a="1"/>
  <c r="BJ216" i="37" s="1"/>
  <c r="BF207" i="37" a="1"/>
  <c r="BF207" i="37" s="1"/>
  <c r="BD11" i="37" a="1"/>
  <c r="BD11" i="37" s="1"/>
  <c r="BE10" i="37" a="1"/>
  <c r="BE10" i="37" s="1"/>
  <c r="AY12" i="37" a="1"/>
  <c r="AY12" i="37" s="1"/>
  <c r="BF19" i="37" a="1"/>
  <c r="BF19" i="37" s="1"/>
  <c r="AX207" i="37" a="1"/>
  <c r="AX207" i="37" s="1"/>
  <c r="BM100" i="37" a="1"/>
  <c r="BM100" i="37" s="1"/>
  <c r="BK35" i="37" a="1"/>
  <c r="BK35" i="37" s="1"/>
  <c r="BF6" i="37" a="1"/>
  <c r="BF6" i="37" s="1"/>
  <c r="BC15" i="37" a="1"/>
  <c r="BC15" i="37" s="1"/>
  <c r="AW24" i="37" a="1"/>
  <c r="AW24" i="37" s="1"/>
  <c r="BL25" i="37" a="1"/>
  <c r="BL25" i="37" s="1"/>
  <c r="BL100" i="37" a="1"/>
  <c r="BL100" i="37" s="1"/>
  <c r="BE16" i="37" a="1"/>
  <c r="BE16" i="37" s="1"/>
  <c r="BH37" i="37" a="1"/>
  <c r="BH37" i="37" s="1"/>
  <c r="BC37" i="37" a="1"/>
  <c r="BC37" i="37" s="1"/>
  <c r="BC19" i="37" a="1"/>
  <c r="BC19" i="37" s="1"/>
  <c r="BC18" i="37" a="1"/>
  <c r="BC18" i="37" s="1"/>
  <c r="AY95" i="37" a="1"/>
  <c r="AY95" i="37" s="1"/>
  <c r="BG188" i="37" a="1"/>
  <c r="BG188" i="37" s="1"/>
  <c r="BI21" i="37" a="1"/>
  <c r="BI21" i="37" s="1"/>
  <c r="BM21" i="37" a="1"/>
  <c r="BM21" i="37" s="1"/>
  <c r="AW27" i="37" a="1"/>
  <c r="AW27" i="37" s="1"/>
  <c r="BI28" i="37" a="1"/>
  <c r="BI28" i="37" s="1"/>
  <c r="AY51" i="37" a="1"/>
  <c r="AY51" i="37" s="1"/>
  <c r="BH33" i="37" a="1"/>
  <c r="BH33" i="37" s="1"/>
  <c r="BF33" i="37" a="1"/>
  <c r="BF33" i="37" s="1"/>
  <c r="BG26" i="37" a="1"/>
  <c r="BG26" i="37" s="1"/>
  <c r="BL71" i="37" a="1"/>
  <c r="BL71" i="37" s="1"/>
  <c r="BA39" i="37" a="1"/>
  <c r="BA39" i="37" s="1"/>
  <c r="BE22" i="37" a="1"/>
  <c r="BE22" i="37" s="1"/>
  <c r="BA7" i="37" a="1"/>
  <c r="BA7" i="37" s="1"/>
  <c r="AX80" i="37" a="1"/>
  <c r="AX80" i="37" s="1"/>
  <c r="BK17" i="37" a="1"/>
  <c r="BK17" i="37" s="1"/>
  <c r="BJ28" i="37" a="1"/>
  <c r="BJ28" i="37" s="1"/>
  <c r="BJ17" i="37" a="1"/>
  <c r="BJ17" i="37" s="1"/>
  <c r="BB12" i="37" a="1"/>
  <c r="BB12" i="37" s="1"/>
  <c r="BM139" i="37" a="1"/>
  <c r="BM139" i="37" s="1"/>
  <c r="BL28" i="37" a="1"/>
  <c r="BL28" i="37" s="1"/>
  <c r="BM12" i="37" a="1"/>
  <c r="BM12" i="37" s="1"/>
  <c r="BM14" i="37" a="1"/>
  <c r="BM14" i="37" s="1"/>
  <c r="BF146" i="37" a="1"/>
  <c r="BF146" i="37" s="1"/>
  <c r="AY48" i="37" a="1"/>
  <c r="AY48" i="37" s="1"/>
  <c r="BM8" i="37" a="1"/>
  <c r="BM8" i="37" s="1"/>
  <c r="BE23" i="37" a="1"/>
  <c r="BE23" i="37" s="1"/>
  <c r="BJ33" i="37" a="1"/>
  <c r="BJ33" i="37" s="1"/>
  <c r="BH149" i="37" a="1"/>
  <c r="BH149" i="37" s="1"/>
  <c r="BJ123" i="37" a="1"/>
  <c r="BJ123" i="37" s="1"/>
  <c r="AX14" i="37" a="1"/>
  <c r="AX14" i="37" s="1"/>
  <c r="BC36" i="37" a="1"/>
  <c r="BC36" i="37" s="1"/>
  <c r="BL75" i="37" a="1"/>
  <c r="BL75" i="37" s="1"/>
  <c r="BD2" i="37" a="1"/>
  <c r="BD2" i="37" s="1"/>
  <c r="AW257" i="37" a="1"/>
  <c r="AW257" i="37" s="1"/>
  <c r="BH108" i="37" a="1"/>
  <c r="BH108" i="37" s="1"/>
  <c r="BE270" i="37" a="1"/>
  <c r="BE270" i="37" s="1"/>
  <c r="BE118" i="37" a="1"/>
  <c r="BE118" i="37" s="1"/>
  <c r="BC109" i="37" a="1"/>
  <c r="BC109" i="37" s="1"/>
  <c r="BE62" i="37" a="1"/>
  <c r="BE62" i="37" s="1"/>
  <c r="BF226" i="37" a="1"/>
  <c r="BF226" i="37" s="1"/>
  <c r="BF136" i="37" a="1"/>
  <c r="BF136" i="37" s="1"/>
  <c r="BC107" i="37" a="1"/>
  <c r="BC107" i="37" s="1"/>
  <c r="BD57" i="37" a="1"/>
  <c r="BD57" i="37" s="1"/>
  <c r="AY100" i="37" a="1"/>
  <c r="AY100" i="37" s="1"/>
  <c r="AW38" i="37" a="1"/>
  <c r="AW38" i="37" s="1"/>
  <c r="BB179" i="37" a="1"/>
  <c r="BB179" i="37" s="1"/>
  <c r="BI177" i="37" a="1"/>
  <c r="BI177" i="37" s="1"/>
  <c r="AZ194" i="37" a="1"/>
  <c r="AZ194" i="37" s="1"/>
  <c r="BI284" i="37" a="1"/>
  <c r="BI284" i="37" s="1"/>
  <c r="BB152" i="37" a="1"/>
  <c r="BB152" i="37" s="1"/>
  <c r="AX137" i="37" a="1"/>
  <c r="AX137" i="37" s="1"/>
  <c r="BI53" i="37" a="1"/>
  <c r="BI53" i="37" s="1"/>
  <c r="AZ221" i="37" a="1"/>
  <c r="AZ221" i="37" s="1"/>
  <c r="AX125" i="37" a="1"/>
  <c r="AX125" i="37" s="1"/>
  <c r="BM112" i="37" a="1"/>
  <c r="BM112" i="37" s="1"/>
  <c r="BL81" i="37" a="1"/>
  <c r="BL81" i="37" s="1"/>
  <c r="BG190" i="37" a="1"/>
  <c r="BG190" i="37" s="1"/>
  <c r="BG210" i="37" a="1"/>
  <c r="BG210" i="37" s="1"/>
  <c r="BD145" i="37" a="1"/>
  <c r="BD145" i="37" s="1"/>
  <c r="BL279" i="37" a="1"/>
  <c r="BL279" i="37" s="1"/>
  <c r="BG205" i="37" a="1"/>
  <c r="BG205" i="37" s="1"/>
  <c r="BG215" i="37" a="1"/>
  <c r="BG215" i="37" s="1"/>
  <c r="BD64" i="37" a="1"/>
  <c r="BD64" i="37" s="1"/>
  <c r="AW97" i="37" a="1"/>
  <c r="AW97" i="37" s="1"/>
  <c r="BJ46" i="37" a="1"/>
  <c r="BJ46" i="37" s="1"/>
  <c r="BJ149" i="37" a="1"/>
  <c r="BJ149" i="37" s="1"/>
  <c r="BD53" i="37" a="1"/>
  <c r="BD53" i="37" s="1"/>
  <c r="AX101" i="37" a="1"/>
  <c r="AX101" i="37" s="1"/>
  <c r="BL70" i="37" a="1"/>
  <c r="BL70" i="37" s="1"/>
  <c r="BL109" i="37" a="1"/>
  <c r="BL109" i="37" s="1"/>
  <c r="BF18" i="37" a="1"/>
  <c r="BF18" i="37" s="1"/>
  <c r="BI24" i="37" a="1"/>
  <c r="BI24" i="37" s="1"/>
  <c r="AY14" i="37" a="1"/>
  <c r="AY14" i="37" s="1"/>
  <c r="BJ36" i="37" a="1"/>
  <c r="BJ36" i="37" s="1"/>
  <c r="AZ76" i="37" a="1"/>
  <c r="AZ76" i="37" s="1"/>
  <c r="BI94" i="37" a="1"/>
  <c r="BI94" i="37" s="1"/>
  <c r="BC26" i="37" a="1"/>
  <c r="BC26" i="37" s="1"/>
  <c r="AY15" i="37" a="1"/>
  <c r="AY15" i="37" s="1"/>
  <c r="BJ6" i="37" a="1"/>
  <c r="BJ6" i="37" s="1"/>
  <c r="BI6" i="37" a="1"/>
  <c r="BI6" i="37" s="1"/>
  <c r="BI4" i="37" a="1"/>
  <c r="BI4" i="37" s="1"/>
  <c r="BJ78" i="37" a="1"/>
  <c r="BJ78" i="37" s="1"/>
  <c r="BE7" i="37" a="1"/>
  <c r="BE7" i="37" s="1"/>
  <c r="BC16" i="37" a="1"/>
  <c r="BC16" i="37" s="1"/>
  <c r="BC9" i="37" a="1"/>
  <c r="BC9" i="37" s="1"/>
  <c r="BF11" i="37" a="1"/>
  <c r="BF11" i="37" s="1"/>
  <c r="BI26" i="37" a="1"/>
  <c r="BI26" i="37" s="1"/>
  <c r="BM238" i="37" a="1"/>
  <c r="BM238" i="37" s="1"/>
  <c r="AW153" i="37" a="1"/>
  <c r="AW153" i="37" s="1"/>
  <c r="BI27" i="37" a="1"/>
  <c r="BI27" i="37" s="1"/>
  <c r="AW36" i="37" a="1"/>
  <c r="AW36" i="37" s="1"/>
  <c r="BM17" i="37" a="1"/>
  <c r="BM17" i="37" s="1"/>
  <c r="AY35" i="37" a="1"/>
  <c r="AY35" i="37" s="1"/>
  <c r="BC44" i="37" a="1"/>
  <c r="BC44" i="37" s="1"/>
  <c r="BA26" i="37" a="1"/>
  <c r="BA26" i="37" s="1"/>
  <c r="BI5" i="37" a="1"/>
  <c r="BI5" i="37" s="1"/>
  <c r="AW19" i="37" a="1"/>
  <c r="AW19" i="37" s="1"/>
  <c r="AX146" i="37" a="1"/>
  <c r="AX146" i="37" s="1"/>
  <c r="BL64" i="37" a="1"/>
  <c r="BL64" i="37" s="1"/>
  <c r="AY22" i="37" a="1"/>
  <c r="AY22" i="37" s="1"/>
  <c r="AW6" i="37" a="1"/>
  <c r="AW6" i="37" s="1"/>
  <c r="BI81" i="37" a="1"/>
  <c r="BI81" i="37" s="1"/>
  <c r="BA20" i="37" a="1"/>
  <c r="BA20" i="37" s="1"/>
  <c r="BJ18" i="37" a="1"/>
  <c r="BJ18" i="37" s="1"/>
  <c r="AY20" i="37" a="1"/>
  <c r="AY20" i="37" s="1"/>
  <c r="BA14" i="37" a="1"/>
  <c r="BA14" i="37" s="1"/>
  <c r="BJ65" i="37" a="1"/>
  <c r="BJ65" i="37" s="1"/>
  <c r="BA33" i="37" a="1"/>
  <c r="BA33" i="37" s="1"/>
  <c r="BL12" i="37" a="1"/>
  <c r="BL12" i="37" s="1"/>
  <c r="BL31" i="37" a="1"/>
  <c r="BL31" i="37" s="1"/>
  <c r="BJ153" i="37" a="1"/>
  <c r="BJ153" i="37" s="1"/>
  <c r="AW108" i="37" a="1"/>
  <c r="AW108" i="37" s="1"/>
  <c r="BD10" i="37" a="1"/>
  <c r="BD10" i="37" s="1"/>
  <c r="AY8" i="37" a="1"/>
  <c r="AY8" i="37" s="1"/>
  <c r="BD9" i="37" a="1"/>
  <c r="BD9" i="37" s="1"/>
  <c r="AX143" i="37" a="1"/>
  <c r="AX143" i="37" s="1"/>
  <c r="BJ137" i="37" a="1"/>
  <c r="BJ137" i="37" s="1"/>
  <c r="AX12" i="37" a="1"/>
  <c r="AX12" i="37" s="1"/>
  <c r="AY26" i="37" a="1"/>
  <c r="AY26" i="37" s="1"/>
  <c r="BD124" i="37" a="1"/>
  <c r="BD124" i="37" s="1"/>
  <c r="BC6" i="37" a="1"/>
  <c r="BC6" i="37" s="1"/>
  <c r="BH86" i="37" a="1"/>
  <c r="BH86" i="37" s="1"/>
  <c r="BM141" i="37" a="1"/>
  <c r="BM141" i="37" s="1"/>
  <c r="BE204" i="37" a="1"/>
  <c r="BE204" i="37" s="1"/>
  <c r="BA11" i="37" a="1"/>
  <c r="BA11" i="37" s="1"/>
  <c r="AY27" i="37" a="1"/>
  <c r="AY27" i="37" s="1"/>
  <c r="AX8" i="37" a="1"/>
  <c r="AX8" i="37" s="1"/>
  <c r="BI169" i="37" a="1"/>
  <c r="BI169" i="37" s="1"/>
  <c r="AX6" i="37" a="1"/>
  <c r="AX6" i="37" s="1"/>
  <c r="BJ12" i="37" a="1"/>
  <c r="BJ12" i="37" s="1"/>
  <c r="BI152" i="37" a="1"/>
  <c r="BI152" i="37" s="1"/>
  <c r="BK36" i="37" a="1"/>
  <c r="BK36" i="37" s="1"/>
  <c r="BM31" i="37" a="1"/>
  <c r="BM31" i="37" s="1"/>
  <c r="BD59" i="37" a="1"/>
  <c r="BD59" i="37" s="1"/>
  <c r="BH31" i="37" a="1"/>
  <c r="BH31" i="37" s="1"/>
  <c r="BB36" i="37" a="1"/>
  <c r="BB36" i="37" s="1"/>
  <c r="BH26" i="37" a="1"/>
  <c r="BH26" i="37" s="1"/>
  <c r="BB64" i="37" a="1"/>
  <c r="BB64" i="37" s="1"/>
  <c r="BD17" i="37" a="1"/>
  <c r="BD17" i="37" s="1"/>
  <c r="BJ35" i="37" a="1"/>
  <c r="BJ35" i="37" s="1"/>
  <c r="BJ30" i="37" a="1"/>
  <c r="BJ30" i="37" s="1"/>
  <c r="BG155" i="37" a="1"/>
  <c r="BG155" i="37" s="1"/>
  <c r="AW51" i="37" a="1"/>
  <c r="AW51" i="37" s="1"/>
  <c r="AW32" i="37" a="1"/>
  <c r="AW32" i="37" s="1"/>
  <c r="BE9" i="37" a="1"/>
  <c r="BE9" i="37" s="1"/>
  <c r="AY129" i="37" a="1"/>
  <c r="AY129" i="37" s="1"/>
  <c r="BM28" i="37" a="1"/>
  <c r="BM28" i="37" s="1"/>
  <c r="BB10" i="37" a="1"/>
  <c r="BB10" i="37" s="1"/>
  <c r="BL26" i="37" a="1"/>
  <c r="BL26" i="37" s="1"/>
  <c r="BK132" i="37" a="1"/>
  <c r="BK132" i="37" s="1"/>
  <c r="BE79" i="37" a="1"/>
  <c r="BE79" i="37" s="1"/>
  <c r="BB6" i="37" a="1"/>
  <c r="BB6" i="37" s="1"/>
  <c r="BI18" i="37" a="1"/>
  <c r="BI18" i="37" s="1"/>
  <c r="BM9" i="37" a="1"/>
  <c r="BM9" i="37" s="1"/>
  <c r="BL80" i="37" a="1"/>
  <c r="BL80" i="37" s="1"/>
  <c r="AX157" i="37" a="1"/>
  <c r="AX157" i="37" s="1"/>
  <c r="BE30" i="37" a="1"/>
  <c r="BE30" i="37" s="1"/>
  <c r="AY31" i="37" a="1"/>
  <c r="AY31" i="37" s="1"/>
  <c r="AY36" i="37" a="1"/>
  <c r="AY36" i="37" s="1"/>
  <c r="BM53" i="37" a="1"/>
  <c r="BM53" i="37" s="1"/>
  <c r="AX240" i="37" a="1"/>
  <c r="AX240" i="37" s="1"/>
  <c r="BM20" i="37" a="1"/>
  <c r="BM20" i="37" s="1"/>
  <c r="BA108" i="37" a="1"/>
  <c r="BA108" i="37" s="1"/>
  <c r="BB25" i="37" a="1"/>
  <c r="BB25" i="37" s="1"/>
  <c r="BH18" i="37" a="1"/>
  <c r="BH18" i="37" s="1"/>
  <c r="BG86" i="37" a="1"/>
  <c r="BG86" i="37" s="1"/>
  <c r="AY136" i="37" a="1"/>
  <c r="AY136" i="37" s="1"/>
  <c r="BH114" i="37" a="1"/>
  <c r="BH114" i="37" s="1"/>
  <c r="AX92" i="37" a="1"/>
  <c r="AX92" i="37" s="1"/>
  <c r="BI182" i="37" a="1"/>
  <c r="BI182" i="37" s="1"/>
  <c r="BI132" i="37" a="1"/>
  <c r="BI132" i="37" s="1"/>
  <c r="BB87" i="37" a="1"/>
  <c r="BB87" i="37" s="1"/>
  <c r="BL222" i="37" a="1"/>
  <c r="BL222" i="37" s="1"/>
  <c r="BK236" i="37" a="1"/>
  <c r="BK236" i="37" s="1"/>
  <c r="BA66" i="37" a="1"/>
  <c r="BA66" i="37" s="1"/>
  <c r="BE108" i="37" a="1"/>
  <c r="BE108" i="37" s="1"/>
  <c r="BI97" i="37" a="1"/>
  <c r="BI97" i="37" s="1"/>
  <c r="AX213" i="37" a="1"/>
  <c r="AX213" i="37" s="1"/>
  <c r="BA165" i="37" a="1"/>
  <c r="BA165" i="37" s="1"/>
  <c r="BK133" i="37" a="1"/>
  <c r="BK133" i="37" s="1"/>
  <c r="BI70" i="37" a="1"/>
  <c r="BI70" i="37" s="1"/>
  <c r="AX97" i="37" a="1"/>
  <c r="AX97" i="37" s="1"/>
  <c r="BC55" i="37" a="1"/>
  <c r="BC55" i="37" s="1"/>
  <c r="AX179" i="37" a="1"/>
  <c r="AX179" i="37" s="1"/>
  <c r="BE128" i="37" a="1"/>
  <c r="BE128" i="37" s="1"/>
  <c r="BA204" i="37" a="1"/>
  <c r="BA204" i="37" s="1"/>
  <c r="BF134" i="37" a="1"/>
  <c r="BF134" i="37" s="1"/>
  <c r="BI176" i="37" a="1"/>
  <c r="BI176" i="37" s="1"/>
  <c r="BJ96" i="37" a="1"/>
  <c r="BJ96" i="37" s="1"/>
  <c r="BB56" i="37" a="1"/>
  <c r="BB56" i="37" s="1"/>
  <c r="AY112" i="37" a="1"/>
  <c r="AY112" i="37" s="1"/>
  <c r="BD193" i="37" a="1"/>
  <c r="BD193" i="37" s="1"/>
  <c r="BL147" i="37" a="1"/>
  <c r="BL147" i="37" s="1"/>
  <c r="BA115" i="37" a="1"/>
  <c r="BA115" i="37" s="1"/>
  <c r="AW104" i="37" a="1"/>
  <c r="AW104" i="37" s="1"/>
  <c r="AX71" i="37" a="1"/>
  <c r="AX71" i="37" s="1"/>
  <c r="BJ126" i="37" a="1"/>
  <c r="BJ126" i="37" s="1"/>
  <c r="BE142" i="37" a="1"/>
  <c r="BE142" i="37" s="1"/>
  <c r="AY104" i="37" a="1"/>
  <c r="AY104" i="37" s="1"/>
  <c r="BD216" i="37" a="1"/>
  <c r="BD216" i="37" s="1"/>
  <c r="BB219" i="37" a="1"/>
  <c r="BB219" i="37" s="1"/>
  <c r="BF81" i="37" a="1"/>
  <c r="BF81" i="37" s="1"/>
  <c r="AY44" i="37" a="1"/>
  <c r="AY44" i="37" s="1"/>
  <c r="BD62" i="37" a="1"/>
  <c r="BD62" i="37" s="1"/>
  <c r="BJ191" i="37" a="1"/>
  <c r="BJ191" i="37" s="1"/>
  <c r="BE154" i="37" a="1"/>
  <c r="BE154" i="37" s="1"/>
  <c r="BC62" i="37" a="1"/>
  <c r="BC62" i="37" s="1"/>
  <c r="BE48" i="37" a="1"/>
  <c r="BE48" i="37" s="1"/>
  <c r="AW49" i="37" a="1"/>
  <c r="AW49" i="37" s="1"/>
  <c r="BJ218" i="37" a="1"/>
  <c r="BJ218" i="37" s="1"/>
  <c r="BJ139" i="37" a="1"/>
  <c r="BJ139" i="37" s="1"/>
  <c r="BE252" i="37" a="1"/>
  <c r="BE252" i="37" s="1"/>
  <c r="BI135" i="37" a="1"/>
  <c r="BI135" i="37" s="1"/>
  <c r="BB215" i="37" a="1"/>
  <c r="BB215" i="37" s="1"/>
  <c r="BC184" i="37" a="1"/>
  <c r="BC184" i="37" s="1"/>
  <c r="BL134" i="37" a="1"/>
  <c r="BL134" i="37" s="1"/>
  <c r="AY61" i="37" a="1"/>
  <c r="AY61" i="37" s="1"/>
  <c r="AZ112" i="37" a="1"/>
  <c r="AZ112" i="37" s="1"/>
  <c r="BK113" i="37" a="1"/>
  <c r="BK113" i="37" s="1"/>
  <c r="BL21" i="37" a="1"/>
  <c r="BL21" i="37" s="1"/>
  <c r="BD33" i="37" a="1"/>
  <c r="BD33" i="37" s="1"/>
  <c r="AY250" i="37" a="1"/>
  <c r="AY250" i="37" s="1"/>
  <c r="BJ10" i="37" a="1"/>
  <c r="BJ10" i="37" s="1"/>
  <c r="BB17" i="37" a="1"/>
  <c r="BB17" i="37" s="1"/>
  <c r="AX169" i="37" a="1"/>
  <c r="AX169" i="37" s="1"/>
  <c r="BC13" i="37" a="1"/>
  <c r="BC13" i="37" s="1"/>
  <c r="BB19" i="37" a="1"/>
  <c r="BB19" i="37" s="1"/>
  <c r="BF9" i="37" a="1"/>
  <c r="BF9" i="37" s="1"/>
  <c r="AY224" i="37" a="1"/>
  <c r="AY224" i="37" s="1"/>
  <c r="BB5" i="37" a="1"/>
  <c r="BB5" i="37" s="1"/>
  <c r="BE6" i="37" a="1"/>
  <c r="BE6" i="37" s="1"/>
  <c r="AY23" i="37" a="1"/>
  <c r="AY23" i="37" s="1"/>
  <c r="BL74" i="37" a="1"/>
  <c r="BL74" i="37" s="1"/>
  <c r="BF10" i="37" a="1"/>
  <c r="BF10" i="37" s="1"/>
  <c r="AY11" i="37" a="1"/>
  <c r="AY11" i="37" s="1"/>
  <c r="BJ24" i="37" a="1"/>
  <c r="BJ24" i="37" s="1"/>
  <c r="BI73" i="37" a="1"/>
  <c r="BI73" i="37" s="1"/>
  <c r="BB68" i="37" a="1"/>
  <c r="BB68" i="37" s="1"/>
  <c r="BL4" i="37" a="1"/>
  <c r="BL4" i="37" s="1"/>
  <c r="BM15" i="37" a="1"/>
  <c r="BM15" i="37" s="1"/>
  <c r="BH122" i="37" a="1"/>
  <c r="BH122" i="37" s="1"/>
  <c r="BJ4" i="37" a="1"/>
  <c r="BJ4" i="37" s="1"/>
  <c r="BB7" i="37" a="1"/>
  <c r="BB7" i="37" s="1"/>
  <c r="BA25" i="37" a="1"/>
  <c r="BA25" i="37" s="1"/>
  <c r="BM175" i="37" a="1"/>
  <c r="BM175" i="37" s="1"/>
  <c r="BK68" i="37" a="1"/>
  <c r="BK68" i="37" s="1"/>
  <c r="AY9" i="37" a="1"/>
  <c r="AY9" i="37" s="1"/>
  <c r="BD34" i="37" a="1"/>
  <c r="BD34" i="37" s="1"/>
  <c r="BA30" i="37" a="1"/>
  <c r="BA30" i="37" s="1"/>
  <c r="BH96" i="37" a="1"/>
  <c r="BH96" i="37" s="1"/>
  <c r="AX90" i="37" a="1"/>
  <c r="AX90" i="37" s="1"/>
  <c r="AX21" i="37" a="1"/>
  <c r="AX21" i="37" s="1"/>
  <c r="BM5" i="37" a="1"/>
  <c r="BM5" i="37" s="1"/>
  <c r="AX13" i="37" a="1"/>
  <c r="AX13" i="37" s="1"/>
  <c r="AW197" i="37" a="1"/>
  <c r="AW197" i="37" s="1"/>
  <c r="AX24" i="37" a="1"/>
  <c r="AX24" i="37" s="1"/>
  <c r="BH34" i="37" a="1"/>
  <c r="BH34" i="37" s="1"/>
  <c r="BD67" i="37" a="1"/>
  <c r="BD67" i="37" s="1"/>
  <c r="AW16" i="37" a="1"/>
  <c r="AW16" i="37" s="1"/>
  <c r="AZ35" i="37" a="1"/>
  <c r="AZ35" i="37" s="1"/>
  <c r="BD233" i="37" a="1"/>
  <c r="BD233" i="37" s="1"/>
  <c r="AX57" i="37" a="1"/>
  <c r="AX57" i="37" s="1"/>
  <c r="BG35" i="37" a="1"/>
  <c r="BG35" i="37" s="1"/>
  <c r="AX36" i="37" a="1"/>
  <c r="AX36" i="37" s="1"/>
  <c r="BA34" i="37" a="1"/>
  <c r="BA34" i="37" s="1"/>
  <c r="BL32" i="37" a="1"/>
  <c r="BL32" i="37" s="1"/>
  <c r="AW17" i="37" a="1"/>
  <c r="AW17" i="37" s="1"/>
  <c r="BD146" i="37" a="1"/>
  <c r="BD146" i="37" s="1"/>
  <c r="BJ85" i="37" a="1"/>
  <c r="BJ85" i="37" s="1"/>
  <c r="BF20" i="37" a="1"/>
  <c r="BF20" i="37" s="1"/>
  <c r="BJ14" i="37" a="1"/>
  <c r="BJ14" i="37" s="1"/>
  <c r="BA12" i="37" a="1"/>
  <c r="BA12" i="37" s="1"/>
  <c r="BJ19" i="37" a="1"/>
  <c r="BJ19" i="37" s="1"/>
  <c r="BM282" i="37" a="1"/>
  <c r="BM282" i="37" s="1"/>
  <c r="BB173" i="37" a="1"/>
  <c r="BB173" i="37" s="1"/>
  <c r="BD20" i="37" a="1"/>
  <c r="BD20" i="37" s="1"/>
  <c r="AZ17" i="37" a="1"/>
  <c r="AZ17" i="37" s="1"/>
  <c r="BF13" i="37" a="1"/>
  <c r="BF13" i="37" s="1"/>
  <c r="AY24" i="37" a="1"/>
  <c r="AY24" i="37" s="1"/>
  <c r="BM209" i="37" a="1"/>
  <c r="BM209" i="37" s="1"/>
  <c r="BF110" i="37" a="1"/>
  <c r="BF110" i="37" s="1"/>
  <c r="BL35" i="37" a="1"/>
  <c r="BL35" i="37" s="1"/>
  <c r="AX9" i="37" a="1"/>
  <c r="AX9" i="37" s="1"/>
  <c r="BD31" i="37" a="1"/>
  <c r="BD31" i="37" s="1"/>
  <c r="BE13" i="37" a="1"/>
  <c r="BE13" i="37" s="1"/>
  <c r="AW140" i="37" a="1"/>
  <c r="AW140" i="37" s="1"/>
  <c r="AZ158" i="37" a="1"/>
  <c r="AZ158" i="37" s="1"/>
  <c r="BL29" i="37" a="1"/>
  <c r="BL29" i="37" s="1"/>
  <c r="BM22" i="37" a="1"/>
  <c r="BM22" i="37" s="1"/>
  <c r="BB27" i="37" a="1"/>
  <c r="BB27" i="37" s="1"/>
  <c r="BC157" i="37" a="1"/>
  <c r="BC157" i="37" s="1"/>
  <c r="BE112" i="37" a="1"/>
  <c r="BE112" i="37" s="1"/>
  <c r="BA32" i="37" a="1"/>
  <c r="BA32" i="37" s="1"/>
  <c r="BG114" i="37" a="1"/>
  <c r="BG114" i="37" s="1"/>
  <c r="BB63" i="37" a="1"/>
  <c r="BB63" i="37" s="1"/>
  <c r="BD32" i="37" a="1"/>
  <c r="BD32" i="37" s="1"/>
  <c r="AW15" i="37" a="1"/>
  <c r="AW15" i="37" s="1"/>
  <c r="BC35" i="37" a="1"/>
  <c r="BC35" i="37" s="1"/>
  <c r="BF126" i="37" a="1"/>
  <c r="BF126" i="37" s="1"/>
  <c r="AX78" i="37" a="1"/>
  <c r="AX78" i="37" s="1"/>
  <c r="BB22" i="37" a="1"/>
  <c r="BB22" i="37" s="1"/>
  <c r="AW33" i="37" a="1"/>
  <c r="AW33" i="37" s="1"/>
  <c r="BA8" i="37" a="1"/>
  <c r="BA8" i="37" s="1"/>
  <c r="BD134" i="37" a="1"/>
  <c r="BD134" i="37" s="1"/>
  <c r="BA193" i="37" a="1"/>
  <c r="BA193" i="37" s="1"/>
  <c r="AW14" i="37" a="1"/>
  <c r="AW14" i="37" s="1"/>
  <c r="BD12" i="37" a="1"/>
  <c r="BD12" i="37" s="1"/>
  <c r="AY29" i="37" a="1"/>
  <c r="AY29" i="37" s="1"/>
  <c r="BI57" i="37" a="1"/>
  <c r="BI57" i="37" s="1"/>
  <c r="BA31" i="37" a="1"/>
  <c r="BA31" i="37" s="1"/>
  <c r="BL14" i="37" a="1"/>
  <c r="BL14" i="37" s="1"/>
  <c r="AX109" i="37" a="1"/>
  <c r="AX109" i="37" s="1"/>
  <c r="BA19" i="37" a="1"/>
  <c r="BA19" i="37" s="1"/>
  <c r="BH110" i="37" a="1"/>
  <c r="BH110" i="37" s="1"/>
  <c r="AW185" i="37" a="1"/>
  <c r="AW185" i="37" s="1"/>
  <c r="BE129" i="37" a="1"/>
  <c r="BE129" i="37" s="1"/>
  <c r="BL163" i="37" a="1"/>
  <c r="BL163" i="37" s="1"/>
  <c r="BF172" i="37" a="1"/>
  <c r="BF172" i="37" s="1"/>
  <c r="AX159" i="37" a="1"/>
  <c r="AX159" i="37" s="1"/>
  <c r="AX113" i="37" a="1"/>
  <c r="AX113" i="37" s="1"/>
  <c r="BG94" i="37" a="1"/>
  <c r="BG94" i="37" s="1"/>
  <c r="BJ248" i="37" a="1"/>
  <c r="BJ248" i="37" s="1"/>
  <c r="AZ163" i="37" a="1"/>
  <c r="AZ163" i="37" s="1"/>
  <c r="BF137" i="37" a="1"/>
  <c r="BF137" i="37" s="1"/>
  <c r="BH52" i="37" a="1"/>
  <c r="BH52" i="37" s="1"/>
  <c r="AW101" i="37" a="1"/>
  <c r="AW101" i="37" s="1"/>
  <c r="BF212" i="37" a="1"/>
  <c r="BF212" i="37" s="1"/>
  <c r="BA126" i="37" a="1"/>
  <c r="BA126" i="37" s="1"/>
  <c r="BI185" i="37" a="1"/>
  <c r="BI185" i="37" s="1"/>
  <c r="AX108" i="37" a="1"/>
  <c r="AX108" i="37" s="1"/>
  <c r="BH224" i="37" a="1"/>
  <c r="BH224" i="37" s="1"/>
  <c r="BC118" i="37" a="1"/>
  <c r="BC118" i="37" s="1"/>
  <c r="BG40" i="37" a="1"/>
  <c r="BG40" i="37" s="1"/>
  <c r="BE220" i="37" a="1"/>
  <c r="BE220" i="37" s="1"/>
  <c r="BK180" i="37" a="1"/>
  <c r="BK180" i="37" s="1"/>
  <c r="BD119" i="37" a="1"/>
  <c r="BD119" i="37" s="1"/>
  <c r="BK208" i="37" a="1"/>
  <c r="BK208" i="37" s="1"/>
  <c r="BH45" i="37" a="1"/>
  <c r="BH45" i="37" s="1"/>
  <c r="BJ9" i="37" a="1"/>
  <c r="BJ9" i="37" s="1"/>
  <c r="BL13" i="37" a="1"/>
  <c r="BL13" i="37" s="1"/>
  <c r="BA4" i="37" a="1"/>
  <c r="BA4" i="37" s="1"/>
  <c r="BE4" i="37" a="1"/>
  <c r="BE4" i="37" s="1"/>
  <c r="AW28" i="37" a="1"/>
  <c r="AW28" i="37" s="1"/>
  <c r="AX172" i="37" a="1"/>
  <c r="AX172" i="37" s="1"/>
  <c r="AY147" i="37" a="1"/>
  <c r="AY147" i="37" s="1"/>
  <c r="BG34" i="37" a="1"/>
  <c r="BG34" i="37" s="1"/>
  <c r="BA15" i="37" a="1"/>
  <c r="BA15" i="37" s="1"/>
  <c r="BE37" i="37" a="1"/>
  <c r="BE37" i="37" s="1"/>
  <c r="BK20" i="37" a="1"/>
  <c r="BK20" i="37" s="1"/>
  <c r="BA62" i="37" a="1"/>
  <c r="BA62" i="37" s="1"/>
  <c r="AW132" i="37" a="1"/>
  <c r="AW132" i="37" s="1"/>
  <c r="BJ27" i="37" a="1"/>
  <c r="BJ27" i="37" s="1"/>
  <c r="BL11" i="37" a="1"/>
  <c r="BL11" i="37" s="1"/>
  <c r="BE19" i="37" a="1"/>
  <c r="BE19" i="37" s="1"/>
  <c r="BB4" i="37" a="1"/>
  <c r="BB4" i="37" s="1"/>
  <c r="BM190" i="37" a="1"/>
  <c r="BM190" i="37" s="1"/>
  <c r="BI90" i="37" a="1"/>
  <c r="BI90" i="37" s="1"/>
  <c r="AW18" i="37" a="1"/>
  <c r="AW18" i="37" s="1"/>
  <c r="BM32" i="37" a="1"/>
  <c r="BM32" i="37" s="1"/>
  <c r="BF8" i="37" a="1"/>
  <c r="BF8" i="37" s="1"/>
  <c r="AW5" i="37" a="1"/>
  <c r="AW5" i="37" s="1"/>
  <c r="AY183" i="37" a="1"/>
  <c r="AY183" i="37" s="1"/>
  <c r="BB206" i="37" a="1"/>
  <c r="BB206" i="37" s="1"/>
  <c r="BL34" i="37" a="1"/>
  <c r="BL34" i="37" s="1"/>
  <c r="BF25" i="37" a="1"/>
  <c r="BF25" i="37" s="1"/>
  <c r="BL36" i="37" a="1"/>
  <c r="BL36" i="37" s="1"/>
  <c r="BC101" i="37" a="1"/>
  <c r="BC101" i="37" s="1"/>
  <c r="BM121" i="37" a="1"/>
  <c r="BM121" i="37" s="1"/>
  <c r="BE20" i="37" a="1"/>
  <c r="BE20" i="37" s="1"/>
  <c r="BD174" i="37" a="1"/>
  <c r="BD174" i="37" s="1"/>
  <c r="BH100" i="37" a="1"/>
  <c r="BH100" i="37" s="1"/>
  <c r="BA5" i="37" a="1"/>
  <c r="BA5" i="37" s="1"/>
  <c r="BM36" i="37" a="1"/>
  <c r="BM36" i="37" s="1"/>
  <c r="BI31" i="37" a="1"/>
  <c r="BI31" i="37" s="1"/>
  <c r="BJ109" i="37" a="1"/>
  <c r="BJ109" i="37" s="1"/>
  <c r="AX85" i="37" a="1"/>
  <c r="AX85" i="37" s="1"/>
  <c r="BM18" i="37" a="1"/>
  <c r="BM18" i="37" s="1"/>
  <c r="BJ26" i="37" a="1"/>
  <c r="BJ26" i="37" s="1"/>
  <c r="AX32" i="37" a="1"/>
  <c r="AX32" i="37" s="1"/>
  <c r="BE95" i="37" a="1"/>
  <c r="BE95" i="37" s="1"/>
  <c r="AZ34" i="37" a="1"/>
  <c r="AZ34" i="37" s="1"/>
  <c r="AY32" i="37" a="1"/>
  <c r="AY32" i="37" s="1"/>
  <c r="BC33" i="37" a="1"/>
  <c r="BC33" i="37" s="1"/>
  <c r="BD13" i="37" a="1"/>
  <c r="BD13" i="37" s="1"/>
  <c r="BB86" i="37" a="1"/>
  <c r="BB86" i="37" s="1"/>
  <c r="BJ22" i="37" a="1"/>
  <c r="BJ22" i="37" s="1"/>
  <c r="BJ20" i="37" a="1"/>
  <c r="BJ20" i="37" s="1"/>
  <c r="AX26" i="37" a="1"/>
  <c r="AX26" i="37" s="1"/>
  <c r="BE26" i="37" a="1"/>
  <c r="BE26" i="37" s="1"/>
  <c r="AX206" i="37" a="1"/>
  <c r="AX206" i="37" s="1"/>
  <c r="AY144" i="37" a="1"/>
  <c r="AY144" i="37" s="1"/>
  <c r="BA111" i="37" a="1"/>
  <c r="BA111" i="37" s="1"/>
  <c r="BL10" i="37" a="1"/>
  <c r="BL10" i="37" s="1"/>
  <c r="BF16" i="37" a="1"/>
  <c r="BF16" i="37" s="1"/>
  <c r="BL48" i="37" a="1"/>
  <c r="BL48" i="37" s="1"/>
  <c r="BI19" i="37" a="1"/>
  <c r="BI19" i="37" s="1"/>
  <c r="BL17" i="37" a="1"/>
  <c r="BL17" i="37" s="1"/>
  <c r="BH237" i="37" a="1"/>
  <c r="BH237" i="37" s="1"/>
  <c r="BM23" i="37" a="1"/>
  <c r="BM23" i="37" s="1"/>
  <c r="BE17" i="37" a="1"/>
  <c r="BE17" i="37" s="1"/>
  <c r="BK159" i="37" a="1"/>
  <c r="BK159" i="37" s="1"/>
  <c r="BE12" i="37" a="1"/>
  <c r="BE12" i="37" s="1"/>
  <c r="BM29" i="37" a="1"/>
  <c r="BM29" i="37" s="1"/>
  <c r="BE14" i="37" a="1"/>
  <c r="BE14" i="37" s="1"/>
  <c r="BE120" i="37" a="1"/>
  <c r="BE120" i="37" s="1"/>
  <c r="BB102" i="37" a="1"/>
  <c r="BB102" i="37" s="1"/>
  <c r="BF28" i="37" a="1"/>
  <c r="BF28" i="37" s="1"/>
  <c r="AW10" i="37" a="1"/>
  <c r="AW10" i="37" s="1"/>
  <c r="BK32" i="37" a="1"/>
  <c r="BK32" i="37" s="1"/>
  <c r="BL189" i="37" a="1"/>
  <c r="BL189" i="37" s="1"/>
  <c r="AX166" i="37" a="1"/>
  <c r="AX166" i="37" s="1"/>
  <c r="AY4" i="37" a="1"/>
  <c r="AY4" i="37" s="1"/>
  <c r="BH131" i="37" a="1"/>
  <c r="BH131" i="37" s="1"/>
  <c r="BM103" i="37" a="1"/>
  <c r="BM103" i="37" s="1"/>
  <c r="AX18" i="37" a="1"/>
  <c r="AX18" i="37" s="1"/>
  <c r="AZ31" i="37" a="1"/>
  <c r="AZ31" i="37" s="1"/>
  <c r="AZ36" i="37" a="1"/>
  <c r="AZ36" i="37" s="1"/>
  <c r="BC182" i="37" a="1"/>
  <c r="BC182" i="37" s="1"/>
  <c r="AY223" i="37" a="1"/>
  <c r="AY223" i="37" s="1"/>
  <c r="AY10" i="37" a="1"/>
  <c r="AY10" i="37" s="1"/>
  <c r="AZ32" i="37" a="1"/>
  <c r="AZ32" i="37" s="1"/>
  <c r="BD24" i="37" a="1"/>
  <c r="BD24" i="37" s="1"/>
  <c r="AY66" i="37" a="1"/>
  <c r="AY66" i="37" s="1"/>
  <c r="BF24" i="37" a="1"/>
  <c r="BF24" i="37" s="1"/>
  <c r="BL6" i="37" a="1"/>
  <c r="BL6" i="37" s="1"/>
  <c r="BD28" i="37" a="1"/>
  <c r="BD28" i="37" s="1"/>
  <c r="BB13" i="37" a="1"/>
  <c r="BB13" i="37" s="1"/>
  <c r="BD58" i="37" a="1"/>
  <c r="BD58" i="37" s="1"/>
  <c r="BB29" i="37" a="1"/>
  <c r="BB29" i="37" s="1"/>
  <c r="BM27" i="37" a="1"/>
  <c r="BM27" i="37" s="1"/>
  <c r="BJ8" i="37" a="1"/>
  <c r="BJ8" i="37" s="1"/>
  <c r="AX15" i="37" a="1"/>
  <c r="AX15" i="37" s="1"/>
  <c r="BD139" i="37" a="1"/>
  <c r="BD139" i="37" s="1"/>
  <c r="AW206" i="37" a="1"/>
  <c r="AW206" i="37" s="1"/>
  <c r="BC241" i="37" a="1"/>
  <c r="BC241" i="37" s="1"/>
  <c r="BB131" i="37" a="1"/>
  <c r="BB131" i="37" s="1"/>
  <c r="BJ209" i="37" a="1"/>
  <c r="BJ209" i="37" s="1"/>
  <c r="BE66" i="37" a="1"/>
  <c r="BE66" i="37" s="1"/>
  <c r="BK39" i="37" a="1"/>
  <c r="BK39" i="37" s="1"/>
  <c r="BK169" i="37" a="1"/>
  <c r="BK169" i="37" s="1"/>
  <c r="BF182" i="37" a="1"/>
  <c r="BF182" i="37" s="1"/>
  <c r="AX106" i="37" a="1"/>
  <c r="AX106" i="37" s="1"/>
  <c r="AX45" i="37" a="1"/>
  <c r="AX45" i="37" s="1"/>
  <c r="AW207" i="37" a="1"/>
  <c r="AW207" i="37" s="1"/>
  <c r="AY221" i="37" a="1"/>
  <c r="AY221" i="37" s="1"/>
  <c r="BD149" i="37" a="1"/>
  <c r="BD149" i="37" s="1"/>
  <c r="BD192" i="37" a="1"/>
  <c r="BD192" i="37" s="1"/>
  <c r="AZ73" i="37" a="1"/>
  <c r="AZ73" i="37" s="1"/>
  <c r="AX184" i="37" a="1"/>
  <c r="AX184" i="37" s="1"/>
  <c r="BF152" i="37" a="1"/>
  <c r="BF152" i="37" s="1"/>
  <c r="BJ112" i="37" a="1"/>
  <c r="BJ112" i="37" s="1"/>
  <c r="BJ278" i="37" a="1"/>
  <c r="BJ278" i="37" s="1"/>
  <c r="BA155" i="37" a="1"/>
  <c r="BA155" i="37" s="1"/>
  <c r="AX264" i="37" a="1"/>
  <c r="AX264" i="37" s="1"/>
  <c r="BK73" i="37" a="1"/>
  <c r="BK73" i="37" s="1"/>
  <c r="BG97" i="37" a="1"/>
  <c r="BG97" i="37" s="1"/>
  <c r="BG75" i="37" a="1"/>
  <c r="BG75" i="37" s="1"/>
  <c r="BB185" i="37" a="1"/>
  <c r="BB185" i="37" s="1"/>
  <c r="BJ175" i="37" a="1"/>
  <c r="BJ175" i="37" s="1"/>
  <c r="BI195" i="37" a="1"/>
  <c r="BI195" i="37" s="1"/>
  <c r="BM183" i="37" a="1"/>
  <c r="BM183" i="37" s="1"/>
  <c r="BL170" i="37" a="1"/>
  <c r="BL170" i="37" s="1"/>
  <c r="BK95" i="37" a="1"/>
  <c r="BK95" i="37" s="1"/>
  <c r="BB84" i="37" a="1"/>
  <c r="BB84" i="37" s="1"/>
  <c r="BF108" i="37" a="1"/>
  <c r="BF108" i="37" s="1"/>
  <c r="BD243" i="37" a="1"/>
  <c r="BD243" i="37" s="1"/>
  <c r="BK33" i="37" a="1"/>
  <c r="BK33" i="37" s="1"/>
  <c r="AW26" i="37" a="1"/>
  <c r="AW26" i="37" s="1"/>
  <c r="BL23" i="37" a="1"/>
  <c r="BL23" i="37" s="1"/>
  <c r="BH223" i="37" a="1"/>
  <c r="BH223" i="37" s="1"/>
  <c r="AY28" i="37" a="1"/>
  <c r="AY28" i="37" s="1"/>
  <c r="BD23" i="37" a="1"/>
  <c r="BD23" i="37" s="1"/>
  <c r="BG122" i="37" a="1"/>
  <c r="BG122" i="37" s="1"/>
  <c r="BB30" i="37" a="1"/>
  <c r="BB30" i="37" s="1"/>
  <c r="BK26" i="37" a="1"/>
  <c r="BK26" i="37" s="1"/>
  <c r="BI136" i="37" a="1"/>
  <c r="BI136" i="37" s="1"/>
  <c r="AX17" i="37" a="1"/>
  <c r="AX17" i="37" s="1"/>
  <c r="AY25" i="37" a="1"/>
  <c r="AY25" i="37" s="1"/>
  <c r="AY107" i="37" a="1"/>
  <c r="AY107" i="37" s="1"/>
  <c r="BD141" i="37" a="1"/>
  <c r="BD141" i="37" s="1"/>
  <c r="BJ34" i="37" a="1"/>
  <c r="BJ34" i="37" s="1"/>
  <c r="BF26" i="37" a="1"/>
  <c r="BF26" i="37" s="1"/>
  <c r="BH20" i="37" a="1"/>
  <c r="BH20" i="37" s="1"/>
  <c r="BB59" i="37" a="1"/>
  <c r="BB59" i="37" s="1"/>
  <c r="BM25" i="37" a="1"/>
  <c r="BM25" i="37" s="1"/>
  <c r="BA18" i="37" a="1"/>
  <c r="BA18" i="37" s="1"/>
  <c r="BL96" i="37" a="1"/>
  <c r="BL96" i="37" s="1"/>
  <c r="BI103" i="37" a="1"/>
  <c r="BI103" i="37" s="1"/>
  <c r="BM34" i="37" a="1"/>
  <c r="BM34" i="37" s="1"/>
  <c r="BF34" i="37" a="1"/>
  <c r="BF34" i="37" s="1"/>
  <c r="BD29" i="37" a="1"/>
  <c r="BD29" i="37" s="1"/>
  <c r="BI61" i="37" a="1"/>
  <c r="BI61" i="37" s="1"/>
  <c r="BB34" i="37" a="1"/>
  <c r="BB34" i="37" s="1"/>
  <c r="AW35" i="37" a="1"/>
  <c r="AW35" i="37" s="1"/>
  <c r="BB18" i="37" a="1"/>
  <c r="BB18" i="37" s="1"/>
  <c r="BC10" i="37" a="1"/>
  <c r="BC10" i="37" s="1"/>
  <c r="AW129" i="37" a="1"/>
  <c r="AW129" i="37" s="1"/>
  <c r="BB31" i="37" a="1"/>
  <c r="BB31" i="37" s="1"/>
  <c r="AW9" i="37" a="1"/>
  <c r="AW9" i="37" s="1"/>
  <c r="BB23" i="37" a="1"/>
  <c r="BB23" i="37" s="1"/>
  <c r="BL19" i="37" a="1"/>
  <c r="BL19" i="37" s="1"/>
  <c r="BF49" i="37" a="1"/>
  <c r="BF49" i="37" s="1"/>
  <c r="BA16" i="37" a="1"/>
  <c r="BA16" i="37" s="1"/>
  <c r="BE18" i="37" a="1"/>
  <c r="BE18" i="37" s="1"/>
  <c r="BA6" i="37" a="1"/>
  <c r="BA6" i="37" s="1"/>
  <c r="BL27" i="37" a="1"/>
  <c r="BL27" i="37" s="1"/>
  <c r="AW84" i="37" a="1"/>
  <c r="AW84" i="37" s="1"/>
  <c r="BG220" i="37" a="1"/>
  <c r="BG220" i="37" s="1"/>
  <c r="BJ164" i="37" a="1"/>
  <c r="BJ164" i="37" s="1"/>
  <c r="AX46" i="37" a="1"/>
  <c r="AX46" i="37" s="1"/>
  <c r="BD266" i="37" a="1"/>
  <c r="BD266" i="37" s="1"/>
  <c r="BA125" i="37" a="1"/>
  <c r="BA125" i="37" s="1"/>
  <c r="BJ21" i="37" a="1"/>
  <c r="BJ21" i="37" s="1"/>
  <c r="BF12" i="37" a="1"/>
  <c r="BF12" i="37" s="1"/>
  <c r="BE33" i="37" a="1"/>
  <c r="BE33" i="37" s="1"/>
  <c r="AX4" i="37" a="1"/>
  <c r="AX4" i="37" s="1"/>
  <c r="AX35" i="37" a="1"/>
  <c r="AX35" i="37" s="1"/>
  <c r="BB90" i="37" a="1"/>
  <c r="BB90" i="37" s="1"/>
  <c r="BB14" i="37" a="1"/>
  <c r="BB14" i="37" s="1"/>
  <c r="BF4" i="37" a="1"/>
  <c r="BF4" i="37" s="1"/>
  <c r="AX27" i="37" a="1"/>
  <c r="AX27" i="37" s="1"/>
  <c r="AX7" i="37" a="1"/>
  <c r="AX7" i="37" s="1"/>
  <c r="AW30" i="37" a="1"/>
  <c r="AW30" i="37" s="1"/>
  <c r="BM99" i="37" a="1"/>
  <c r="BM99" i="37" s="1"/>
  <c r="BJ113" i="37" a="1"/>
  <c r="BJ113" i="37" s="1"/>
  <c r="AW25" i="37" a="1"/>
  <c r="AW25" i="37" s="1"/>
  <c r="AX30" i="37" a="1"/>
  <c r="AX30" i="37" s="1"/>
  <c r="AY6" i="37" a="1"/>
  <c r="AY6" i="37" s="1"/>
  <c r="BE15" i="37" a="1"/>
  <c r="BE15" i="37" s="1"/>
  <c r="BJ162" i="37" a="1"/>
  <c r="BJ162" i="37" s="1"/>
  <c r="BB98" i="37" a="1"/>
  <c r="BB98" i="37" s="1"/>
  <c r="AW31" i="37" a="1"/>
  <c r="AW31" i="37" s="1"/>
  <c r="BB24" i="37" a="1"/>
  <c r="BB24" i="37" s="1"/>
  <c r="BC32" i="37" a="1"/>
  <c r="BC32" i="37" s="1"/>
  <c r="BF23" i="37" a="1"/>
  <c r="BF23" i="37" s="1"/>
  <c r="BA196" i="37" a="1"/>
  <c r="BA196" i="37" s="1"/>
  <c r="BH227" i="37" a="1"/>
  <c r="BH227" i="37" s="1"/>
  <c r="BA24" i="37" a="1"/>
  <c r="BA24" i="37" s="1"/>
  <c r="BA37" i="37" a="1"/>
  <c r="BA37" i="37" s="1"/>
  <c r="BD7" i="37" a="1"/>
  <c r="BD7" i="37" s="1"/>
  <c r="BA112" i="37" a="1"/>
  <c r="BA112" i="37" s="1"/>
  <c r="BL20" i="37" a="1"/>
  <c r="BL20" i="37" s="1"/>
  <c r="BB26" i="37" a="1"/>
  <c r="BB26" i="37" s="1"/>
  <c r="AY181" i="37" a="1"/>
  <c r="AY181" i="37" s="1"/>
  <c r="BM94" i="37" a="1"/>
  <c r="BM94" i="37" s="1"/>
  <c r="AX11" i="37" a="1"/>
  <c r="AX11" i="37" s="1"/>
  <c r="BI34" i="37" a="1"/>
  <c r="BI34" i="37" s="1"/>
  <c r="BC4" i="37" a="1"/>
  <c r="BC4" i="37" s="1"/>
  <c r="AY65" i="37" a="1"/>
  <c r="AY65" i="37" s="1"/>
  <c r="BG37" i="37" a="1"/>
  <c r="BG37" i="37" s="1"/>
  <c r="BM37" i="37" a="1"/>
  <c r="BM37" i="37" s="1"/>
  <c r="BE28" i="37" a="1"/>
  <c r="BE28" i="37" s="1"/>
  <c r="BE8" i="37" a="1"/>
  <c r="BE8" i="37" s="1"/>
  <c r="BD68" i="37" a="1"/>
  <c r="BD68" i="37" s="1"/>
  <c r="BA23" i="37" a="1"/>
  <c r="BA23" i="37" s="1"/>
  <c r="AX29" i="37" a="1"/>
  <c r="AX29" i="37" s="1"/>
  <c r="BC24" i="37" a="1"/>
  <c r="BC24" i="37" s="1"/>
  <c r="BD26" i="37" a="1"/>
  <c r="BD26" i="37" s="1"/>
  <c r="BF59" i="37" a="1"/>
  <c r="BF59" i="37" s="1"/>
  <c r="BJ13" i="37" a="1"/>
  <c r="BJ13" i="37" s="1"/>
  <c r="BM6" i="37" a="1"/>
  <c r="BM6" i="37" s="1"/>
  <c r="BF30" i="37" a="1"/>
  <c r="BF30" i="37" s="1"/>
  <c r="AX25" i="37" a="1"/>
  <c r="AX25" i="37" s="1"/>
  <c r="BE49" i="37" a="1"/>
  <c r="BE49" i="37" s="1"/>
  <c r="BF248" i="37" a="1"/>
  <c r="BF248" i="37" s="1"/>
  <c r="BJ163" i="37" a="1"/>
  <c r="BJ163" i="37" s="1"/>
  <c r="AZ113" i="37" a="1"/>
  <c r="AZ113" i="37" s="1"/>
  <c r="BM73" i="37" a="1"/>
  <c r="BM73" i="37" s="1"/>
  <c r="AW105" i="37" a="1"/>
  <c r="AW105" i="37" s="1"/>
  <c r="BK43" i="37" a="1"/>
  <c r="BK43" i="37" s="1"/>
  <c r="BC181" i="37" a="1"/>
  <c r="BC181" i="37" s="1"/>
  <c r="BB150" i="37" a="1"/>
  <c r="BB150" i="37" s="1"/>
  <c r="BG135" i="37" a="1"/>
  <c r="BG135" i="37" s="1"/>
  <c r="BG217" i="37" a="1"/>
  <c r="BG217" i="37" s="1"/>
  <c r="BA104" i="37" a="1"/>
  <c r="BA104" i="37" s="1"/>
  <c r="AZ80" i="37" a="1"/>
  <c r="AZ80" i="37" s="1"/>
  <c r="BC104" i="37" a="1"/>
  <c r="BC104" i="37" s="1"/>
  <c r="BH265" i="37" a="1"/>
  <c r="BH265" i="37" s="1"/>
  <c r="BJ152" i="37" a="1"/>
  <c r="BJ152" i="37" s="1"/>
  <c r="BK181" i="37" a="1"/>
  <c r="BK181" i="37" s="1"/>
  <c r="BA61" i="37" a="1"/>
  <c r="BA61" i="37" s="1"/>
  <c r="BC150" i="37" a="1"/>
  <c r="BC150" i="37" s="1"/>
  <c r="BD182" i="37" a="1"/>
  <c r="BD182" i="37" s="1"/>
  <c r="BI183" i="37" a="1"/>
  <c r="BI183" i="37" s="1"/>
  <c r="AX161" i="37" a="1"/>
  <c r="AX161" i="37" s="1"/>
  <c r="BL199" i="37" a="1"/>
  <c r="BL199" i="37" s="1"/>
  <c r="AW271" i="37" a="1"/>
  <c r="AW271" i="37" s="1"/>
  <c r="BE126" i="37" a="1"/>
  <c r="BE126" i="37" s="1"/>
  <c r="BL162" i="37" a="1"/>
  <c r="BL162" i="37" s="1"/>
  <c r="BK41" i="37" a="1"/>
  <c r="BK41" i="37" s="1"/>
  <c r="BH284" i="37" a="1"/>
  <c r="BH284" i="37" s="1"/>
  <c r="BH116" i="37" a="1"/>
  <c r="BH116" i="37" s="1"/>
  <c r="BB111" i="37" a="1"/>
  <c r="BB111" i="37" s="1"/>
  <c r="AW145" i="37" a="1"/>
  <c r="AW145" i="37" s="1"/>
  <c r="BD38" i="37" a="1"/>
  <c r="BD38" i="37" s="1"/>
  <c r="BD40" i="37" a="1"/>
  <c r="BD40" i="37" s="1"/>
  <c r="BK170" i="37" a="1"/>
  <c r="BK170" i="37" s="1"/>
  <c r="AY158" i="37" a="1"/>
  <c r="AY158" i="37" s="1"/>
  <c r="AY163" i="37" a="1"/>
  <c r="AY163" i="37" s="1"/>
  <c r="BE238" i="37" a="1"/>
  <c r="BE238" i="37" s="1"/>
  <c r="BL193" i="37" a="1"/>
  <c r="BL193" i="37" s="1"/>
  <c r="AW130" i="37" a="1"/>
  <c r="AW130" i="37" s="1"/>
  <c r="BA56" i="37" a="1"/>
  <c r="BA56" i="37" s="1"/>
  <c r="AY210" i="37" a="1"/>
  <c r="AY210" i="37" s="1"/>
  <c r="BF56" i="37" a="1"/>
  <c r="BF56" i="37" s="1"/>
  <c r="BB44" i="37" a="1"/>
  <c r="BB44" i="37" s="1"/>
  <c r="BA119" i="37" a="1"/>
  <c r="BA119" i="37" s="1"/>
  <c r="BG156" i="37" a="1"/>
  <c r="BG156" i="37" s="1"/>
  <c r="BI7" i="37" a="1"/>
  <c r="BI7" i="37" s="1"/>
  <c r="BM26" i="37" a="1"/>
  <c r="BM26" i="37" s="1"/>
  <c r="BI36" i="37" a="1"/>
  <c r="BI36" i="37" s="1"/>
  <c r="BK34" i="37" a="1"/>
  <c r="BK34" i="37" s="1"/>
  <c r="AZ159" i="37" a="1"/>
  <c r="AZ159" i="37" s="1"/>
  <c r="AW62" i="37" a="1"/>
  <c r="AW62" i="37" s="1"/>
  <c r="AX33" i="37" a="1"/>
  <c r="AX33" i="37" s="1"/>
  <c r="AX5" i="37" a="1"/>
  <c r="AX5" i="37" s="1"/>
  <c r="BJ31" i="37" a="1"/>
  <c r="BJ31" i="37" s="1"/>
  <c r="AY19" i="37" a="1"/>
  <c r="AY19" i="37" s="1"/>
  <c r="BK31" i="37" a="1"/>
  <c r="BK31" i="37" s="1"/>
  <c r="BB157" i="37" a="1"/>
  <c r="BB157" i="37" s="1"/>
  <c r="BJ16" i="37" a="1"/>
  <c r="BJ16" i="37" s="1"/>
  <c r="BI29" i="37" a="1"/>
  <c r="BI29" i="37" s="1"/>
  <c r="BE5" i="37" a="1"/>
  <c r="BE5" i="37" s="1"/>
  <c r="AY33" i="37" a="1"/>
  <c r="AY33" i="37" s="1"/>
  <c r="BE34" i="37" a="1"/>
  <c r="BE34" i="37" s="1"/>
  <c r="AX211" i="37" a="1"/>
  <c r="AX211" i="37" s="1"/>
  <c r="BM178" i="37" a="1"/>
  <c r="BM178" i="37" s="1"/>
  <c r="BB32" i="37" a="1"/>
  <c r="BB32" i="37" s="1"/>
  <c r="BD15" i="37" a="1"/>
  <c r="BD15" i="37" s="1"/>
  <c r="BI9" i="37" a="1"/>
  <c r="BI9" i="37" s="1"/>
  <c r="AY34" i="37" a="1"/>
  <c r="AY34" i="37" s="1"/>
  <c r="BE53" i="37" a="1"/>
  <c r="BE53" i="37" s="1"/>
  <c r="BF22" i="37" a="1"/>
  <c r="BF22" i="37" s="1"/>
  <c r="AX19" i="37" a="1"/>
  <c r="AX19" i="37" s="1"/>
  <c r="BD18" i="37" a="1"/>
  <c r="BD18" i="37" s="1"/>
  <c r="BH32" i="37" a="1"/>
  <c r="BH32" i="37" s="1"/>
  <c r="AY98" i="37" a="1"/>
  <c r="AY98" i="37" s="1"/>
  <c r="BB16" i="37" a="1"/>
  <c r="BB16" i="37" s="1"/>
  <c r="BC20" i="37" a="1"/>
  <c r="BC20" i="37" s="1"/>
  <c r="BB93" i="37" a="1"/>
  <c r="BB93" i="37" s="1"/>
  <c r="AW123" i="37" a="1"/>
  <c r="AW123" i="37" s="1"/>
  <c r="BM33" i="37" a="1"/>
  <c r="BM33" i="37" s="1"/>
  <c r="BD4" i="37" a="1"/>
  <c r="BD4" i="37" s="1"/>
  <c r="BE29" i="37" a="1"/>
  <c r="BE29" i="37" s="1"/>
  <c r="BA141" i="37" a="1"/>
  <c r="BA141" i="37" s="1"/>
  <c r="BG31" i="37" a="1"/>
  <c r="BG31" i="37" s="1"/>
  <c r="BB35" i="37" a="1"/>
  <c r="BB35" i="37" s="1"/>
  <c r="AY21" i="37" a="1"/>
  <c r="AY21" i="37" s="1"/>
  <c r="AZ33" i="37" a="1"/>
  <c r="AZ33" i="37" s="1"/>
  <c r="BF62" i="37" a="1"/>
  <c r="BF62" i="37" s="1"/>
  <c r="BA35" i="37" a="1"/>
  <c r="BA35" i="37" s="1"/>
  <c r="BA13" i="37" a="1"/>
  <c r="BA13" i="37" s="1"/>
  <c r="BC34" i="37" a="1"/>
  <c r="BC34" i="37" s="1"/>
  <c r="BD169" i="37" a="1"/>
  <c r="BD169" i="37" s="1"/>
  <c r="BI66" i="37" a="1"/>
  <c r="BI66" i="37" s="1"/>
  <c r="BA36" i="37" a="1"/>
  <c r="BA36" i="37" s="1"/>
  <c r="BD5" i="37" a="1"/>
  <c r="BD5" i="37" s="1"/>
  <c r="BL8" i="37" a="1"/>
  <c r="BL8" i="37" s="1"/>
  <c r="BH7" i="37" a="1"/>
  <c r="BH7" i="37" s="1"/>
  <c r="BF27" i="37" a="1"/>
  <c r="BF27" i="37" s="1"/>
  <c r="AY5" i="37" a="1"/>
  <c r="AY5" i="37" s="1"/>
  <c r="BA29" i="37" a="1"/>
  <c r="BA29" i="37" s="1"/>
  <c r="BI131" i="37" a="1"/>
  <c r="BI131" i="37" s="1"/>
  <c r="BC51" i="37" a="1"/>
  <c r="BC51" i="37" s="1"/>
  <c r="BE242" i="37" a="1"/>
  <c r="BE242" i="37" s="1"/>
  <c r="BI17" i="37" a="1"/>
  <c r="BI17" i="37" s="1"/>
  <c r="BC5" i="37" a="1"/>
  <c r="BC5" i="37" s="1"/>
  <c r="BM16" i="37" a="1"/>
  <c r="BM16" i="37" s="1"/>
  <c r="BA10" i="37" a="1"/>
  <c r="BA10" i="37" s="1"/>
  <c r="BG33" i="37" a="1"/>
  <c r="BG33" i="37" s="1"/>
  <c r="BC17" i="37" a="1"/>
  <c r="BC17" i="37" s="1"/>
  <c r="AZ44" i="37" a="1"/>
  <c r="AZ44" i="37" s="1"/>
  <c r="BM87" i="37" a="1"/>
  <c r="BM87" i="37" s="1"/>
  <c r="BD165" i="37" a="1"/>
  <c r="BD165" i="37" s="1"/>
  <c r="BB37" i="37" a="1"/>
  <c r="BB37" i="37" s="1"/>
  <c r="AX37" i="37" a="1"/>
  <c r="AX37" i="37" s="1"/>
  <c r="BE31" i="37" a="1"/>
  <c r="BE31" i="37" s="1"/>
  <c r="BF32" i="37" a="1"/>
  <c r="BF32" i="37" s="1"/>
  <c r="BH35" i="37" a="1"/>
  <c r="BH35" i="37" s="1"/>
  <c r="BI25" i="37" a="1"/>
  <c r="BI25" i="37" s="1"/>
  <c r="BJ29" i="37" a="1"/>
  <c r="BJ29" i="37" s="1"/>
  <c r="BF36" i="37" a="1"/>
  <c r="BF36" i="37" s="1"/>
  <c r="BH28" i="37" a="1"/>
  <c r="BH28" i="37" s="1"/>
  <c r="BD30" i="37" a="1"/>
  <c r="BD30" i="37" s="1"/>
  <c r="AX22" i="37" a="1"/>
  <c r="AX22" i="37" s="1"/>
  <c r="BL24" i="37" a="1"/>
  <c r="BL24" i="37" s="1"/>
  <c r="BD36" i="37" a="1"/>
  <c r="BD36" i="37" s="1"/>
  <c r="BK50" i="37" a="1"/>
  <c r="BK50" i="37" s="1"/>
  <c r="BG253" i="37" a="1"/>
  <c r="BG253" i="37" s="1"/>
  <c r="BH9" i="37" a="1"/>
  <c r="BH9" i="37" s="1"/>
  <c r="N2" i="1"/>
  <c r="AZ14" i="37" a="1"/>
  <c r="AZ14" i="37" s="1"/>
  <c r="AZ50" i="37" a="1"/>
  <c r="AZ50" i="37" s="1"/>
  <c r="AZ277" i="37" a="1"/>
  <c r="AZ277" i="37" s="1"/>
  <c r="BK21" i="37" a="1"/>
  <c r="BK21" i="37" s="1"/>
  <c r="AW20" i="37" a="1"/>
  <c r="AW20" i="37" s="1"/>
  <c r="BE98" i="37" a="1"/>
  <c r="BE98" i="37" s="1"/>
  <c r="BC43" i="37" a="1"/>
  <c r="BC43" i="37" s="1"/>
  <c r="BF105" i="37" a="1"/>
  <c r="BF105" i="37" s="1"/>
  <c r="BL37" i="37" a="1"/>
  <c r="BL37" i="37" s="1"/>
  <c r="AY13" i="37" a="1"/>
  <c r="AY13" i="37" s="1"/>
  <c r="BI32" i="37" a="1"/>
  <c r="BI32" i="37" s="1"/>
  <c r="BJ32" i="37" a="1"/>
  <c r="BJ32" i="37" s="1"/>
  <c r="BB8" i="37" a="1"/>
  <c r="BB8" i="37" s="1"/>
  <c r="BI16" i="37" a="1"/>
  <c r="BI16" i="37" s="1"/>
  <c r="BD25" i="37" a="1"/>
  <c r="BD25" i="37" s="1"/>
  <c r="BA92" i="37" a="1"/>
  <c r="BA92" i="37" s="1"/>
  <c r="BC155" i="37" a="1"/>
  <c r="BC155" i="37" s="1"/>
  <c r="BH150" i="37" a="1"/>
  <c r="BH150" i="37" s="1"/>
  <c r="AZ20" i="37" a="1"/>
  <c r="AZ20" i="37" s="1"/>
  <c r="BA9" i="37" a="1"/>
  <c r="BA9" i="37" s="1"/>
  <c r="BL22" i="37" a="1"/>
  <c r="BL22" i="37" s="1"/>
  <c r="BB9" i="37" a="1"/>
  <c r="BB9" i="37" s="1"/>
  <c r="BM7" i="37" a="1"/>
  <c r="BM7" i="37" s="1"/>
  <c r="BH17" i="37" a="1"/>
  <c r="BH17" i="37" s="1"/>
  <c r="AX16" i="37" a="1"/>
  <c r="AX16" i="37" s="1"/>
  <c r="BH11" i="37" a="1"/>
  <c r="BH11" i="37" s="1"/>
  <c r="BH30" i="37" a="1"/>
  <c r="BH30" i="37" s="1"/>
  <c r="BH14" i="37" a="1"/>
  <c r="BH14" i="37" s="1"/>
  <c r="BH10" i="37" a="1"/>
  <c r="BH10" i="37" s="1"/>
  <c r="BI33" i="37" a="1"/>
  <c r="BI33" i="37" s="1"/>
  <c r="BH8" i="37" a="1"/>
  <c r="BH8" i="37" s="1"/>
  <c r="BG2" i="37" a="1"/>
  <c r="BG2" i="37" s="1"/>
  <c r="BK241" i="37" a="1"/>
  <c r="BK241" i="37" s="1"/>
  <c r="BH253" i="37" a="1"/>
  <c r="BH253" i="37" s="1"/>
  <c r="BG265" i="37" a="1"/>
  <c r="BG265" i="37" s="1"/>
  <c r="AZ45" i="37" a="1"/>
  <c r="AZ45" i="37" s="1"/>
  <c r="AZ129" i="37" a="1"/>
  <c r="AZ129" i="37" s="1"/>
  <c r="BG62" i="37" a="1"/>
  <c r="BG62" i="37" s="1"/>
  <c r="BK86" i="37" a="1"/>
  <c r="BK86" i="37" s="1"/>
  <c r="AZ265" i="37" a="1"/>
  <c r="AZ265" i="37" s="1"/>
  <c r="BG129" i="37" a="1"/>
  <c r="BG129" i="37" s="1"/>
  <c r="AX31" i="37" a="1"/>
  <c r="AX31" i="37" s="1"/>
  <c r="AW4" i="37" a="1"/>
  <c r="AW4" i="37" s="1"/>
  <c r="AW7" i="37" a="1"/>
  <c r="AW7" i="37" s="1"/>
  <c r="BE191" i="37" a="1"/>
  <c r="BE191" i="37" s="1"/>
  <c r="BI50" i="37" a="1"/>
  <c r="BI50" i="37" s="1"/>
  <c r="BF63" i="37" a="1"/>
  <c r="BF63" i="37" s="1"/>
  <c r="AW37" i="37" a="1"/>
  <c r="AW37" i="37" s="1"/>
  <c r="BL16" i="37" a="1"/>
  <c r="BL16" i="37" s="1"/>
  <c r="BI14" i="37" a="1"/>
  <c r="BI14" i="37" s="1"/>
  <c r="BJ11" i="37" a="1"/>
  <c r="BJ11" i="37" s="1"/>
  <c r="BL30" i="37" a="1"/>
  <c r="BL30" i="37" s="1"/>
  <c r="BD6" i="37" a="1"/>
  <c r="BD6" i="37" s="1"/>
  <c r="BD19" i="37" a="1"/>
  <c r="BD19" i="37" s="1"/>
  <c r="BH106" i="37" a="1"/>
  <c r="BH106" i="37" s="1"/>
  <c r="BJ81" i="37" a="1"/>
  <c r="BJ81" i="37" s="1"/>
  <c r="BF37" i="37" a="1"/>
  <c r="BF37" i="37" s="1"/>
  <c r="BD14" i="37" a="1"/>
  <c r="BD14" i="37" s="1"/>
  <c r="AW13" i="37" a="1"/>
  <c r="AW13" i="37" s="1"/>
  <c r="BE27" i="37" a="1"/>
  <c r="BE27" i="37" s="1"/>
  <c r="BM19" i="37" a="1"/>
  <c r="BM19" i="37" s="1"/>
  <c r="BI35" i="37" a="1"/>
  <c r="BI35" i="37" s="1"/>
  <c r="BI15" i="37" a="1"/>
  <c r="BI15" i="37" s="1"/>
  <c r="AW11" i="37" a="1"/>
  <c r="AW11" i="37" s="1"/>
  <c r="BH12" i="37" a="1"/>
  <c r="BH12" i="37" s="1"/>
  <c r="BC28" i="37" a="1"/>
  <c r="BC28" i="37" s="1"/>
  <c r="BH22" i="37" a="1"/>
  <c r="BH22" i="37" s="1"/>
  <c r="AY37" i="37" a="1"/>
  <c r="AY37" i="37" s="1"/>
  <c r="BC29" i="37" a="1"/>
  <c r="BC29" i="37" s="1"/>
  <c r="BH27" i="37" a="1"/>
  <c r="BH27" i="37" s="1"/>
  <c r="BH2" i="37" a="1"/>
  <c r="BH2" i="37" s="1"/>
  <c r="BK146" i="37" a="1"/>
  <c r="BK146" i="37" s="1"/>
  <c r="BG110" i="37" a="1"/>
  <c r="BG110" i="37" s="1"/>
  <c r="BK253" i="37" a="1"/>
  <c r="BK253" i="37" s="1"/>
  <c r="BK45" i="37" a="1"/>
  <c r="BK45" i="37" s="1"/>
  <c r="BK57" i="37" a="1"/>
  <c r="BK57" i="37" s="1"/>
  <c r="BG93" i="37" a="1"/>
  <c r="BG93" i="37" s="1"/>
  <c r="BK7" i="37" a="1"/>
  <c r="BK7" i="37" s="1"/>
  <c r="BK103" i="37" a="1"/>
  <c r="BK103" i="37" s="1"/>
  <c r="BG50" i="37" a="1"/>
  <c r="BG50" i="37" s="1"/>
  <c r="BG241" i="37" a="1"/>
  <c r="BG241" i="37" s="1"/>
  <c r="AZ253" i="37" a="1"/>
  <c r="AZ253" i="37" s="1"/>
  <c r="BK277" i="37" a="1"/>
  <c r="BK277" i="37" s="1"/>
  <c r="BA22" i="37" a="1"/>
  <c r="BA22" i="37" s="1"/>
  <c r="BC14" i="37" a="1"/>
  <c r="BC14" i="37" s="1"/>
  <c r="AY30" i="37" a="1"/>
  <c r="AY30" i="37" s="1"/>
  <c r="BJ15" i="37" a="1"/>
  <c r="BJ15" i="37" s="1"/>
  <c r="BE11" i="37" a="1"/>
  <c r="BE11" i="37" s="1"/>
  <c r="BI22" i="37" a="1"/>
  <c r="BI22" i="37" s="1"/>
  <c r="BC12" i="37" a="1"/>
  <c r="BC12" i="37" s="1"/>
  <c r="BD74" i="37" a="1"/>
  <c r="BD74" i="37" s="1"/>
  <c r="BA47" i="37" a="1"/>
  <c r="BA47" i="37" s="1"/>
  <c r="BG195" i="37" a="1"/>
  <c r="BG195" i="37" s="1"/>
  <c r="BC22" i="37" a="1"/>
  <c r="BC22" i="37" s="1"/>
  <c r="BM24" i="37" a="1"/>
  <c r="BM24" i="37" s="1"/>
  <c r="AX10" i="37" a="1"/>
  <c r="AX10" i="37" s="1"/>
  <c r="AW8" i="37" a="1"/>
  <c r="AW8" i="37" s="1"/>
  <c r="BF29" i="37" a="1"/>
  <c r="BF29" i="37" s="1"/>
  <c r="BM10" i="37" a="1"/>
  <c r="BM10" i="37" s="1"/>
  <c r="AW272" i="37" a="1"/>
  <c r="AW272" i="37" s="1"/>
  <c r="BL160" i="37" a="1"/>
  <c r="BL160" i="37" s="1"/>
  <c r="BB55" i="37" a="1"/>
  <c r="BB55" i="37" s="1"/>
  <c r="BM4" i="37" a="1"/>
  <c r="BM4" i="37" s="1"/>
  <c r="BJ25" i="37" a="1"/>
  <c r="BJ25" i="37" s="1"/>
  <c r="BC31" i="37" a="1"/>
  <c r="BC31" i="37" s="1"/>
  <c r="BB21" i="37" a="1"/>
  <c r="BB21" i="37" s="1"/>
  <c r="BE35" i="37" a="1"/>
  <c r="BE35" i="37" s="1"/>
  <c r="BM13" i="37" a="1"/>
  <c r="BM13" i="37" s="1"/>
  <c r="AX20" i="37" a="1"/>
  <c r="AX20" i="37" s="1"/>
  <c r="BH25" i="37" a="1"/>
  <c r="BH25" i="37" s="1"/>
  <c r="BB11" i="37" a="1"/>
  <c r="BB11" i="37" s="1"/>
  <c r="BH19" i="37" a="1"/>
  <c r="BH19" i="37" s="1"/>
  <c r="BB33" i="37" a="1"/>
  <c r="BB33" i="37" s="1"/>
  <c r="BH23" i="37" a="1"/>
  <c r="BH23" i="37" s="1"/>
  <c r="BH13" i="37" a="1"/>
  <c r="BH13" i="37" s="1"/>
  <c r="AD2" i="1"/>
  <c r="BK14" i="37" a="1"/>
  <c r="BK14" i="37" s="1"/>
  <c r="BK110" i="37" a="1"/>
  <c r="BK110" i="37" s="1"/>
  <c r="BG146" i="37" a="1"/>
  <c r="BG146" i="37" s="1"/>
  <c r="BH277" i="37" a="1"/>
  <c r="BH277" i="37" s="1"/>
  <c r="BG21" i="37" a="1"/>
  <c r="BG21" i="37" s="1"/>
  <c r="BG45" i="37" a="1"/>
  <c r="BG45" i="37" s="1"/>
  <c r="BK2" i="37" a="1"/>
  <c r="BK2" i="37" s="1"/>
  <c r="AZ241" i="37" a="1"/>
  <c r="AZ241" i="37" s="1"/>
  <c r="BK265" i="37" a="1"/>
  <c r="BK265" i="37" s="1"/>
  <c r="BK9" i="37" a="1"/>
  <c r="BK9" i="37" s="1"/>
  <c r="AW12" i="37" a="1"/>
  <c r="AW12" i="37" s="1"/>
  <c r="BC23" i="37" a="1"/>
  <c r="BC23" i="37" s="1"/>
  <c r="AX140" i="37" a="1"/>
  <c r="AX140" i="37" s="1"/>
  <c r="BJ55" i="37" a="1"/>
  <c r="BJ55" i="37" s="1"/>
  <c r="BE192" i="37" a="1"/>
  <c r="BE192" i="37" s="1"/>
  <c r="BE36" i="37" a="1"/>
  <c r="BE36" i="37" s="1"/>
  <c r="BD37" i="37" a="1"/>
  <c r="BD37" i="37" s="1"/>
  <c r="BI20" i="37" a="1"/>
  <c r="BI20" i="37" s="1"/>
  <c r="BB15" i="37" a="1"/>
  <c r="BB15" i="37" s="1"/>
  <c r="BE24" i="37" a="1"/>
  <c r="BE24" i="37" s="1"/>
  <c r="BG20" i="37" a="1"/>
  <c r="BG20" i="37" s="1"/>
  <c r="BF74" i="37" a="1"/>
  <c r="BF74" i="37" s="1"/>
  <c r="BF75" i="37" a="1"/>
  <c r="BF75" i="37" s="1"/>
  <c r="BI144" i="37" a="1"/>
  <c r="BI144" i="37" s="1"/>
  <c r="BC27" i="37" a="1"/>
  <c r="BC27" i="37" s="1"/>
  <c r="BB28" i="37" a="1"/>
  <c r="BB28" i="37" s="1"/>
  <c r="BF7" i="37" a="1"/>
  <c r="BF7" i="37" s="1"/>
  <c r="BE32" i="37" a="1"/>
  <c r="BE32" i="37" s="1"/>
  <c r="BA28" i="37" a="1"/>
  <c r="BA28" i="37" s="1"/>
  <c r="BL15" i="37" a="1"/>
  <c r="BL15" i="37" s="1"/>
  <c r="AZ37" i="37" a="1"/>
  <c r="AZ37" i="37" s="1"/>
  <c r="AW29" i="37" a="1"/>
  <c r="AW29" i="37" s="1"/>
  <c r="BA27" i="37" a="1"/>
  <c r="BA27" i="37" s="1"/>
  <c r="BH21" i="37" a="1"/>
  <c r="BH21" i="37" s="1"/>
  <c r="BE21" i="37" a="1"/>
  <c r="BE21" i="37" s="1"/>
  <c r="BF15" i="37" a="1"/>
  <c r="BF15" i="37" s="1"/>
  <c r="BH15" i="37" a="1"/>
  <c r="BH15" i="37" s="1"/>
  <c r="BK105" i="37" a="1"/>
  <c r="BK105" i="37" s="1"/>
  <c r="BG14" i="37" a="1"/>
  <c r="BG14" i="37" s="1"/>
  <c r="AZ62" i="37" a="1"/>
  <c r="AZ62" i="37" s="1"/>
  <c r="AZ86" i="37" a="1"/>
  <c r="AZ86" i="37" s="1"/>
  <c r="AZ110" i="37" a="1"/>
  <c r="AZ110" i="37" s="1"/>
  <c r="AZ146" i="37" a="1"/>
  <c r="AZ146" i="37" s="1"/>
  <c r="BG277" i="37" a="1"/>
  <c r="BG277" i="37" s="1"/>
  <c r="AZ248" i="37" a="1"/>
  <c r="AZ248" i="37" s="1"/>
  <c r="BK272" i="37" a="1"/>
  <c r="BK272" i="37" s="1"/>
  <c r="AZ284" i="37" a="1"/>
  <c r="AZ284" i="37" s="1"/>
  <c r="BK67" i="37" a="1"/>
  <c r="BK67" i="37" s="1"/>
  <c r="AZ127" i="37" a="1"/>
  <c r="AZ127" i="37" s="1"/>
  <c r="BG270" i="37" a="1"/>
  <c r="BG270" i="37" s="1"/>
  <c r="BG15" i="37" a="1"/>
  <c r="BG15" i="37" s="1"/>
  <c r="BK29" i="37" a="1"/>
  <c r="BK29" i="37" s="1"/>
  <c r="AZ87" i="37" a="1"/>
  <c r="AZ87" i="37" s="1"/>
  <c r="BK19" i="37" a="1"/>
  <c r="BK19" i="37" s="1"/>
  <c r="BG55" i="37" a="1"/>
  <c r="BG55" i="37" s="1"/>
  <c r="AZ67" i="37" a="1"/>
  <c r="AZ67" i="37" s="1"/>
  <c r="AZ103" i="37" a="1"/>
  <c r="AZ103" i="37" s="1"/>
  <c r="AZ175" i="37" a="1"/>
  <c r="AZ175" i="37" s="1"/>
  <c r="BK258" i="37" a="1"/>
  <c r="BK258" i="37" s="1"/>
  <c r="AZ282" i="37" a="1"/>
  <c r="AZ282" i="37" s="1"/>
  <c r="BK27" i="37" a="1"/>
  <c r="BK27" i="37" s="1"/>
  <c r="BH63" i="37" a="1"/>
  <c r="BH63" i="37" s="1"/>
  <c r="BH93" i="37" a="1"/>
  <c r="BH93" i="37" s="1"/>
  <c r="BG141" i="37" a="1"/>
  <c r="BG141" i="37" s="1"/>
  <c r="BG260" i="37" a="1"/>
  <c r="BG260" i="37" s="1"/>
  <c r="BG246" i="37" a="1"/>
  <c r="BG246" i="37" s="1"/>
  <c r="BH258" i="37" a="1"/>
  <c r="BH258" i="37" s="1"/>
  <c r="AZ51" i="37" a="1"/>
  <c r="AZ51" i="37" s="1"/>
  <c r="AZ21" i="37" a="1"/>
  <c r="AZ21" i="37" s="1"/>
  <c r="BG57" i="37" a="1"/>
  <c r="BG57" i="37" s="1"/>
  <c r="AZ105" i="37" a="1"/>
  <c r="AZ105" i="37" s="1"/>
  <c r="BK200" i="37" a="1"/>
  <c r="BK200" i="37" s="1"/>
  <c r="AZ272" i="37" a="1"/>
  <c r="AZ272" i="37" s="1"/>
  <c r="AZ19" i="37" a="1"/>
  <c r="AZ19" i="37" s="1"/>
  <c r="AZ55" i="37" a="1"/>
  <c r="AZ55" i="37" s="1"/>
  <c r="AZ270" i="37" a="1"/>
  <c r="AZ270" i="37" s="1"/>
  <c r="AZ63" i="37" a="1"/>
  <c r="AZ63" i="37" s="1"/>
  <c r="BK23" i="37" a="1"/>
  <c r="BK23" i="37" s="1"/>
  <c r="AZ65" i="37" a="1"/>
  <c r="AZ65" i="37" s="1"/>
  <c r="BH81" i="37" a="1"/>
  <c r="BH81" i="37" s="1"/>
  <c r="BG81" i="37" a="1"/>
  <c r="BG81" i="37" s="1"/>
  <c r="BH200" i="37" a="1"/>
  <c r="BH200" i="37" s="1"/>
  <c r="BK127" i="37" a="1"/>
  <c r="BK127" i="37" s="1"/>
  <c r="BH246" i="37" a="1"/>
  <c r="BH246" i="37" s="1"/>
  <c r="BK87" i="37" a="1"/>
  <c r="BK87" i="37" s="1"/>
  <c r="BG9" i="37" a="1"/>
  <c r="BG9" i="37" s="1"/>
  <c r="BK141" i="37" a="1"/>
  <c r="BK141" i="37" s="1"/>
  <c r="BK177" i="37" a="1"/>
  <c r="BK177" i="37" s="1"/>
  <c r="BG248" i="37" a="1"/>
  <c r="BG248" i="37" s="1"/>
  <c r="BG7" i="37" a="1"/>
  <c r="BG7" i="37" s="1"/>
  <c r="BK93" i="37" a="1"/>
  <c r="BK93" i="37" s="1"/>
  <c r="BK129" i="37" a="1"/>
  <c r="BK129" i="37" s="1"/>
  <c r="BK260" i="37" a="1"/>
  <c r="BK260" i="37" s="1"/>
  <c r="BK175" i="37" a="1"/>
  <c r="BK175" i="37" s="1"/>
  <c r="BK282" i="37" a="1"/>
  <c r="BK282" i="37" s="1"/>
  <c r="BK63" i="37" a="1"/>
  <c r="BK63" i="37" s="1"/>
  <c r="BG87" i="37" a="1"/>
  <c r="BG87" i="37" s="1"/>
  <c r="BG11" i="37" a="1"/>
  <c r="BG11" i="37" s="1"/>
  <c r="BG286" i="37" a="1"/>
  <c r="BG286" i="37" s="1"/>
  <c r="AZ9" i="37" a="1"/>
  <c r="AZ9" i="37" s="1"/>
  <c r="BK81" i="37" a="1"/>
  <c r="BK81" i="37" s="1"/>
  <c r="AZ93" i="37" a="1"/>
  <c r="AZ93" i="37" s="1"/>
  <c r="AZ260" i="37" a="1"/>
  <c r="AZ260" i="37" s="1"/>
  <c r="BG284" i="37" a="1"/>
  <c r="BG284" i="37" s="1"/>
  <c r="AZ7" i="37" a="1"/>
  <c r="AZ7" i="37" s="1"/>
  <c r="AZ258" i="37" a="1"/>
  <c r="AZ258" i="37" s="1"/>
  <c r="BG51" i="37" a="1"/>
  <c r="BG51" i="37" s="1"/>
  <c r="BG177" i="37" a="1"/>
  <c r="BG177" i="37" s="1"/>
  <c r="BG200" i="37" a="1"/>
  <c r="BG200" i="37" s="1"/>
  <c r="BG272" i="37" a="1"/>
  <c r="BG272" i="37" s="1"/>
  <c r="BH67" i="37" a="1"/>
  <c r="BH67" i="37" s="1"/>
  <c r="BG67" i="37" a="1"/>
  <c r="BG67" i="37" s="1"/>
  <c r="BG103" i="37" a="1"/>
  <c r="BG103" i="37" s="1"/>
  <c r="BK246" i="37" a="1"/>
  <c r="BK246" i="37" s="1"/>
  <c r="BK270" i="37" a="1"/>
  <c r="BK270" i="37" s="1"/>
  <c r="BH282" i="37" a="1"/>
  <c r="BH282" i="37" s="1"/>
  <c r="AZ27" i="37" a="1"/>
  <c r="AZ27" i="37" s="1"/>
  <c r="BK101" i="37" a="1"/>
  <c r="BK101" i="37" s="1"/>
  <c r="AZ57" i="37" a="1"/>
  <c r="AZ57" i="37" s="1"/>
  <c r="AZ81" i="37" a="1"/>
  <c r="AZ81" i="37" s="1"/>
  <c r="BG105" i="37" a="1"/>
  <c r="BG105" i="37" s="1"/>
  <c r="AZ141" i="37" a="1"/>
  <c r="AZ141" i="37" s="1"/>
  <c r="AZ177" i="37" a="1"/>
  <c r="AZ177" i="37" s="1"/>
  <c r="AZ200" i="37" a="1"/>
  <c r="AZ200" i="37" s="1"/>
  <c r="BK248" i="37" a="1"/>
  <c r="BK248" i="37" s="1"/>
  <c r="BG19" i="37" a="1"/>
  <c r="BG19" i="37" s="1"/>
  <c r="BK55" i="37" a="1"/>
  <c r="BK55" i="37" s="1"/>
  <c r="BG175" i="37" a="1"/>
  <c r="BG175" i="37" s="1"/>
  <c r="AZ246" i="37" a="1"/>
  <c r="AZ246" i="37" s="1"/>
  <c r="BK15" i="37" a="1"/>
  <c r="BK15" i="37" s="1"/>
  <c r="BG63" i="37" a="1"/>
  <c r="BG63" i="37" s="1"/>
  <c r="BK284" i="37" a="1"/>
  <c r="BK284" i="37" s="1"/>
  <c r="BG127" i="37" a="1"/>
  <c r="BG127" i="37" s="1"/>
  <c r="BG258" i="37" a="1"/>
  <c r="BG258" i="37" s="1"/>
  <c r="BG282" i="37" a="1"/>
  <c r="BG282" i="37" s="1"/>
  <c r="BH87" i="37" a="1"/>
  <c r="BH87" i="37" s="1"/>
  <c r="BK11" i="37" a="1"/>
  <c r="BK11" i="37" s="1"/>
  <c r="BK47" i="37" a="1"/>
  <c r="BK47" i="37" s="1"/>
  <c r="BG143" i="37" a="1"/>
  <c r="BG143" i="37" s="1"/>
  <c r="BH286" i="37" a="1"/>
  <c r="BH286" i="37" s="1"/>
  <c r="BK268" i="37" a="1"/>
  <c r="BK268" i="37" s="1"/>
  <c r="AZ47" i="37" a="1"/>
  <c r="AZ47" i="37" s="1"/>
  <c r="BK83" i="37" a="1"/>
  <c r="BK83" i="37" s="1"/>
  <c r="BK107" i="37" a="1"/>
  <c r="BK107" i="37" s="1"/>
  <c r="BG202" i="37" a="1"/>
  <c r="BG202" i="37" s="1"/>
  <c r="BK262" i="37" a="1"/>
  <c r="BK262" i="37" s="1"/>
  <c r="BG5" i="37" a="1"/>
  <c r="BG5" i="37" s="1"/>
  <c r="AZ53" i="37" a="1"/>
  <c r="AZ53" i="37" s="1"/>
  <c r="AZ149" i="37" a="1"/>
  <c r="AZ149" i="37" s="1"/>
  <c r="AZ173" i="37" a="1"/>
  <c r="AZ173" i="37" s="1"/>
  <c r="BH244" i="37" a="1"/>
  <c r="BH244" i="37" s="1"/>
  <c r="BK256" i="37" a="1"/>
  <c r="BK256" i="37" s="1"/>
  <c r="BG59" i="37" a="1"/>
  <c r="BG59" i="37" s="1"/>
  <c r="BH107" i="37" a="1"/>
  <c r="BH107" i="37" s="1"/>
  <c r="BG101" i="37" a="1"/>
  <c r="BG101" i="37" s="1"/>
  <c r="BG125" i="37" a="1"/>
  <c r="BG125" i="37" s="1"/>
  <c r="AZ24" i="37" a="1"/>
  <c r="AZ24" i="37" s="1"/>
  <c r="BG48" i="37" a="1"/>
  <c r="BG48" i="37" s="1"/>
  <c r="AZ23" i="37" a="1"/>
  <c r="AZ23" i="37" s="1"/>
  <c r="AZ5" i="37" a="1"/>
  <c r="AZ5" i="37" s="1"/>
  <c r="AZ29" i="37" a="1"/>
  <c r="AZ29" i="37" s="1"/>
  <c r="AZ125" i="37" a="1"/>
  <c r="AZ125" i="37" s="1"/>
  <c r="BG107" i="37" a="1"/>
  <c r="BG107" i="37" s="1"/>
  <c r="BH179" i="37" a="1"/>
  <c r="BH179" i="37" s="1"/>
  <c r="BK179" i="37" a="1"/>
  <c r="BK179" i="37" s="1"/>
  <c r="BG250" i="37" a="1"/>
  <c r="BG250" i="37" s="1"/>
  <c r="BK286" i="37" a="1"/>
  <c r="BK286" i="37" s="1"/>
  <c r="BK65" i="37" a="1"/>
  <c r="BK65" i="37" s="1"/>
  <c r="BK89" i="37" a="1"/>
  <c r="BK89" i="37" s="1"/>
  <c r="BK48" i="37" a="1"/>
  <c r="BK48" i="37" s="1"/>
  <c r="AZ262" i="37" a="1"/>
  <c r="AZ262" i="37" s="1"/>
  <c r="AZ286" i="37" a="1"/>
  <c r="AZ286" i="37" s="1"/>
  <c r="AZ101" i="37" a="1"/>
  <c r="AZ101" i="37" s="1"/>
  <c r="AZ244" i="37" a="1"/>
  <c r="AZ244" i="37" s="1"/>
  <c r="BG83" i="37" a="1"/>
  <c r="BG83" i="37" s="1"/>
  <c r="BK143" i="37" a="1"/>
  <c r="BK143" i="37" s="1"/>
  <c r="BK202" i="37" a="1"/>
  <c r="BK202" i="37" s="1"/>
  <c r="BG53" i="37" a="1"/>
  <c r="BG53" i="37" s="1"/>
  <c r="BH65" i="37" a="1"/>
  <c r="BH65" i="37" s="1"/>
  <c r="BG149" i="37" a="1"/>
  <c r="BG149" i="37" s="1"/>
  <c r="AZ256" i="37" a="1"/>
  <c r="AZ256" i="37" s="1"/>
  <c r="AZ268" i="37" a="1"/>
  <c r="AZ268" i="37" s="1"/>
  <c r="BK12" i="37" a="1"/>
  <c r="BK12" i="37" s="1"/>
  <c r="AZ15" i="37" a="1"/>
  <c r="AZ15" i="37" s="1"/>
  <c r="BK51" i="37" a="1"/>
  <c r="BK51" i="37" s="1"/>
  <c r="AZ11" i="37" a="1"/>
  <c r="AZ11" i="37" s="1"/>
  <c r="AZ83" i="37" a="1"/>
  <c r="AZ83" i="37" s="1"/>
  <c r="AZ107" i="37" a="1"/>
  <c r="AZ107" i="37" s="1"/>
  <c r="AZ143" i="37" a="1"/>
  <c r="AZ143" i="37" s="1"/>
  <c r="AZ202" i="37" a="1"/>
  <c r="AZ202" i="37" s="1"/>
  <c r="BG173" i="37" a="1"/>
  <c r="BG173" i="37" s="1"/>
  <c r="BK24" i="37" a="1"/>
  <c r="BK24" i="37" s="1"/>
  <c r="BG27" i="37" a="1"/>
  <c r="BG27" i="37" s="1"/>
  <c r="BK59" i="37" a="1"/>
  <c r="BK59" i="37" s="1"/>
  <c r="BG179" i="37" a="1"/>
  <c r="BG179" i="37" s="1"/>
  <c r="BK250" i="37" a="1"/>
  <c r="BK250" i="37" s="1"/>
  <c r="BK5" i="37" a="1"/>
  <c r="BK5" i="37" s="1"/>
  <c r="BG29" i="37" a="1"/>
  <c r="BG29" i="37" s="1"/>
  <c r="BG89" i="37" a="1"/>
  <c r="BG89" i="37" s="1"/>
  <c r="BH173" i="37" a="1"/>
  <c r="BH173" i="37" s="1"/>
  <c r="BG244" i="37" a="1"/>
  <c r="BG244" i="37" s="1"/>
  <c r="BG23" i="37" a="1"/>
  <c r="BG23" i="37" s="1"/>
  <c r="BG47" i="37" a="1"/>
  <c r="BG47" i="37" s="1"/>
  <c r="AZ59" i="37" a="1"/>
  <c r="AZ59" i="37" s="1"/>
  <c r="AZ179" i="37" a="1"/>
  <c r="AZ179" i="37" s="1"/>
  <c r="AZ250" i="37" a="1"/>
  <c r="AZ250" i="37" s="1"/>
  <c r="BG262" i="37" a="1"/>
  <c r="BG262" i="37" s="1"/>
  <c r="AZ89" i="37" a="1"/>
  <c r="AZ89" i="37" s="1"/>
  <c r="BK125" i="37" a="1"/>
  <c r="BK125" i="37" s="1"/>
  <c r="BG268" i="37" a="1"/>
  <c r="BG268" i="37" s="1"/>
  <c r="AZ60" i="37" a="1"/>
  <c r="AZ60" i="37" s="1"/>
  <c r="BH5" i="37" a="1"/>
  <c r="BH5" i="37" s="1"/>
  <c r="BH29" i="37" a="1"/>
  <c r="BH29" i="37" s="1"/>
  <c r="BK53" i="37" a="1"/>
  <c r="BK53" i="37" s="1"/>
  <c r="BG65" i="37" a="1"/>
  <c r="BG65" i="37" s="1"/>
  <c r="BK149" i="37" a="1"/>
  <c r="BK149" i="37" s="1"/>
  <c r="BK173" i="37" a="1"/>
  <c r="BK173" i="37" s="1"/>
  <c r="BK244" i="37" a="1"/>
  <c r="BK244" i="37" s="1"/>
  <c r="BK203" i="37" a="1"/>
  <c r="BK203" i="37" s="1"/>
  <c r="BG46" i="37" a="1"/>
  <c r="BG46" i="37" s="1"/>
  <c r="BG106" i="37" a="1"/>
  <c r="BG106" i="37" s="1"/>
  <c r="BG130" i="37" a="1"/>
  <c r="BG130" i="37" s="1"/>
  <c r="BK249" i="37" a="1"/>
  <c r="BK249" i="37" s="1"/>
  <c r="BK85" i="37" a="1"/>
  <c r="BK85" i="37" s="1"/>
  <c r="AZ48" i="37" a="1"/>
  <c r="AZ48" i="37" s="1"/>
  <c r="AZ203" i="37" a="1"/>
  <c r="AZ203" i="37" s="1"/>
  <c r="AZ22" i="37" a="1"/>
  <c r="AZ22" i="37" s="1"/>
  <c r="AZ46" i="37" a="1"/>
  <c r="AZ46" i="37" s="1"/>
  <c r="BK82" i="37" a="1"/>
  <c r="BK82" i="37" s="1"/>
  <c r="BG13" i="37" a="1"/>
  <c r="BG13" i="37" s="1"/>
  <c r="BG121" i="37" a="1"/>
  <c r="BG121" i="37" s="1"/>
  <c r="BK84" i="37" a="1"/>
  <c r="BK84" i="37" s="1"/>
  <c r="BG108" i="37" a="1"/>
  <c r="BG108" i="37" s="1"/>
  <c r="BK144" i="37" a="1"/>
  <c r="BK144" i="37" s="1"/>
  <c r="BG251" i="37" a="1"/>
  <c r="BG251" i="37" s="1"/>
  <c r="BK287" i="37" a="1"/>
  <c r="BK287" i="37" s="1"/>
  <c r="BK10" i="37" a="1"/>
  <c r="BK10" i="37" s="1"/>
  <c r="BG109" i="37" a="1"/>
  <c r="BG109" i="37" s="1"/>
  <c r="BK60" i="37" a="1"/>
  <c r="BK60" i="37" s="1"/>
  <c r="AZ251" i="37" a="1"/>
  <c r="AZ251" i="37" s="1"/>
  <c r="AZ130" i="37" a="1"/>
  <c r="AZ130" i="37" s="1"/>
  <c r="BG201" i="37" a="1"/>
  <c r="BG201" i="37" s="1"/>
  <c r="BH84" i="37" a="1"/>
  <c r="BH84" i="37" s="1"/>
  <c r="BH144" i="37" a="1"/>
  <c r="BH144" i="37" s="1"/>
  <c r="BG58" i="37" a="1"/>
  <c r="BG58" i="37" s="1"/>
  <c r="BK108" i="37" a="1"/>
  <c r="BK108" i="37" s="1"/>
  <c r="BK263" i="37" a="1"/>
  <c r="BK263" i="37" s="1"/>
  <c r="AZ10" i="37" a="1"/>
  <c r="AZ10" i="37" s="1"/>
  <c r="AZ106" i="37" a="1"/>
  <c r="AZ106" i="37" s="1"/>
  <c r="BK142" i="37" a="1"/>
  <c r="BK142" i="37" s="1"/>
  <c r="BK201" i="37" a="1"/>
  <c r="BK201" i="37" s="1"/>
  <c r="BH49" i="37" a="1"/>
  <c r="BH49" i="37" s="1"/>
  <c r="AZ240" i="37" a="1"/>
  <c r="AZ240" i="37" s="1"/>
  <c r="BG242" i="37" a="1"/>
  <c r="BG242" i="37" s="1"/>
  <c r="AZ261" i="37" a="1"/>
  <c r="AZ261" i="37" s="1"/>
  <c r="BG12" i="37" a="1"/>
  <c r="BG12" i="37" s="1"/>
  <c r="BG84" i="37" a="1"/>
  <c r="BG84" i="37" s="1"/>
  <c r="BG144" i="37" a="1"/>
  <c r="BG144" i="37" s="1"/>
  <c r="BK46" i="37" a="1"/>
  <c r="BK46" i="37" s="1"/>
  <c r="BG178" i="37" a="1"/>
  <c r="BG178" i="37" s="1"/>
  <c r="AZ13" i="37" a="1"/>
  <c r="AZ13" i="37" s="1"/>
  <c r="BG256" i="37" a="1"/>
  <c r="BG256" i="37" s="1"/>
  <c r="AZ12" i="37" a="1"/>
  <c r="AZ12" i="37" s="1"/>
  <c r="BG60" i="37" a="1"/>
  <c r="BG60" i="37" s="1"/>
  <c r="AZ108" i="37" a="1"/>
  <c r="AZ108" i="37" s="1"/>
  <c r="BG22" i="37" a="1"/>
  <c r="BG22" i="37" s="1"/>
  <c r="AZ82" i="37" a="1"/>
  <c r="AZ82" i="37" s="1"/>
  <c r="AZ25" i="37" a="1"/>
  <c r="AZ25" i="37" s="1"/>
  <c r="AZ49" i="37" a="1"/>
  <c r="AZ49" i="37" s="1"/>
  <c r="BG24" i="37" a="1"/>
  <c r="BG24" i="37" s="1"/>
  <c r="BH203" i="37" a="1"/>
  <c r="BH203" i="37" s="1"/>
  <c r="BG203" i="37" a="1"/>
  <c r="BG203" i="37" s="1"/>
  <c r="BG287" i="37" a="1"/>
  <c r="BG287" i="37" s="1"/>
  <c r="BH46" i="37" a="1"/>
  <c r="BH46" i="37" s="1"/>
  <c r="BK58" i="37" a="1"/>
  <c r="BK58" i="37" s="1"/>
  <c r="BG142" i="37" a="1"/>
  <c r="BG142" i="37" s="1"/>
  <c r="AZ84" i="37" a="1"/>
  <c r="AZ84" i="37" s="1"/>
  <c r="AZ144" i="37" a="1"/>
  <c r="AZ144" i="37" s="1"/>
  <c r="BG263" i="37" a="1"/>
  <c r="BG263" i="37" s="1"/>
  <c r="AZ287" i="37" a="1"/>
  <c r="AZ287" i="37" s="1"/>
  <c r="AZ58" i="37" a="1"/>
  <c r="AZ58" i="37" s="1"/>
  <c r="BK106" i="37" a="1"/>
  <c r="BK106" i="37" s="1"/>
  <c r="BK130" i="37" a="1"/>
  <c r="BK130" i="37" s="1"/>
  <c r="AZ201" i="37" a="1"/>
  <c r="AZ201" i="37" s="1"/>
  <c r="BK25" i="37" a="1"/>
  <c r="BK25" i="37" s="1"/>
  <c r="AZ121" i="37" a="1"/>
  <c r="AZ121" i="37" s="1"/>
  <c r="BK251" i="37" a="1"/>
  <c r="BK251" i="37" s="1"/>
  <c r="BG10" i="37" a="1"/>
  <c r="BG10" i="37" s="1"/>
  <c r="BK22" i="37" a="1"/>
  <c r="BK22" i="37" s="1"/>
  <c r="BG82" i="37" a="1"/>
  <c r="BG82" i="37" s="1"/>
  <c r="BK178" i="37" a="1"/>
  <c r="BK178" i="37" s="1"/>
  <c r="BK13" i="37" a="1"/>
  <c r="BK13" i="37" s="1"/>
  <c r="BK61" i="37" a="1"/>
  <c r="BK61" i="37" s="1"/>
  <c r="BG85" i="37" a="1"/>
  <c r="BG85" i="37" s="1"/>
  <c r="AZ263" i="37" a="1"/>
  <c r="AZ263" i="37" s="1"/>
  <c r="AZ142" i="37" a="1"/>
  <c r="AZ142" i="37" s="1"/>
  <c r="AZ178" i="37" a="1"/>
  <c r="AZ178" i="37" s="1"/>
  <c r="BG61" i="37" a="1"/>
  <c r="BG61" i="37" s="1"/>
  <c r="BK121" i="37" a="1"/>
  <c r="BK121" i="37" s="1"/>
  <c r="BG145" i="37" a="1"/>
  <c r="BG145" i="37" s="1"/>
  <c r="BK252" i="37" a="1"/>
  <c r="BK252" i="37" s="1"/>
  <c r="AZ288" i="37" a="1"/>
  <c r="AZ288" i="37" s="1"/>
  <c r="AZ123" i="37" a="1"/>
  <c r="AZ123" i="37" s="1"/>
  <c r="BG172" i="37" a="1"/>
  <c r="BG172" i="37" s="1"/>
  <c r="AZ255" i="37" a="1"/>
  <c r="AZ255" i="37" s="1"/>
  <c r="BG267" i="37" a="1"/>
  <c r="BG267" i="37" s="1"/>
  <c r="AZ145" i="37" a="1"/>
  <c r="AZ145" i="37" s="1"/>
  <c r="AZ264" i="37" a="1"/>
  <c r="AZ264" i="37" s="1"/>
  <c r="AZ171" i="37" a="1"/>
  <c r="AZ171" i="37" s="1"/>
  <c r="BG4" i="37" a="1"/>
  <c r="BG4" i="37" s="1"/>
  <c r="BK124" i="37" a="1"/>
  <c r="BK124" i="37" s="1"/>
  <c r="BH61" i="37" a="1"/>
  <c r="BH61" i="37" s="1"/>
  <c r="BG240" i="37" a="1"/>
  <c r="BG240" i="37" s="1"/>
  <c r="BG124" i="37" a="1"/>
  <c r="BG124" i="37" s="1"/>
  <c r="BG255" i="37" a="1"/>
  <c r="BG255" i="37" s="1"/>
  <c r="BK49" i="37" a="1"/>
  <c r="BK49" i="37" s="1"/>
  <c r="AZ109" i="37" a="1"/>
  <c r="AZ109" i="37" s="1"/>
  <c r="BK278" i="37" a="1"/>
  <c r="BK278" i="37" s="1"/>
  <c r="AZ289" i="37" a="1"/>
  <c r="AZ289" i="37" s="1"/>
  <c r="AZ100" i="37" a="1"/>
  <c r="AZ100" i="37" s="1"/>
  <c r="BG261" i="37" a="1"/>
  <c r="BG261" i="37" s="1"/>
  <c r="AZ285" i="37" a="1"/>
  <c r="AZ285" i="37" s="1"/>
  <c r="BG252" i="37" a="1"/>
  <c r="BG252" i="37" s="1"/>
  <c r="BK242" i="37" a="1"/>
  <c r="BK242" i="37" s="1"/>
  <c r="AZ266" i="37" a="1"/>
  <c r="AZ266" i="37" s="1"/>
  <c r="BK28" i="37" a="1"/>
  <c r="BK28" i="37" s="1"/>
  <c r="BK261" i="37" a="1"/>
  <c r="BK261" i="37" s="1"/>
  <c r="AZ249" i="37" a="1"/>
  <c r="AZ249" i="37" s="1"/>
  <c r="AZ85" i="37" a="1"/>
  <c r="AZ85" i="37" s="1"/>
  <c r="AZ252" i="37" a="1"/>
  <c r="AZ252" i="37" s="1"/>
  <c r="BK123" i="37" a="1"/>
  <c r="BK123" i="37" s="1"/>
  <c r="BK171" i="37" a="1"/>
  <c r="BK171" i="37" s="1"/>
  <c r="BG254" i="37" a="1"/>
  <c r="BG254" i="37" s="1"/>
  <c r="BK145" i="37" a="1"/>
  <c r="BK145" i="37" s="1"/>
  <c r="BK240" i="37" a="1"/>
  <c r="BK240" i="37" s="1"/>
  <c r="BK264" i="37" a="1"/>
  <c r="BK264" i="37" s="1"/>
  <c r="BH278" i="37" a="1"/>
  <c r="BH278" i="37" s="1"/>
  <c r="BG243" i="37" a="1"/>
  <c r="BG243" i="37" s="1"/>
  <c r="BK279" i="37" a="1"/>
  <c r="BK279" i="37" s="1"/>
  <c r="AZ61" i="37" a="1"/>
  <c r="AZ61" i="37" s="1"/>
  <c r="BK109" i="37" a="1"/>
  <c r="BK109" i="37" s="1"/>
  <c r="BK288" i="37" a="1"/>
  <c r="BK288" i="37" s="1"/>
  <c r="AZ242" i="37" a="1"/>
  <c r="AZ242" i="37" s="1"/>
  <c r="BG278" i="37" a="1"/>
  <c r="BG278" i="37" s="1"/>
  <c r="BK289" i="37" a="1"/>
  <c r="BK289" i="37" s="1"/>
  <c r="AZ4" i="37" a="1"/>
  <c r="AZ4" i="37" s="1"/>
  <c r="BG16" i="37" a="1"/>
  <c r="BG16" i="37" s="1"/>
  <c r="BG249" i="37" a="1"/>
  <c r="BG249" i="37" s="1"/>
  <c r="BG25" i="37" a="1"/>
  <c r="BG25" i="37" s="1"/>
  <c r="BG49" i="37" a="1"/>
  <c r="BG49" i="37" s="1"/>
  <c r="BH121" i="37" a="1"/>
  <c r="BH121" i="37" s="1"/>
  <c r="BH145" i="37" a="1"/>
  <c r="BH145" i="37" s="1"/>
  <c r="BG171" i="37" a="1"/>
  <c r="BG171" i="37" s="1"/>
  <c r="BH16" i="37" a="1"/>
  <c r="BH16" i="37" s="1"/>
  <c r="BG100" i="37" a="1"/>
  <c r="BG100" i="37" s="1"/>
  <c r="BK254" i="37" a="1"/>
  <c r="BK254" i="37" s="1"/>
  <c r="BG266" i="37" a="1"/>
  <c r="BG266" i="37" s="1"/>
  <c r="AZ124" i="37" a="1"/>
  <c r="AZ124" i="37" s="1"/>
  <c r="BG279" i="37" a="1"/>
  <c r="BG279" i="37" s="1"/>
  <c r="BG264" i="37" a="1"/>
  <c r="BG264" i="37" s="1"/>
  <c r="BG288" i="37" a="1"/>
  <c r="BG288" i="37" s="1"/>
  <c r="BG123" i="37" a="1"/>
  <c r="BG123" i="37" s="1"/>
  <c r="BG289" i="37" a="1"/>
  <c r="BG289" i="37" s="1"/>
  <c r="BG52" i="37" a="1"/>
  <c r="BG52" i="37" s="1"/>
  <c r="BK88" i="37" a="1"/>
  <c r="BK88" i="37" s="1"/>
  <c r="AZ28" i="37" a="1"/>
  <c r="AZ28" i="37" s="1"/>
  <c r="BK267" i="37" a="1"/>
  <c r="BK267" i="37" s="1"/>
  <c r="BG285" i="37" a="1"/>
  <c r="BG285" i="37" s="1"/>
  <c r="BH124" i="37" a="1"/>
  <c r="BH124" i="37" s="1"/>
  <c r="BK172" i="37" a="1"/>
  <c r="BK172" i="37" s="1"/>
  <c r="BK243" i="37" a="1"/>
  <c r="BK243" i="37" s="1"/>
  <c r="BH255" i="37" a="1"/>
  <c r="BH255" i="37" s="1"/>
  <c r="BH285" i="37" a="1"/>
  <c r="BH285" i="37" s="1"/>
  <c r="BK100" i="37" a="1"/>
  <c r="BK100" i="37" s="1"/>
  <c r="BK148" i="37" a="1"/>
  <c r="BK148" i="37" s="1"/>
  <c r="AZ172" i="37" a="1"/>
  <c r="AZ172" i="37" s="1"/>
  <c r="AZ267" i="37" a="1"/>
  <c r="AZ267" i="37" s="1"/>
  <c r="BH289" i="37" a="1"/>
  <c r="BH289" i="37" s="1"/>
  <c r="BH4" i="37" a="1"/>
  <c r="BH4" i="37" s="1"/>
  <c r="BK52" i="37" a="1"/>
  <c r="BK52" i="37" s="1"/>
  <c r="BK255" i="37" a="1"/>
  <c r="BK255" i="37" s="1"/>
  <c r="BK285" i="37" a="1"/>
  <c r="BK285" i="37" s="1"/>
  <c r="AZ254" i="37" a="1"/>
  <c r="AZ254" i="37" s="1"/>
  <c r="BK4" i="37" a="1"/>
  <c r="BK4" i="37" s="1"/>
  <c r="AZ16" i="37" a="1"/>
  <c r="AZ16" i="37" s="1"/>
  <c r="BG88" i="37" a="1"/>
  <c r="BG88" i="37" s="1"/>
  <c r="AZ148" i="37" a="1"/>
  <c r="AZ148" i="37" s="1"/>
  <c r="AZ243" i="37" a="1"/>
  <c r="AZ243" i="37" s="1"/>
  <c r="BK266" i="37" a="1"/>
  <c r="BK266" i="37" s="1"/>
  <c r="AZ278" i="37" a="1"/>
  <c r="AZ278" i="37" s="1"/>
  <c r="BK16" i="37" a="1"/>
  <c r="BK16" i="37" s="1"/>
  <c r="BG28" i="37" a="1"/>
  <c r="BG28" i="37" s="1"/>
  <c r="AZ52" i="37" a="1"/>
  <c r="AZ52" i="37" s="1"/>
  <c r="AZ88" i="37" a="1"/>
  <c r="AZ88" i="37" s="1"/>
  <c r="BG148" i="37" a="1"/>
  <c r="BG148" i="37" s="1"/>
  <c r="AZ279" i="37" a="1"/>
  <c r="AZ279" i="37" s="1"/>
  <c r="AM3" i="1" l="1" a="1"/>
  <c r="AM3" i="1" s="1"/>
  <c r="AM41" i="1" a="1"/>
  <c r="AM41" i="1" s="1"/>
  <c r="AM98" i="1" a="1"/>
  <c r="AM98" i="1" s="1"/>
  <c r="AM49" i="1" a="1"/>
  <c r="AM49" i="1" s="1"/>
  <c r="AM69" i="1" a="1"/>
  <c r="AM69" i="1" s="1"/>
  <c r="AM289" i="1" a="1"/>
  <c r="AM289" i="1" s="1"/>
  <c r="AM130" i="1" a="1"/>
  <c r="AM130" i="1" s="1"/>
  <c r="AM237" i="1" a="1"/>
  <c r="AM237" i="1" s="1"/>
  <c r="AM139" i="1" a="1"/>
  <c r="AM139" i="1" s="1"/>
  <c r="AM262" i="1" a="1"/>
  <c r="AM262" i="1" s="1"/>
  <c r="AM158" i="1" a="1"/>
  <c r="AM158" i="1" s="1"/>
  <c r="AM265" i="1" a="1"/>
  <c r="AM265" i="1" s="1"/>
  <c r="AM141" i="1" a="1"/>
  <c r="AM141" i="1" s="1"/>
  <c r="AM70" i="1" a="1"/>
  <c r="AM70" i="1" s="1"/>
  <c r="AM186" i="1" a="1"/>
  <c r="AM186" i="1" s="1"/>
  <c r="AM287" i="1" a="1"/>
  <c r="AM287" i="1" s="1"/>
  <c r="AM187" i="1" a="1"/>
  <c r="AM187" i="1" s="1"/>
  <c r="AM83" i="1" a="1"/>
  <c r="AM83" i="1" s="1"/>
  <c r="AM196" i="1" a="1"/>
  <c r="AM196" i="1" s="1"/>
  <c r="AM173" i="1" a="1"/>
  <c r="AM173" i="1" s="1"/>
  <c r="AM224" i="1" a="1"/>
  <c r="AM224" i="1" s="1"/>
  <c r="AM4" i="1" a="1"/>
  <c r="AM4" i="1" s="1"/>
  <c r="AM54" i="1" a="1"/>
  <c r="AM54" i="1" s="1"/>
  <c r="AM104" i="1" a="1"/>
  <c r="AM104" i="1" s="1"/>
  <c r="AM62" i="1" a="1"/>
  <c r="AM62" i="1" s="1"/>
  <c r="AM64" i="1" a="1"/>
  <c r="AM64" i="1" s="1"/>
  <c r="AM128" i="1" a="1"/>
  <c r="AM128" i="1" s="1"/>
  <c r="AM138" i="1" a="1"/>
  <c r="AM138" i="1" s="1"/>
  <c r="AM245" i="1" a="1"/>
  <c r="AM245" i="1" s="1"/>
  <c r="AM157" i="1" a="1"/>
  <c r="AM157" i="1" s="1"/>
  <c r="AM13" i="1" a="1"/>
  <c r="AM13" i="1" s="1"/>
  <c r="AM167" i="1" a="1"/>
  <c r="AM167" i="1" s="1"/>
  <c r="AM274" i="1" a="1"/>
  <c r="AM274" i="1" s="1"/>
  <c r="AM159" i="1" a="1"/>
  <c r="AM159" i="1" s="1"/>
  <c r="AM82" i="1" a="1"/>
  <c r="AM82" i="1" s="1"/>
  <c r="AM195" i="1" a="1"/>
  <c r="AM195" i="1" s="1"/>
  <c r="AM119" i="1" a="1"/>
  <c r="AM119" i="1" s="1"/>
  <c r="AM204" i="1" a="1"/>
  <c r="AM204" i="1" s="1"/>
  <c r="AM95" i="1" a="1"/>
  <c r="AM95" i="1" s="1"/>
  <c r="AM205" i="1" a="1"/>
  <c r="AM205" i="1" s="1"/>
  <c r="AM271" i="1" a="1"/>
  <c r="AM271" i="1" s="1"/>
  <c r="AM242" i="1" a="1"/>
  <c r="AM242" i="1" s="1"/>
  <c r="AM96" i="1" a="1"/>
  <c r="AM96" i="1" s="1"/>
  <c r="AM215" i="1" a="1"/>
  <c r="AM215" i="1" s="1"/>
  <c r="AM127" i="1" a="1"/>
  <c r="AM127" i="1" s="1"/>
  <c r="AM280" i="1" a="1"/>
  <c r="AM280" i="1" s="1"/>
  <c r="AM7" i="1" a="1"/>
  <c r="AM7" i="1" s="1"/>
  <c r="AM67" i="1" a="1"/>
  <c r="AM67" i="1" s="1"/>
  <c r="AM9" i="1" a="1"/>
  <c r="AM9" i="1" s="1"/>
  <c r="AM75" i="1" a="1"/>
  <c r="AM75" i="1" s="1"/>
  <c r="AM111" i="1" a="1"/>
  <c r="AM111" i="1" s="1"/>
  <c r="AM226" i="1" a="1"/>
  <c r="AM226" i="1" s="1"/>
  <c r="AM148" i="1" a="1"/>
  <c r="AM148" i="1" s="1"/>
  <c r="AM255" i="1" a="1"/>
  <c r="AM255" i="1" s="1"/>
  <c r="AM175" i="1" a="1"/>
  <c r="AM175" i="1" s="1"/>
  <c r="AM26" i="1" a="1"/>
  <c r="AM26" i="1" s="1"/>
  <c r="AM176" i="1" a="1"/>
  <c r="AM176" i="1" s="1"/>
  <c r="AM283" i="1" a="1"/>
  <c r="AM283" i="1" s="1"/>
  <c r="AM177" i="1" a="1"/>
  <c r="AM177" i="1" s="1"/>
  <c r="AM94" i="1" a="1"/>
  <c r="AM94" i="1" s="1"/>
  <c r="AM203" i="1" a="1"/>
  <c r="AM203" i="1" s="1"/>
  <c r="AM217" i="1" a="1"/>
  <c r="AM217" i="1" s="1"/>
  <c r="AM222" i="1" a="1"/>
  <c r="AM222" i="1" s="1"/>
  <c r="AM107" i="1" a="1"/>
  <c r="AM107" i="1" s="1"/>
  <c r="AM214" i="1" a="1"/>
  <c r="AM214" i="1" s="1"/>
  <c r="AM6" i="1" a="1"/>
  <c r="AM6" i="1" s="1"/>
  <c r="AM260" i="1" a="1"/>
  <c r="AM260" i="1" s="1"/>
  <c r="AM108" i="1" a="1"/>
  <c r="AM108" i="1" s="1"/>
  <c r="AM233" i="1" a="1"/>
  <c r="AM233" i="1" s="1"/>
  <c r="AM145" i="1" a="1"/>
  <c r="AM145" i="1" s="1"/>
  <c r="AM182" i="1" a="1"/>
  <c r="AM182" i="1" s="1"/>
  <c r="AM20" i="1" a="1"/>
  <c r="AM20" i="1" s="1"/>
  <c r="AM15" i="1" a="1"/>
  <c r="AM15" i="1" s="1"/>
  <c r="AM16" i="1" a="1"/>
  <c r="AM16" i="1" s="1"/>
  <c r="AM81" i="1" a="1"/>
  <c r="AM81" i="1" s="1"/>
  <c r="AM129" i="1" a="1"/>
  <c r="AM129" i="1" s="1"/>
  <c r="AM12" i="1" a="1"/>
  <c r="AM12" i="1" s="1"/>
  <c r="AM156" i="1" a="1"/>
  <c r="AM156" i="1" s="1"/>
  <c r="AM263" i="1" a="1"/>
  <c r="AM263" i="1" s="1"/>
  <c r="AM192" i="1" a="1"/>
  <c r="AM192" i="1" s="1"/>
  <c r="AM39" i="1" a="1"/>
  <c r="AM39" i="1" s="1"/>
  <c r="AM185" i="1" a="1"/>
  <c r="AM185" i="1" s="1"/>
  <c r="AM261" i="1" a="1"/>
  <c r="AM261" i="1" s="1"/>
  <c r="AM194" i="1" a="1"/>
  <c r="AM194" i="1" s="1"/>
  <c r="AM106" i="1" a="1"/>
  <c r="AM106" i="1" s="1"/>
  <c r="AM213" i="1" a="1"/>
  <c r="AM213" i="1" s="1"/>
  <c r="AM5" i="1" a="1"/>
  <c r="AM5" i="1" s="1"/>
  <c r="AM240" i="1" a="1"/>
  <c r="AM240" i="1" s="1"/>
  <c r="AM116" i="1" a="1"/>
  <c r="AM116" i="1" s="1"/>
  <c r="AM223" i="1" a="1"/>
  <c r="AM223" i="1" s="1"/>
  <c r="AM19" i="1" a="1"/>
  <c r="AM19" i="1" s="1"/>
  <c r="AM278" i="1" a="1"/>
  <c r="AM278" i="1" s="1"/>
  <c r="AM118" i="1" a="1"/>
  <c r="AM118" i="1" s="1"/>
  <c r="AM63" i="1" a="1"/>
  <c r="AM63" i="1" s="1"/>
  <c r="AM163" i="1" a="1"/>
  <c r="AM163" i="1" s="1"/>
  <c r="AM33" i="1" a="1"/>
  <c r="AM33" i="1" s="1"/>
  <c r="AM22" i="1" a="1"/>
  <c r="AM22" i="1" s="1"/>
  <c r="AM29" i="1" a="1"/>
  <c r="AM29" i="1" s="1"/>
  <c r="AM87" i="1" a="1"/>
  <c r="AM87" i="1" s="1"/>
  <c r="AM147" i="1" a="1"/>
  <c r="AM147" i="1" s="1"/>
  <c r="AM25" i="1" a="1"/>
  <c r="AM25" i="1" s="1"/>
  <c r="AM166" i="1" a="1"/>
  <c r="AM166" i="1" s="1"/>
  <c r="AM273" i="1" a="1"/>
  <c r="AM273" i="1" s="1"/>
  <c r="AM210" i="1" a="1"/>
  <c r="AM210" i="1" s="1"/>
  <c r="AM78" i="1" a="1"/>
  <c r="AM78" i="1" s="1"/>
  <c r="AM193" i="1" a="1"/>
  <c r="AM193" i="1" s="1"/>
  <c r="AM37" i="1" a="1"/>
  <c r="AM37" i="1" s="1"/>
  <c r="AM212" i="1" a="1"/>
  <c r="AM212" i="1" s="1"/>
  <c r="AM114" i="1" a="1"/>
  <c r="AM114" i="1" s="1"/>
  <c r="AM221" i="1" a="1"/>
  <c r="AM221" i="1" s="1"/>
  <c r="AM18" i="1" a="1"/>
  <c r="AM18" i="1" s="1"/>
  <c r="AM258" i="1" a="1"/>
  <c r="AM258" i="1" s="1"/>
  <c r="AM125" i="1" a="1"/>
  <c r="AM125" i="1" s="1"/>
  <c r="AM232" i="1" a="1"/>
  <c r="AM232" i="1" s="1"/>
  <c r="AM32" i="1" a="1"/>
  <c r="AM32" i="1" s="1"/>
  <c r="AM197" i="1" a="1"/>
  <c r="AM197" i="1" s="1"/>
  <c r="AM126" i="1" a="1"/>
  <c r="AM126" i="1" s="1"/>
  <c r="AM155" i="1" a="1"/>
  <c r="AM155" i="1" s="1"/>
  <c r="AM181" i="1" a="1"/>
  <c r="AM181" i="1" s="1"/>
  <c r="AM40" i="1" a="1"/>
  <c r="AM40" i="1" s="1"/>
  <c r="AM35" i="1" a="1"/>
  <c r="AM35" i="1" s="1"/>
  <c r="AM42" i="1" a="1"/>
  <c r="AM42" i="1" s="1"/>
  <c r="AM93" i="1" a="1"/>
  <c r="AM93" i="1" s="1"/>
  <c r="AM165" i="1" a="1"/>
  <c r="AM165" i="1" s="1"/>
  <c r="AM38" i="1" a="1"/>
  <c r="AM38" i="1" s="1"/>
  <c r="AM174" i="1" a="1"/>
  <c r="AM174" i="1" s="1"/>
  <c r="AM281" i="1" a="1"/>
  <c r="AM281" i="1" s="1"/>
  <c r="AM228" i="1" a="1"/>
  <c r="AM228" i="1" s="1"/>
  <c r="AM90" i="1" a="1"/>
  <c r="AM90" i="1" s="1"/>
  <c r="AM202" i="1" a="1"/>
  <c r="AM202" i="1" s="1"/>
  <c r="AM191" i="1" a="1"/>
  <c r="AM191" i="1" s="1"/>
  <c r="AM230" i="1" a="1"/>
  <c r="AM230" i="1" s="1"/>
  <c r="AM124" i="1" a="1"/>
  <c r="AM124" i="1" s="1"/>
  <c r="AM231" i="1" a="1"/>
  <c r="AM231" i="1" s="1"/>
  <c r="AM31" i="1" a="1"/>
  <c r="AM31" i="1" s="1"/>
  <c r="AM276" i="1" a="1"/>
  <c r="AM276" i="1" s="1"/>
  <c r="AM134" i="1" a="1"/>
  <c r="AM134" i="1" s="1"/>
  <c r="AM241" i="1" a="1"/>
  <c r="AM241" i="1" s="1"/>
  <c r="AM45" i="1" a="1"/>
  <c r="AM45" i="1" s="1"/>
  <c r="AM225" i="1" a="1"/>
  <c r="AM225" i="1" s="1"/>
  <c r="AM136" i="1" a="1"/>
  <c r="AM136" i="1" s="1"/>
  <c r="AM244" i="1" a="1"/>
  <c r="AM244" i="1" s="1"/>
  <c r="AM198" i="1" a="1"/>
  <c r="AM198" i="1" s="1"/>
  <c r="AM53" i="1" a="1"/>
  <c r="AM53" i="1" s="1"/>
  <c r="AM48" i="1" a="1"/>
  <c r="AM48" i="1" s="1"/>
  <c r="AM55" i="1" a="1"/>
  <c r="AM55" i="1" s="1"/>
  <c r="AM99" i="1" a="1"/>
  <c r="AM99" i="1" s="1"/>
  <c r="AM183" i="1" a="1"/>
  <c r="AM183" i="1" s="1"/>
  <c r="AM51" i="1" a="1"/>
  <c r="AM51" i="1" s="1"/>
  <c r="AM184" i="1" a="1"/>
  <c r="AM184" i="1" s="1"/>
  <c r="AM11" i="1" a="1"/>
  <c r="AM11" i="1" s="1"/>
  <c r="AM246" i="1" a="1"/>
  <c r="AM246" i="1" s="1"/>
  <c r="AM102" i="1" a="1"/>
  <c r="AM102" i="1" s="1"/>
  <c r="AM211" i="1" a="1"/>
  <c r="AM211" i="1" s="1"/>
  <c r="AM14" i="1" a="1"/>
  <c r="AM14" i="1" s="1"/>
  <c r="AM248" i="1" a="1"/>
  <c r="AM248" i="1" s="1"/>
  <c r="AM132" i="1" a="1"/>
  <c r="AM132" i="1" s="1"/>
  <c r="AM239" i="1" a="1"/>
  <c r="AM239" i="1" s="1"/>
  <c r="AM44" i="1" a="1"/>
  <c r="AM44" i="1" s="1"/>
  <c r="AM279" i="1" a="1"/>
  <c r="AM279" i="1" s="1"/>
  <c r="AM143" i="1" a="1"/>
  <c r="AM143" i="1" s="1"/>
  <c r="AM250" i="1" a="1"/>
  <c r="AM250" i="1" s="1"/>
  <c r="AM117" i="1" a="1"/>
  <c r="AM117" i="1" s="1"/>
  <c r="AM251" i="1" a="1"/>
  <c r="AM251" i="1" s="1"/>
  <c r="AM144" i="1" a="1"/>
  <c r="AM144" i="1" s="1"/>
  <c r="AM34" i="1" a="1"/>
  <c r="AM34" i="1" s="1"/>
  <c r="AM216" i="1" a="1"/>
  <c r="AM216" i="1" s="1"/>
  <c r="AM66" i="1" a="1"/>
  <c r="AM66" i="1" s="1"/>
  <c r="AM61" i="1" a="1"/>
  <c r="AM61" i="1" s="1"/>
  <c r="AM68" i="1" a="1"/>
  <c r="AM68" i="1" s="1"/>
  <c r="AM105" i="1" a="1"/>
  <c r="AM105" i="1" s="1"/>
  <c r="AM200" i="1" a="1"/>
  <c r="AM200" i="1" s="1"/>
  <c r="AM77" i="1" a="1"/>
  <c r="AM77" i="1" s="1"/>
  <c r="AM146" i="1" a="1"/>
  <c r="AM146" i="1" s="1"/>
  <c r="AM264" i="1" a="1"/>
  <c r="AM264" i="1" s="1"/>
  <c r="AM113" i="1" a="1"/>
  <c r="AM113" i="1" s="1"/>
  <c r="AM220" i="1" a="1"/>
  <c r="AM220" i="1" s="1"/>
  <c r="AM27" i="1" a="1"/>
  <c r="AM27" i="1" s="1"/>
  <c r="AM266" i="1" a="1"/>
  <c r="AM266" i="1" s="1"/>
  <c r="AM142" i="1" a="1"/>
  <c r="AM142" i="1" s="1"/>
  <c r="AM249" i="1" a="1"/>
  <c r="AM249" i="1" s="1"/>
  <c r="AM57" i="1" a="1"/>
  <c r="AM57" i="1" s="1"/>
  <c r="AM88" i="1" a="1"/>
  <c r="AM88" i="1" s="1"/>
  <c r="AM152" i="1" a="1"/>
  <c r="AM152" i="1" s="1"/>
  <c r="AM259" i="1" a="1"/>
  <c r="AM259" i="1" s="1"/>
  <c r="AM135" i="1" a="1"/>
  <c r="AM135" i="1" s="1"/>
  <c r="AM110" i="1" a="1"/>
  <c r="AM110" i="1" s="1"/>
  <c r="AM154" i="1" a="1"/>
  <c r="AM154" i="1" s="1"/>
  <c r="AM47" i="1" a="1"/>
  <c r="AM47" i="1" s="1"/>
  <c r="AM234" i="1" a="1"/>
  <c r="AM234" i="1" s="1"/>
  <c r="AM270" i="1" a="1"/>
  <c r="AM270" i="1" s="1"/>
  <c r="AM74" i="1" a="1"/>
  <c r="AM74" i="1" s="1"/>
  <c r="AM2" i="1" a="1"/>
  <c r="AM2" i="1" s="1"/>
  <c r="AM17" i="1" a="1"/>
  <c r="AM17" i="1" s="1"/>
  <c r="AM218" i="1" a="1"/>
  <c r="AM218" i="1" s="1"/>
  <c r="AM89" i="1" a="1"/>
  <c r="AM89" i="1" s="1"/>
  <c r="AM201" i="1" a="1"/>
  <c r="AM201" i="1" s="1"/>
  <c r="AM253" i="1" a="1"/>
  <c r="AM253" i="1" s="1"/>
  <c r="AM282" i="1" a="1"/>
  <c r="AM282" i="1" s="1"/>
  <c r="AM122" i="1" a="1"/>
  <c r="AM122" i="1" s="1"/>
  <c r="AM229" i="1" a="1"/>
  <c r="AM229" i="1" s="1"/>
  <c r="AM79" i="1" a="1"/>
  <c r="AM79" i="1" s="1"/>
  <c r="AM284" i="1" a="1"/>
  <c r="AM284" i="1" s="1"/>
  <c r="AM150" i="1" a="1"/>
  <c r="AM150" i="1" s="1"/>
  <c r="AM257" i="1" a="1"/>
  <c r="AM257" i="1" s="1"/>
  <c r="AM115" i="1" a="1"/>
  <c r="AM115" i="1" s="1"/>
  <c r="AM137" i="1" a="1"/>
  <c r="AM137" i="1" s="1"/>
  <c r="AM161" i="1" a="1"/>
  <c r="AM161" i="1" s="1"/>
  <c r="AM268" i="1" a="1"/>
  <c r="AM268" i="1" s="1"/>
  <c r="AM153" i="1" a="1"/>
  <c r="AM153" i="1" s="1"/>
  <c r="AM208" i="1" a="1"/>
  <c r="AM208" i="1" s="1"/>
  <c r="AM162" i="1" a="1"/>
  <c r="AM162" i="1" s="1"/>
  <c r="AM60" i="1" a="1"/>
  <c r="AM60" i="1" s="1"/>
  <c r="AM252" i="1" a="1"/>
  <c r="AM252" i="1" s="1"/>
  <c r="AM109" i="1" a="1"/>
  <c r="AM109" i="1" s="1"/>
  <c r="AM8" i="1" a="1"/>
  <c r="AM8" i="1" s="1"/>
  <c r="AM80" i="1" a="1"/>
  <c r="AM80" i="1" s="1"/>
  <c r="AM10" i="1" a="1"/>
  <c r="AM10" i="1" s="1"/>
  <c r="AM30" i="1" a="1"/>
  <c r="AM30" i="1" s="1"/>
  <c r="AM236" i="1" a="1"/>
  <c r="AM236" i="1" s="1"/>
  <c r="AM101" i="1" a="1"/>
  <c r="AM101" i="1" s="1"/>
  <c r="AM209" i="1" a="1"/>
  <c r="AM209" i="1" s="1"/>
  <c r="AM52" i="1" a="1"/>
  <c r="AM52" i="1" s="1"/>
  <c r="AM269" i="1" a="1"/>
  <c r="AM269" i="1" s="1"/>
  <c r="AM131" i="1" a="1"/>
  <c r="AM131" i="1" s="1"/>
  <c r="AM238" i="1" a="1"/>
  <c r="AM238" i="1" s="1"/>
  <c r="AM91" i="1" a="1"/>
  <c r="AM91" i="1" s="1"/>
  <c r="AM243" i="1" a="1"/>
  <c r="AM243" i="1" s="1"/>
  <c r="AM160" i="1" a="1"/>
  <c r="AM160" i="1" s="1"/>
  <c r="AM267" i="1" a="1"/>
  <c r="AM267" i="1" s="1"/>
  <c r="AM133" i="1" a="1"/>
  <c r="AM133" i="1" s="1"/>
  <c r="AM235" i="1" a="1"/>
  <c r="AM235" i="1" s="1"/>
  <c r="AM170" i="1" a="1"/>
  <c r="AM170" i="1" s="1"/>
  <c r="AM277" i="1" a="1"/>
  <c r="AM277" i="1" s="1"/>
  <c r="AM171" i="1" a="1"/>
  <c r="AM171" i="1" s="1"/>
  <c r="AM46" i="1" a="1"/>
  <c r="AM46" i="1" s="1"/>
  <c r="AM172" i="1" a="1"/>
  <c r="AM172" i="1" s="1"/>
  <c r="AM73" i="1" a="1"/>
  <c r="AM73" i="1" s="1"/>
  <c r="AM207" i="1" a="1"/>
  <c r="AM207" i="1" s="1"/>
  <c r="AM21" i="1" a="1"/>
  <c r="AM21" i="1" s="1"/>
  <c r="AM86" i="1" a="1"/>
  <c r="AM86" i="1" s="1"/>
  <c r="AM23" i="1" a="1"/>
  <c r="AM23" i="1" s="1"/>
  <c r="AM43" i="1" a="1"/>
  <c r="AM43" i="1" s="1"/>
  <c r="AM254" i="1" a="1"/>
  <c r="AM254" i="1" s="1"/>
  <c r="AM112" i="1" a="1"/>
  <c r="AM112" i="1" s="1"/>
  <c r="AM219" i="1" a="1"/>
  <c r="AM219" i="1" s="1"/>
  <c r="AM65" i="1" a="1"/>
  <c r="AM65" i="1" s="1"/>
  <c r="AM76" i="1" a="1"/>
  <c r="AM76" i="1" s="1"/>
  <c r="AM140" i="1" a="1"/>
  <c r="AM140" i="1" s="1"/>
  <c r="AM247" i="1" a="1"/>
  <c r="AM247" i="1" s="1"/>
  <c r="AM103" i="1" a="1"/>
  <c r="AM103" i="1" s="1"/>
  <c r="AM100" i="1" a="1"/>
  <c r="AM100" i="1" s="1"/>
  <c r="AM168" i="1" a="1"/>
  <c r="AM168" i="1" s="1"/>
  <c r="AM275" i="1" a="1"/>
  <c r="AM275" i="1" s="1"/>
  <c r="AM151" i="1" a="1"/>
  <c r="AM151" i="1" s="1"/>
  <c r="AM58" i="1" a="1"/>
  <c r="AM58" i="1" s="1"/>
  <c r="AM179" i="1" a="1"/>
  <c r="AM179" i="1" s="1"/>
  <c r="AM286" i="1" a="1"/>
  <c r="AM286" i="1" s="1"/>
  <c r="AM189" i="1" a="1"/>
  <c r="AM189" i="1" s="1"/>
  <c r="AM59" i="1" a="1"/>
  <c r="AM59" i="1" s="1"/>
  <c r="AM180" i="1" a="1"/>
  <c r="AM180" i="1" s="1"/>
  <c r="AM85" i="1" a="1"/>
  <c r="AM85" i="1" s="1"/>
  <c r="AM288" i="1" a="1"/>
  <c r="AM288" i="1" s="1"/>
  <c r="AM28" i="1" a="1"/>
  <c r="AM28" i="1" s="1"/>
  <c r="AM92" i="1" a="1"/>
  <c r="AM92" i="1" s="1"/>
  <c r="AM36" i="1" a="1"/>
  <c r="AM36" i="1" s="1"/>
  <c r="AM56" i="1" a="1"/>
  <c r="AM56" i="1" s="1"/>
  <c r="AM272" i="1" a="1"/>
  <c r="AM272" i="1" s="1"/>
  <c r="AM120" i="1" a="1"/>
  <c r="AM120" i="1" s="1"/>
  <c r="AM227" i="1" a="1"/>
  <c r="AM227" i="1" s="1"/>
  <c r="AM121" i="1" a="1"/>
  <c r="AM121" i="1" s="1"/>
  <c r="AM164" i="1" a="1"/>
  <c r="AM164" i="1" s="1"/>
  <c r="AM149" i="1" a="1"/>
  <c r="AM149" i="1" s="1"/>
  <c r="AM256" i="1" a="1"/>
  <c r="AM256" i="1" s="1"/>
  <c r="AM123" i="1" a="1"/>
  <c r="AM123" i="1" s="1"/>
  <c r="AM199" i="1" a="1"/>
  <c r="AM199" i="1" s="1"/>
  <c r="AM178" i="1" a="1"/>
  <c r="AM178" i="1" s="1"/>
  <c r="AM285" i="1" a="1"/>
  <c r="AM285" i="1" s="1"/>
  <c r="AM169" i="1" a="1"/>
  <c r="AM169" i="1" s="1"/>
  <c r="AM71" i="1" a="1"/>
  <c r="AM71" i="1" s="1"/>
  <c r="AM188" i="1" a="1"/>
  <c r="AM188" i="1" s="1"/>
  <c r="AM24" i="1" a="1"/>
  <c r="AM24" i="1" s="1"/>
  <c r="AM206" i="1" a="1"/>
  <c r="AM206" i="1" s="1"/>
  <c r="AM72" i="1" a="1"/>
  <c r="AM72" i="1" s="1"/>
  <c r="AM190" i="1" a="1"/>
  <c r="AM190" i="1" s="1"/>
  <c r="AM97" i="1" a="1"/>
  <c r="AM97" i="1" s="1"/>
  <c r="AM50" i="1" a="1"/>
  <c r="AM50" i="1" s="1"/>
  <c r="AM84" i="1" a="1"/>
  <c r="AM84" i="1" s="1"/>
  <c r="A197" i="37"/>
  <c r="A77" i="37"/>
  <c r="A5" i="37"/>
  <c r="A13" i="37"/>
  <c r="A15" i="37"/>
  <c r="A93" i="37"/>
  <c r="A171" i="37"/>
  <c r="A108" i="37"/>
  <c r="A129" i="37"/>
  <c r="A36" i="37"/>
  <c r="A7" i="37"/>
  <c r="A11" i="37"/>
  <c r="A140" i="37"/>
  <c r="A10" i="37"/>
  <c r="A4" i="37"/>
  <c r="A19" i="37"/>
  <c r="A14" i="37"/>
  <c r="A201" i="37"/>
  <c r="A224" i="37"/>
  <c r="A125" i="37"/>
  <c r="A23" i="37"/>
  <c r="A72" i="37"/>
  <c r="A262" i="37"/>
  <c r="A67" i="37"/>
  <c r="A95" i="37"/>
  <c r="A270" i="37"/>
  <c r="A246" i="37"/>
  <c r="A219" i="37"/>
  <c r="A78" i="37"/>
  <c r="A278" i="37"/>
  <c r="A208" i="37"/>
  <c r="A204" i="37"/>
  <c r="A283" i="37"/>
  <c r="A149" i="37"/>
  <c r="A170" i="37"/>
  <c r="A266" i="37"/>
  <c r="A237" i="37"/>
  <c r="A216" i="37"/>
  <c r="A173" i="37"/>
  <c r="A143" i="37"/>
  <c r="A181" i="37"/>
  <c r="A160" i="37"/>
  <c r="A223" i="37"/>
  <c r="A178" i="37"/>
  <c r="A218" i="37"/>
  <c r="A176" i="37"/>
  <c r="A244" i="37"/>
  <c r="A245" i="37"/>
  <c r="A209" i="37"/>
  <c r="A282" i="37"/>
  <c r="A45" i="37"/>
  <c r="A276" i="37"/>
  <c r="A52" i="37"/>
  <c r="A242" i="37"/>
  <c r="A91" i="37"/>
  <c r="A269" i="37"/>
  <c r="A74" i="37"/>
  <c r="A75" i="37"/>
  <c r="A3" i="37"/>
  <c r="A107" i="37"/>
  <c r="A260" i="37"/>
  <c r="A106" i="37"/>
  <c r="A148" i="37"/>
  <c r="A190" i="37"/>
  <c r="A279" i="37"/>
  <c r="Q14" i="11"/>
  <c r="A85" i="37"/>
  <c r="A61" i="37"/>
  <c r="A94" i="37"/>
  <c r="A249" i="37"/>
  <c r="A81" i="37"/>
  <c r="A55" i="37"/>
  <c r="A152" i="37"/>
  <c r="A177" i="37"/>
  <c r="A169" i="37"/>
  <c r="A231" i="37"/>
  <c r="A141" i="37"/>
  <c r="A287" i="37"/>
  <c r="A131" i="37"/>
  <c r="A240" i="37"/>
  <c r="A146" i="37"/>
  <c r="A70" i="37"/>
  <c r="A73" i="37"/>
  <c r="A274" i="37"/>
  <c r="A115" i="37"/>
  <c r="A259" i="37"/>
  <c r="A57" i="37"/>
  <c r="A30" i="37"/>
  <c r="A268" i="37"/>
  <c r="A124" i="37"/>
  <c r="A62" i="37"/>
  <c r="A263" i="37"/>
  <c r="A8" i="37"/>
  <c r="A65" i="37"/>
  <c r="A133" i="37"/>
  <c r="A37" i="37"/>
  <c r="A20" i="37"/>
  <c r="A76" i="37"/>
  <c r="A121" i="37"/>
  <c r="A285" i="37"/>
  <c r="A96" i="37"/>
  <c r="A235" i="37"/>
  <c r="A228" i="37"/>
  <c r="A39" i="37"/>
  <c r="A147" i="37"/>
  <c r="A82" i="37"/>
  <c r="A156" i="37"/>
  <c r="A88" i="37"/>
  <c r="A109" i="37"/>
  <c r="A254" i="37"/>
  <c r="A127" i="37"/>
  <c r="A188" i="37"/>
  <c r="A34" i="37"/>
  <c r="A87" i="37"/>
  <c r="A130" i="37"/>
  <c r="A60" i="37"/>
  <c r="A56" i="37"/>
  <c r="A157" i="37"/>
  <c r="A238" i="37"/>
  <c r="A21" i="37"/>
  <c r="A117" i="37"/>
  <c r="A273" i="37"/>
  <c r="A24" i="37"/>
  <c r="A111" i="37"/>
  <c r="A16" i="37"/>
  <c r="A153" i="37"/>
  <c r="A168" i="37"/>
  <c r="A126" i="37"/>
  <c r="A167" i="37"/>
  <c r="A102" i="37"/>
  <c r="A90" i="37"/>
  <c r="A101" i="37"/>
  <c r="A284" i="37"/>
  <c r="A155" i="37"/>
  <c r="A83" i="37"/>
  <c r="A200" i="37"/>
  <c r="A220" i="37"/>
  <c r="A272" i="37"/>
  <c r="A98" i="37"/>
  <c r="A137" i="37"/>
  <c r="A258" i="37"/>
  <c r="A239" i="37"/>
  <c r="A138" i="37"/>
  <c r="A84" i="37"/>
  <c r="A252" i="37"/>
  <c r="A118" i="37"/>
  <c r="A40" i="37"/>
  <c r="A29" i="37"/>
  <c r="A22" i="37"/>
  <c r="A184" i="37"/>
  <c r="A51" i="37"/>
  <c r="A132" i="37"/>
  <c r="A210" i="37"/>
  <c r="A114" i="37"/>
  <c r="A212" i="37"/>
  <c r="A135" i="37"/>
  <c r="A158" i="37"/>
  <c r="A225" i="37"/>
  <c r="A43" i="37"/>
  <c r="A159" i="37"/>
  <c r="A145" i="37"/>
  <c r="A17" i="37"/>
  <c r="A103" i="37"/>
  <c r="A251" i="37"/>
  <c r="A26" i="37"/>
  <c r="A257" i="37"/>
  <c r="A229" i="37"/>
  <c r="A280" i="37"/>
  <c r="A248" i="37"/>
  <c r="A227" i="37"/>
  <c r="A289" i="37"/>
  <c r="A123" i="37"/>
  <c r="A194" i="37"/>
  <c r="A207" i="37"/>
  <c r="A66" i="37"/>
  <c r="A32" i="37"/>
  <c r="A161" i="37"/>
  <c r="A187" i="37"/>
  <c r="A275" i="37"/>
  <c r="A211" i="37"/>
  <c r="A104" i="37"/>
  <c r="A232" i="37"/>
  <c r="A69" i="37"/>
  <c r="A172" i="37"/>
  <c r="A150" i="37"/>
  <c r="A113" i="37"/>
  <c r="A105" i="37"/>
  <c r="A53" i="37"/>
  <c r="A189" i="37"/>
  <c r="A89" i="37"/>
  <c r="A261" i="37"/>
  <c r="A163" i="37"/>
  <c r="A288" i="37"/>
  <c r="A31" i="37"/>
  <c r="A6" i="37"/>
  <c r="A68" i="37"/>
  <c r="A99" i="37"/>
  <c r="A154" i="37"/>
  <c r="A217" i="37"/>
  <c r="A185" i="37"/>
  <c r="A49" i="37"/>
  <c r="A120" i="37"/>
  <c r="A265" i="37"/>
  <c r="A42" i="37"/>
  <c r="A213" i="37"/>
  <c r="A27" i="37"/>
  <c r="A128" i="37"/>
  <c r="A134" i="37"/>
  <c r="A50" i="37"/>
  <c r="A35" i="37"/>
  <c r="A234" i="37"/>
  <c r="A203" i="37"/>
  <c r="A271" i="37"/>
  <c r="A86" i="37"/>
  <c r="A198" i="37"/>
  <c r="A195" i="37"/>
  <c r="A241" i="37"/>
  <c r="A46" i="37"/>
  <c r="Q12" i="11"/>
  <c r="A92" i="37"/>
  <c r="A41" i="37"/>
  <c r="A79" i="37"/>
  <c r="A139" i="37"/>
  <c r="A226" i="37"/>
  <c r="A186" i="37"/>
  <c r="A12" i="37"/>
  <c r="A59" i="37"/>
  <c r="A112" i="37"/>
  <c r="A25" i="37"/>
  <c r="A202" i="37"/>
  <c r="A192" i="37"/>
  <c r="A236" i="37"/>
  <c r="A100" i="37"/>
  <c r="A38" i="37"/>
  <c r="A71" i="37"/>
  <c r="A214" i="37"/>
  <c r="A183" i="37"/>
  <c r="A18" i="37"/>
  <c r="A230" i="37"/>
  <c r="A110" i="37"/>
  <c r="A28" i="37"/>
  <c r="A191" i="37"/>
  <c r="A54" i="37"/>
  <c r="A277" i="37"/>
  <c r="A2" i="37"/>
  <c r="A80" i="37"/>
  <c r="A243" i="37"/>
  <c r="A119" i="37"/>
  <c r="A253" i="37"/>
  <c r="A47" i="37"/>
  <c r="A205" i="37"/>
  <c r="A196" i="37"/>
  <c r="A215" i="37"/>
  <c r="A63" i="37"/>
  <c r="A247" i="37"/>
  <c r="A44" i="37"/>
  <c r="A267" i="37"/>
  <c r="A166" i="37"/>
  <c r="A222" i="37"/>
  <c r="A221" i="37"/>
  <c r="A281" i="37"/>
  <c r="A193" i="37"/>
  <c r="A179" i="37"/>
  <c r="A122" i="37"/>
  <c r="A199" i="37"/>
  <c r="A182" i="37"/>
  <c r="A175" i="37"/>
  <c r="A136" i="37"/>
  <c r="A97" i="37"/>
  <c r="A48" i="37"/>
  <c r="A250" i="37"/>
  <c r="A33" i="37"/>
  <c r="A255" i="37"/>
  <c r="A142" i="37"/>
  <c r="A180" i="37"/>
  <c r="A151" i="37"/>
  <c r="A174" i="37"/>
  <c r="A206" i="37"/>
  <c r="A164" i="37"/>
  <c r="A264" i="37"/>
  <c r="A165" i="37"/>
  <c r="A116" i="37"/>
  <c r="A162" i="37"/>
  <c r="A9" i="37"/>
  <c r="A144" i="37"/>
  <c r="A256" i="37"/>
  <c r="A58" i="37"/>
  <c r="A233" i="37"/>
  <c r="A64" i="37"/>
  <c r="A286" i="37"/>
  <c r="AN249" i="1" l="1" a="1"/>
  <c r="AN249" i="1" s="1"/>
  <c r="AN153" i="1" a="1"/>
  <c r="AN153" i="1" s="1"/>
  <c r="AN26" i="1" a="1"/>
  <c r="AN26" i="1" s="1"/>
  <c r="AN154" i="1" a="1"/>
  <c r="AN154" i="1" s="1"/>
  <c r="AN155" i="1" a="1"/>
  <c r="AN155" i="1" s="1"/>
  <c r="AN42" i="1" a="1"/>
  <c r="AN42" i="1" s="1"/>
  <c r="AN33" i="1" a="1"/>
  <c r="AN33" i="1" s="1"/>
  <c r="AN72" i="1" a="1"/>
  <c r="AN72" i="1" s="1"/>
  <c r="AN282" i="1" a="1"/>
  <c r="AN282" i="1" s="1"/>
  <c r="AN64" i="1" a="1"/>
  <c r="AN64" i="1" s="1"/>
  <c r="AN275" i="1" a="1"/>
  <c r="AN275" i="1" s="1"/>
  <c r="AN48" i="1" a="1"/>
  <c r="AN48" i="1" s="1"/>
  <c r="AN190" i="1" a="1"/>
  <c r="AN190" i="1" s="1"/>
  <c r="AN102" i="1" a="1"/>
  <c r="AN102" i="1" s="1"/>
  <c r="AN135" i="1" a="1"/>
  <c r="AN135" i="1" s="1"/>
  <c r="AN242" i="1" a="1"/>
  <c r="AN242" i="1" s="1"/>
  <c r="AN104" i="1" a="1"/>
  <c r="AN104" i="1" s="1"/>
  <c r="AN163" i="1" a="1"/>
  <c r="AN163" i="1" s="1"/>
  <c r="AN250" i="1" a="1"/>
  <c r="AN250" i="1" s="1"/>
  <c r="AN263" i="1" a="1"/>
  <c r="AN263" i="1" s="1"/>
  <c r="AN243" i="1" a="1"/>
  <c r="AN243" i="1" s="1"/>
  <c r="AN147" i="1" a="1"/>
  <c r="AN147" i="1" s="1"/>
  <c r="AN115" i="1" a="1"/>
  <c r="AN115" i="1" s="1"/>
  <c r="AN121" i="1" a="1"/>
  <c r="AN121" i="1" s="1"/>
  <c r="AN11" i="1" a="1"/>
  <c r="AN11" i="1" s="1"/>
  <c r="AN88" i="1" a="1"/>
  <c r="AN88" i="1" s="1"/>
  <c r="AN137" i="1" a="1"/>
  <c r="AN137" i="1" s="1"/>
  <c r="AN268" i="1" a="1"/>
  <c r="AN268" i="1" s="1"/>
  <c r="AN151" i="1" a="1"/>
  <c r="AN151" i="1" s="1"/>
  <c r="AN169" i="1" a="1"/>
  <c r="AN169" i="1" s="1"/>
  <c r="AN110" i="1" a="1"/>
  <c r="AN110" i="1" s="1"/>
  <c r="AN103" i="1" a="1"/>
  <c r="AN103" i="1" s="1"/>
  <c r="AN134" i="1" a="1"/>
  <c r="AN134" i="1" s="1"/>
  <c r="AN176" i="1" a="1"/>
  <c r="AN176" i="1" s="1"/>
  <c r="AN46" i="1" a="1"/>
  <c r="AN46" i="1" s="1"/>
  <c r="AN161" i="1" a="1"/>
  <c r="AN161" i="1" s="1"/>
  <c r="AN30" i="1" a="1"/>
  <c r="AN30" i="1" s="1"/>
  <c r="AN128" i="1" a="1"/>
  <c r="AN128" i="1" s="1"/>
  <c r="AN22" i="1" a="1"/>
  <c r="AN22" i="1" s="1"/>
  <c r="AN254" i="1" a="1"/>
  <c r="AN254" i="1" s="1"/>
  <c r="AN86" i="1" a="1"/>
  <c r="AN86" i="1" s="1"/>
  <c r="AN200" i="1" a="1"/>
  <c r="AN200" i="1" s="1"/>
  <c r="AN24" i="1" a="1"/>
  <c r="AN24" i="1" s="1"/>
  <c r="AN160" i="1" a="1"/>
  <c r="AN160" i="1" s="1"/>
  <c r="AN41" i="1" a="1"/>
  <c r="AN41" i="1" s="1"/>
  <c r="AN8" i="1" a="1"/>
  <c r="AN8" i="1" s="1"/>
  <c r="AN90" i="1" a="1"/>
  <c r="AN90" i="1" s="1"/>
  <c r="AN276" i="1" a="1"/>
  <c r="AN276" i="1" s="1"/>
  <c r="AN82" i="1" a="1"/>
  <c r="AN82" i="1" s="1"/>
  <c r="AN269" i="1" a="1"/>
  <c r="AN269" i="1" s="1"/>
  <c r="AN66" i="1" a="1"/>
  <c r="AN66" i="1" s="1"/>
  <c r="AN203" i="1" a="1"/>
  <c r="AN203" i="1" s="1"/>
  <c r="AN271" i="1" a="1"/>
  <c r="AN271" i="1" s="1"/>
  <c r="AN189" i="1" a="1"/>
  <c r="AN189" i="1" s="1"/>
  <c r="AN54" i="1" a="1"/>
  <c r="AN54" i="1" s="1"/>
  <c r="AN184" i="1" a="1"/>
  <c r="AN184" i="1" s="1"/>
  <c r="AN261" i="1" a="1"/>
  <c r="AN261" i="1" s="1"/>
  <c r="AN87" i="1" a="1"/>
  <c r="AN87" i="1" s="1"/>
  <c r="AN99" i="1" a="1"/>
  <c r="AN99" i="1" s="1"/>
  <c r="AN81" i="1" a="1"/>
  <c r="AN81" i="1" s="1"/>
  <c r="AN175" i="1" a="1"/>
  <c r="AN175" i="1" s="1"/>
  <c r="AN69" i="1" a="1"/>
  <c r="AN69" i="1" s="1"/>
  <c r="AN159" i="1" a="1"/>
  <c r="AN159" i="1" s="1"/>
  <c r="AN61" i="1" a="1"/>
  <c r="AN61" i="1" s="1"/>
  <c r="AN127" i="1" a="1"/>
  <c r="AN127" i="1" s="1"/>
  <c r="AN45" i="1" a="1"/>
  <c r="AN45" i="1" s="1"/>
  <c r="AN113" i="1" a="1"/>
  <c r="AN113" i="1" s="1"/>
  <c r="AN201" i="1" a="1"/>
  <c r="AN201" i="1" s="1"/>
  <c r="AN247" i="1" a="1"/>
  <c r="AN247" i="1" s="1"/>
  <c r="AN71" i="1" a="1"/>
  <c r="AN71" i="1" s="1"/>
  <c r="AN191" i="1" a="1"/>
  <c r="AN191" i="1" s="1"/>
  <c r="AN16" i="1" a="1"/>
  <c r="AN16" i="1" s="1"/>
  <c r="AN202" i="1" a="1"/>
  <c r="AN202" i="1" s="1"/>
  <c r="AN144" i="1" a="1"/>
  <c r="AN144" i="1" s="1"/>
  <c r="AN177" i="1" a="1"/>
  <c r="AN177" i="1" s="1"/>
  <c r="AN136" i="1" a="1"/>
  <c r="AN136" i="1" s="1"/>
  <c r="AN162" i="1" a="1"/>
  <c r="AN162" i="1" s="1"/>
  <c r="AN120" i="1" a="1"/>
  <c r="AN120" i="1" s="1"/>
  <c r="AN130" i="1" a="1"/>
  <c r="AN130" i="1" s="1"/>
  <c r="AN112" i="1" a="1"/>
  <c r="AN112" i="1" s="1"/>
  <c r="AN262" i="1" a="1"/>
  <c r="AN262" i="1" s="1"/>
  <c r="AN58" i="1" a="1"/>
  <c r="AN58" i="1" s="1"/>
  <c r="AN188" i="1" a="1"/>
  <c r="AN188" i="1" s="1"/>
  <c r="AN85" i="1" a="1"/>
  <c r="AN85" i="1" s="1"/>
  <c r="AN10" i="1" a="1"/>
  <c r="AN10" i="1" s="1"/>
  <c r="AN63" i="1" a="1"/>
  <c r="AN63" i="1" s="1"/>
  <c r="AN125" i="1" a="1"/>
  <c r="AN125" i="1" s="1"/>
  <c r="AN116" i="1" a="1"/>
  <c r="AN116" i="1" s="1"/>
  <c r="AN101" i="1" a="1"/>
  <c r="AN101" i="1" s="1"/>
  <c r="AN111" i="1" a="1"/>
  <c r="AN111" i="1" s="1"/>
  <c r="AN37" i="1" a="1"/>
  <c r="AN37" i="1" s="1"/>
  <c r="AN78" i="1" a="1"/>
  <c r="AN78" i="1" s="1"/>
  <c r="AN165" i="1" a="1"/>
  <c r="AN165" i="1" s="1"/>
  <c r="AN240" i="1" a="1"/>
  <c r="AN240" i="1" s="1"/>
  <c r="AN62" i="1" a="1"/>
  <c r="AN62" i="1" s="1"/>
  <c r="AN145" i="1" a="1"/>
  <c r="AN145" i="1" s="1"/>
  <c r="AN15" i="1" a="1"/>
  <c r="AN15" i="1" s="1"/>
  <c r="AN129" i="1" a="1"/>
  <c r="AN129" i="1" s="1"/>
  <c r="AN195" i="1" a="1"/>
  <c r="AN195" i="1" s="1"/>
  <c r="AN97" i="1" a="1"/>
  <c r="AN97" i="1" s="1"/>
  <c r="AN167" i="1" a="1"/>
  <c r="AN167" i="1" s="1"/>
  <c r="AN79" i="1" a="1"/>
  <c r="AN79" i="1" s="1"/>
  <c r="AN158" i="1" a="1"/>
  <c r="AN158" i="1" s="1"/>
  <c r="AN114" i="1" a="1"/>
  <c r="AN114" i="1" s="1"/>
  <c r="AN96" i="1" a="1"/>
  <c r="AN96" i="1" s="1"/>
  <c r="AN246" i="1" a="1"/>
  <c r="AN246" i="1" s="1"/>
  <c r="AN140" i="1" a="1"/>
  <c r="AN140" i="1" s="1"/>
  <c r="AN241" i="1" a="1"/>
  <c r="AN241" i="1" s="1"/>
  <c r="AN196" i="1" a="1"/>
  <c r="AN196" i="1" s="1"/>
  <c r="AN67" i="1" a="1"/>
  <c r="AN67" i="1" s="1"/>
  <c r="AN286" i="1" a="1"/>
  <c r="AN286" i="1" s="1"/>
  <c r="AN172" i="1" a="1"/>
  <c r="AN172" i="1" s="1"/>
  <c r="AN273" i="1" a="1"/>
  <c r="AN273" i="1" s="1"/>
  <c r="AN156" i="1" a="1"/>
  <c r="AN156" i="1" s="1"/>
  <c r="AN245" i="1" a="1"/>
  <c r="AN245" i="1" s="1"/>
  <c r="AN148" i="1" a="1"/>
  <c r="AN148" i="1" s="1"/>
  <c r="AN92" i="1" a="1"/>
  <c r="AN92" i="1" s="1"/>
  <c r="AN75" i="1" a="1"/>
  <c r="AN75" i="1" s="1"/>
  <c r="AN21" i="1" a="1"/>
  <c r="AN21" i="1" s="1"/>
  <c r="AN57" i="1" a="1"/>
  <c r="AN57" i="1" s="1"/>
  <c r="AN157" i="1" a="1"/>
  <c r="AN157" i="1" s="1"/>
  <c r="AN47" i="1" a="1"/>
  <c r="AN47" i="1" s="1"/>
  <c r="AN38" i="1" a="1"/>
  <c r="AN38" i="1" s="1"/>
  <c r="AN23" i="1" a="1"/>
  <c r="AN23" i="1" s="1"/>
  <c r="AN14" i="1" a="1"/>
  <c r="AN14" i="1" s="1"/>
  <c r="AN32" i="1" a="1"/>
  <c r="AN32" i="1" s="1"/>
  <c r="AN143" i="1" a="1"/>
  <c r="AN143" i="1" s="1"/>
  <c r="AN55" i="1" a="1"/>
  <c r="AN55" i="1" s="1"/>
  <c r="AN207" i="1" a="1"/>
  <c r="AN207" i="1" s="1"/>
  <c r="AN34" i="1" a="1"/>
  <c r="AN34" i="1" s="1"/>
  <c r="AN59" i="1" a="1"/>
  <c r="AN59" i="1" s="1"/>
  <c r="AN95" i="1" a="1"/>
  <c r="AN95" i="1" s="1"/>
  <c r="AN266" i="1" a="1"/>
  <c r="AN266" i="1" s="1"/>
  <c r="AN28" i="1" a="1"/>
  <c r="AN28" i="1" s="1"/>
  <c r="AN259" i="1" a="1"/>
  <c r="AN259" i="1" s="1"/>
  <c r="AN12" i="1" a="1"/>
  <c r="AN12" i="1" s="1"/>
  <c r="AN252" i="1" a="1"/>
  <c r="AN252" i="1" s="1"/>
  <c r="AN3" i="1" a="1"/>
  <c r="AN3" i="1" s="1"/>
  <c r="AN206" i="1" a="1"/>
  <c r="AN206" i="1" s="1"/>
  <c r="AN132" i="1" a="1"/>
  <c r="AN132" i="1" s="1"/>
  <c r="AN77" i="1" a="1"/>
  <c r="AN77" i="1" s="1"/>
  <c r="AN56" i="1" a="1"/>
  <c r="AN56" i="1" s="1"/>
  <c r="AN13" i="1" a="1"/>
  <c r="AN13" i="1" s="1"/>
  <c r="AN31" i="1" a="1"/>
  <c r="AN31" i="1" s="1"/>
  <c r="AN141" i="1" a="1"/>
  <c r="AN141" i="1" s="1"/>
  <c r="AN287" i="1" a="1"/>
  <c r="AN287" i="1" s="1"/>
  <c r="AN133" i="1" a="1"/>
  <c r="AN133" i="1" s="1"/>
  <c r="AN274" i="1" a="1"/>
  <c r="AN274" i="1" s="1"/>
  <c r="AN117" i="1" a="1"/>
  <c r="AN117" i="1" s="1"/>
  <c r="AN239" i="1" a="1"/>
  <c r="AN239" i="1" s="1"/>
  <c r="AN109" i="1" a="1"/>
  <c r="AN109" i="1" s="1"/>
  <c r="AN199" i="1" a="1"/>
  <c r="AN199" i="1" s="1"/>
  <c r="AN6" i="1" a="1"/>
  <c r="AN6" i="1" s="1"/>
  <c r="AN279" i="1" a="1"/>
  <c r="AN279" i="1" s="1"/>
  <c r="AN36" i="1" a="1"/>
  <c r="AN36" i="1" s="1"/>
  <c r="AN258" i="1" a="1"/>
  <c r="AN258" i="1" s="1"/>
  <c r="AN119" i="1" a="1"/>
  <c r="AN119" i="1" s="1"/>
  <c r="AN238" i="1" a="1"/>
  <c r="AN238" i="1" s="1"/>
  <c r="AN255" i="1" a="1"/>
  <c r="AN255" i="1" s="1"/>
  <c r="AN106" i="1" a="1"/>
  <c r="AN106" i="1" s="1"/>
  <c r="AN131" i="1" a="1"/>
  <c r="AN131" i="1" s="1"/>
  <c r="AN49" i="1" a="1"/>
  <c r="AN49" i="1" s="1"/>
  <c r="AN122" i="1" a="1"/>
  <c r="AN122" i="1" s="1"/>
  <c r="AN285" i="1" a="1"/>
  <c r="AN285" i="1" s="1"/>
  <c r="AN107" i="1" a="1"/>
  <c r="AN107" i="1" s="1"/>
  <c r="AN244" i="1" a="1"/>
  <c r="AN244" i="1" s="1"/>
  <c r="AN43" i="1" a="1"/>
  <c r="AN43" i="1" s="1"/>
  <c r="AN197" i="1" a="1"/>
  <c r="AN197" i="1" s="1"/>
  <c r="AN124" i="1" a="1"/>
  <c r="AN124" i="1" s="1"/>
  <c r="AN187" i="1" a="1"/>
  <c r="AN187" i="1" s="1"/>
  <c r="AN68" i="1" a="1"/>
  <c r="AN68" i="1" s="1"/>
  <c r="AN25" i="1" a="1"/>
  <c r="AN25" i="1" s="1"/>
  <c r="AN5" i="1" a="1"/>
  <c r="AN5" i="1" s="1"/>
  <c r="AN280" i="1" a="1"/>
  <c r="AN280" i="1" s="1"/>
  <c r="AN180" i="1" a="1"/>
  <c r="AN180" i="1" s="1"/>
  <c r="AN267" i="1" a="1"/>
  <c r="AN267" i="1" s="1"/>
  <c r="AN173" i="1" a="1"/>
  <c r="AN173" i="1" s="1"/>
  <c r="AN260" i="1" a="1"/>
  <c r="AN260" i="1" s="1"/>
  <c r="AN164" i="1" a="1"/>
  <c r="AN164" i="1" s="1"/>
  <c r="AN198" i="1" a="1"/>
  <c r="AN198" i="1" s="1"/>
  <c r="AN93" i="1" a="1"/>
  <c r="AN93" i="1" s="1"/>
  <c r="AN138" i="1" a="1"/>
  <c r="AN138" i="1" s="1"/>
  <c r="AN146" i="1" a="1"/>
  <c r="AN146" i="1" s="1"/>
  <c r="AN18" i="1" a="1"/>
  <c r="AN18" i="1" s="1"/>
  <c r="AN50" i="1" a="1"/>
  <c r="AN50" i="1" s="1"/>
  <c r="AN168" i="1" a="1"/>
  <c r="AN168" i="1" s="1"/>
  <c r="AN9" i="1" a="1"/>
  <c r="AN9" i="1" s="1"/>
  <c r="AN89" i="1" a="1"/>
  <c r="AN89" i="1" s="1"/>
  <c r="AN39" i="1" a="1"/>
  <c r="AN39" i="1" s="1"/>
  <c r="AN70" i="1" a="1"/>
  <c r="AN70" i="1" s="1"/>
  <c r="AN283" i="1" a="1"/>
  <c r="AN283" i="1" s="1"/>
  <c r="AN17" i="1" a="1"/>
  <c r="AN17" i="1" s="1"/>
  <c r="AN288" i="1" a="1"/>
  <c r="AN288" i="1" s="1"/>
  <c r="AN272" i="1" a="1"/>
  <c r="AN272" i="1" s="1"/>
  <c r="AN98" i="1" a="1"/>
  <c r="AN98" i="1" s="1"/>
  <c r="AN27" i="1" a="1"/>
  <c r="AN27" i="1" s="1"/>
  <c r="AN186" i="1" a="1"/>
  <c r="AN186" i="1" s="1"/>
  <c r="AN108" i="1" a="1"/>
  <c r="AN108" i="1" s="1"/>
  <c r="AN174" i="1" a="1"/>
  <c r="AN174" i="1" s="1"/>
  <c r="AN53" i="1" a="1"/>
  <c r="AN53" i="1" s="1"/>
  <c r="AN142" i="1" a="1"/>
  <c r="AN142" i="1" s="1"/>
  <c r="AN44" i="1" a="1"/>
  <c r="AN44" i="1" s="1"/>
  <c r="AN126" i="1" a="1"/>
  <c r="AN126" i="1" s="1"/>
  <c r="AN29" i="1" a="1"/>
  <c r="AN29" i="1" s="1"/>
  <c r="AN94" i="1" a="1"/>
  <c r="AN94" i="1" s="1"/>
  <c r="AN20" i="1" a="1"/>
  <c r="AN20" i="1" s="1"/>
  <c r="AN253" i="1" a="1"/>
  <c r="AN253" i="1" s="1"/>
  <c r="AN149" i="1" a="1"/>
  <c r="AN149" i="1" s="1"/>
  <c r="AN105" i="1" a="1"/>
  <c r="AN105" i="1" s="1"/>
  <c r="AN7" i="1" a="1"/>
  <c r="AN7" i="1" s="1"/>
  <c r="AN118" i="1" a="1"/>
  <c r="AN118" i="1" s="1"/>
  <c r="AN35" i="1" a="1"/>
  <c r="AN35" i="1" s="1"/>
  <c r="AN40" i="1" a="1"/>
  <c r="AN40" i="1" s="1"/>
  <c r="AN289" i="1" a="1"/>
  <c r="AN289" i="1" s="1"/>
  <c r="AN204" i="1" a="1"/>
  <c r="AN204" i="1" s="1"/>
  <c r="AN277" i="1" a="1"/>
  <c r="AN277" i="1" s="1"/>
  <c r="AN194" i="1" a="1"/>
  <c r="AN194" i="1" s="1"/>
  <c r="AN264" i="1" a="1"/>
  <c r="AN264" i="1" s="1"/>
  <c r="AN183" i="1" a="1"/>
  <c r="AN183" i="1" s="1"/>
  <c r="AN278" i="1" a="1"/>
  <c r="AN278" i="1" s="1"/>
  <c r="AN80" i="1" a="1"/>
  <c r="AN80" i="1" s="1"/>
  <c r="AN251" i="1" a="1"/>
  <c r="AN251" i="1" s="1"/>
  <c r="AN83" i="1" a="1"/>
  <c r="AN83" i="1" s="1"/>
  <c r="AN19" i="1" a="1"/>
  <c r="AN19" i="1" s="1"/>
  <c r="AN171" i="1" a="1"/>
  <c r="AN171" i="1" s="1"/>
  <c r="AN100" i="1" a="1"/>
  <c r="AN100" i="1" s="1"/>
  <c r="AN139" i="1" a="1"/>
  <c r="AN139" i="1" s="1"/>
  <c r="AN84" i="1" a="1"/>
  <c r="AN84" i="1" s="1"/>
  <c r="AN123" i="1" a="1"/>
  <c r="AN123" i="1" s="1"/>
  <c r="AN76" i="1" a="1"/>
  <c r="AN76" i="1" s="1"/>
  <c r="AN91" i="1" a="1"/>
  <c r="AN91" i="1" s="1"/>
  <c r="AN60" i="1" a="1"/>
  <c r="AN60" i="1" s="1"/>
  <c r="AN73" i="1" a="1"/>
  <c r="AN73" i="1" s="1"/>
  <c r="AN4" i="1" a="1"/>
  <c r="AN4" i="1" s="1"/>
  <c r="AN248" i="1" a="1"/>
  <c r="AN248" i="1" s="1"/>
  <c r="AN270" i="1" a="1"/>
  <c r="AN270" i="1" s="1"/>
  <c r="AN281" i="1" a="1"/>
  <c r="AN281" i="1" s="1"/>
  <c r="AN65" i="1" a="1"/>
  <c r="AN65" i="1" s="1"/>
  <c r="AN284" i="1" a="1"/>
  <c r="AN284" i="1" s="1"/>
  <c r="AN181" i="1" a="1"/>
  <c r="AN181" i="1" s="1"/>
  <c r="AN166" i="1" a="1"/>
  <c r="AN166" i="1" s="1"/>
  <c r="AN193" i="1" a="1"/>
  <c r="AN193" i="1" s="1"/>
  <c r="AN150" i="1" a="1"/>
  <c r="AN150" i="1" s="1"/>
  <c r="AN182" i="1" a="1"/>
  <c r="AN182" i="1" s="1"/>
  <c r="AN256" i="1" a="1"/>
  <c r="AN256" i="1" s="1"/>
  <c r="AN152" i="1" a="1"/>
  <c r="AN152" i="1" s="1"/>
  <c r="AN179" i="1" a="1"/>
  <c r="AN179" i="1" s="1"/>
  <c r="AN265" i="1" a="1"/>
  <c r="AN265" i="1" s="1"/>
  <c r="AN192" i="1" a="1"/>
  <c r="AN192" i="1" s="1"/>
  <c r="AN74" i="1" a="1"/>
  <c r="AN74" i="1" s="1"/>
  <c r="D7" i="12" a="1"/>
  <c r="D7" i="12" s="1"/>
  <c r="D21" i="12" a="1"/>
  <c r="D21" i="12" s="1"/>
  <c r="D23" i="12" a="1"/>
  <c r="D23" i="12" s="1"/>
  <c r="D12" i="12" a="1"/>
  <c r="D12" i="12" s="1"/>
  <c r="D10" i="12" a="1"/>
  <c r="D10" i="12" s="1"/>
  <c r="D19" i="12" a="1"/>
  <c r="D19" i="12" s="1"/>
  <c r="D8" i="12" a="1"/>
  <c r="D8" i="12" s="1"/>
  <c r="D18" i="12" a="1"/>
  <c r="D18" i="12" s="1"/>
  <c r="D22" i="12" a="1"/>
  <c r="D22" i="12" s="1"/>
  <c r="D24" i="12" a="1"/>
  <c r="D24" i="12" s="1"/>
  <c r="D25" i="12" a="1"/>
  <c r="D25" i="12" s="1"/>
  <c r="D11" i="12" a="1"/>
  <c r="D11" i="12" s="1"/>
  <c r="AN2" i="1" a="1"/>
  <c r="AN2" i="1" s="1"/>
  <c r="D9" i="12" a="1"/>
  <c r="D9" i="12" s="1"/>
  <c r="D16" i="12" a="1"/>
  <c r="D16" i="12" s="1"/>
  <c r="D33" i="12" a="1"/>
  <c r="D33" i="12" s="1"/>
  <c r="D26" i="12" a="1"/>
  <c r="D26" i="12" s="1"/>
  <c r="D4" i="12" a="1"/>
  <c r="D4" i="12" s="1"/>
  <c r="D13" i="12" a="1"/>
  <c r="D13" i="12" s="1"/>
  <c r="D14" i="12" a="1"/>
  <c r="D14" i="12" s="1"/>
  <c r="D27" i="12" a="1"/>
  <c r="D27" i="12" s="1"/>
  <c r="D5" i="12" a="1"/>
  <c r="D5" i="12" s="1"/>
  <c r="D15" i="12" a="1"/>
  <c r="D15" i="12" s="1"/>
  <c r="D17" i="12" a="1"/>
  <c r="D17" i="12" s="1"/>
  <c r="D20" i="12" a="1"/>
  <c r="D20" i="12" s="1"/>
  <c r="D3" i="12" a="1"/>
  <c r="D3" i="12" s="1"/>
  <c r="D6" i="12" a="1"/>
  <c r="D6" i="12" s="1"/>
  <c r="D2" i="12" a="1"/>
  <c r="D2" i="12" s="1"/>
  <c r="AN205" i="1" a="1"/>
  <c r="AN205" i="1" s="1"/>
  <c r="AN178" i="1" a="1"/>
  <c r="AN178" i="1" s="1"/>
  <c r="AN185" i="1" a="1"/>
  <c r="AN185" i="1" s="1"/>
  <c r="AN170" i="1" a="1"/>
  <c r="AN170" i="1" s="1"/>
  <c r="AN51" i="1" a="1"/>
  <c r="AN51" i="1" s="1"/>
  <c r="AN52" i="1" a="1"/>
  <c r="AN52" i="1" s="1"/>
  <c r="AN257" i="1" a="1"/>
  <c r="AN257" i="1" s="1"/>
  <c r="G3" i="12" l="1"/>
  <c r="H3" i="12"/>
  <c r="I3" i="12"/>
  <c r="I11" i="12"/>
  <c r="H11" i="12"/>
  <c r="G11" i="12"/>
  <c r="I20" i="12"/>
  <c r="P7" i="11" a="1"/>
  <c r="P7" i="11" s="1"/>
  <c r="Q7" i="11" s="1"/>
  <c r="G20" i="12"/>
  <c r="H20" i="12"/>
  <c r="G4" i="12"/>
  <c r="H4" i="12"/>
  <c r="I4" i="12"/>
  <c r="H26" i="12"/>
  <c r="G26" i="12"/>
  <c r="I26" i="12"/>
  <c r="I25" i="12"/>
  <c r="H25" i="12"/>
  <c r="G25" i="12"/>
  <c r="I17" i="12"/>
  <c r="H17" i="12"/>
  <c r="G17" i="12"/>
  <c r="P8" i="11" a="1"/>
  <c r="P8" i="11" s="1"/>
  <c r="Q8" i="11" s="1"/>
  <c r="G33" i="12"/>
  <c r="H33" i="12"/>
  <c r="I33" i="12"/>
  <c r="I24" i="12"/>
  <c r="H24" i="12"/>
  <c r="G24" i="12"/>
  <c r="I10" i="12"/>
  <c r="H10" i="12"/>
  <c r="G10" i="12"/>
  <c r="G15" i="12"/>
  <c r="H15" i="12"/>
  <c r="I15" i="12"/>
  <c r="I22" i="12"/>
  <c r="G22" i="12"/>
  <c r="H22" i="12"/>
  <c r="I12" i="12"/>
  <c r="G12" i="12"/>
  <c r="H12" i="12"/>
  <c r="I6" i="12"/>
  <c r="H6" i="12"/>
  <c r="G6" i="12"/>
  <c r="H16" i="12"/>
  <c r="G16" i="12"/>
  <c r="I16" i="12"/>
  <c r="H18" i="12"/>
  <c r="I18" i="12"/>
  <c r="G18" i="12"/>
  <c r="H23" i="12"/>
  <c r="G23" i="12"/>
  <c r="I23" i="12"/>
  <c r="H13" i="12"/>
  <c r="I13" i="12"/>
  <c r="G13" i="12"/>
  <c r="I21" i="12"/>
  <c r="H21" i="12"/>
  <c r="G21" i="12"/>
  <c r="I5" i="12"/>
  <c r="H5" i="12"/>
  <c r="G5" i="12"/>
  <c r="I8" i="12"/>
  <c r="G8" i="12"/>
  <c r="H8" i="12"/>
  <c r="H27" i="12"/>
  <c r="I27" i="12"/>
  <c r="G27" i="12"/>
  <c r="P11" i="11" a="1"/>
  <c r="P11" i="11" s="1"/>
  <c r="Q11" i="11" s="1"/>
  <c r="H7" i="12"/>
  <c r="G7" i="12"/>
  <c r="I7" i="12"/>
  <c r="P5" i="11" a="1"/>
  <c r="P5" i="11" s="1"/>
  <c r="Q5" i="11" s="1"/>
  <c r="I14" i="12"/>
  <c r="P6" i="11" a="1"/>
  <c r="P6" i="11" s="1"/>
  <c r="Q6" i="11" s="1"/>
  <c r="H14" i="12"/>
  <c r="G14" i="12"/>
  <c r="I9" i="12"/>
  <c r="H9" i="12"/>
  <c r="G9" i="12"/>
  <c r="G19" i="12"/>
  <c r="H19" i="12"/>
  <c r="I19" i="12"/>
  <c r="G2" i="12"/>
  <c r="I2" i="12"/>
  <c r="H2" i="12"/>
  <c r="P4" i="11" a="1"/>
  <c r="P4" i="11" s="1"/>
  <c r="Q4" i="11" s="1"/>
  <c r="P10" i="11" a="1"/>
  <c r="P10" i="11" s="1"/>
  <c r="Q10" i="11" s="1"/>
  <c r="P9" i="11" a="1"/>
  <c r="P9" i="11" s="1"/>
  <c r="Q9" i="11" s="1"/>
  <c r="AY134" i="32"/>
  <c r="BD134" i="32" s="1" a="1"/>
  <c r="BD134" i="32" s="1"/>
  <c r="AY150" i="32"/>
  <c r="BD150" i="32" s="1" a="1"/>
  <c r="BD150" i="32" s="1"/>
  <c r="AY257" i="32"/>
  <c r="BD257" i="32" s="1" a="1"/>
  <c r="BD257" i="32" s="1"/>
  <c r="AY285" i="32"/>
  <c r="BD285" i="32" s="1" a="1"/>
  <c r="BD285" i="32" s="1"/>
  <c r="AY135" i="32"/>
  <c r="AZ135" i="32" s="1" a="1"/>
  <c r="AZ135" i="32" s="1"/>
  <c r="AY254" i="32"/>
  <c r="AZ254" i="32" s="1" a="1"/>
  <c r="AZ254" i="32" s="1"/>
  <c r="BD254" i="32" l="1" a="1"/>
  <c r="BD254" i="32" s="1"/>
  <c r="AZ257" i="32" a="1"/>
  <c r="AZ257" i="32" s="1"/>
  <c r="AZ134" i="32" a="1"/>
  <c r="AZ134" i="32" s="1"/>
  <c r="AZ150" i="32" a="1"/>
  <c r="AZ150" i="32" s="1"/>
  <c r="BD135" i="32" a="1"/>
  <c r="BD135" i="32" s="1"/>
  <c r="AZ285" i="32" a="1"/>
  <c r="AZ285" i="3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<sst xmlns="http://schemas.openxmlformats.org/spreadsheetml/2006/main" count="22729" uniqueCount="4747">
  <si>
    <t>Subscription</t>
  </si>
  <si>
    <t>LAW 
Resource Groups</t>
  </si>
  <si>
    <t>LAW Name</t>
  </si>
  <si>
    <t>Region</t>
  </si>
  <si>
    <t>Tags</t>
  </si>
  <si>
    <t>Description</t>
  </si>
  <si>
    <t>Generate JSON</t>
  </si>
  <si>
    <t>Virtual Network Resource Group</t>
  </si>
  <si>
    <t>Virtual Network</t>
  </si>
  <si>
    <t>Subnet</t>
  </si>
  <si>
    <t>Virtual Network Peering Name</t>
  </si>
  <si>
    <t>Route Table Name</t>
  </si>
  <si>
    <t>Service</t>
  </si>
  <si>
    <t>Virtual Machine Resource Groups</t>
  </si>
  <si>
    <t>VM iteration (nn)</t>
  </si>
  <si>
    <t>VM Name</t>
  </si>
  <si>
    <t>DNS name</t>
  </si>
  <si>
    <t>NIC name</t>
  </si>
  <si>
    <t>IP</t>
  </si>
  <si>
    <t>Operating System</t>
  </si>
  <si>
    <t>OS Version</t>
  </si>
  <si>
    <t>Extensions Required</t>
  </si>
  <si>
    <t>Availability Set Name</t>
  </si>
  <si>
    <t>Application Security Group Name</t>
  </si>
  <si>
    <t>Network Security Group</t>
  </si>
  <si>
    <t>Boot Diag Storage Account</t>
  </si>
  <si>
    <t>Instance size</t>
  </si>
  <si>
    <t>OS Disk Size</t>
  </si>
  <si>
    <t>OS Disk Type (Standard SSD etc)</t>
  </si>
  <si>
    <t>OS Disk Name</t>
  </si>
  <si>
    <t>LVM for Data Disks (Y or N)</t>
  </si>
  <si>
    <t>Data Disk1 Size</t>
  </si>
  <si>
    <t>Data Disk1 Type</t>
  </si>
  <si>
    <t>Data Disk1 Name</t>
  </si>
  <si>
    <t>Data Disk2 Size</t>
  </si>
  <si>
    <t>Data Disk2 Type</t>
  </si>
  <si>
    <t>Data Disk2 Name</t>
  </si>
  <si>
    <t>Local Mounts (GiB)</t>
  </si>
  <si>
    <t>Data Disk2\Local Mount (GiB)</t>
  </si>
  <si>
    <t>Data Disk3\Local Mount (GiB)</t>
  </si>
  <si>
    <t>Data Disk4\Local Mount (GiB)</t>
  </si>
  <si>
    <t>Lifecycle and Service Identifier (9 letter)</t>
  </si>
  <si>
    <t>Per VM NFS mounts</t>
  </si>
  <si>
    <t>Common VM NFS mounts</t>
  </si>
  <si>
    <t>License Type</t>
  </si>
  <si>
    <t>Server Role</t>
  </si>
  <si>
    <t>Identity</t>
  </si>
  <si>
    <t>RBAC on 
Storage Account</t>
  </si>
  <si>
    <t>Mapped Storage Account</t>
  </si>
  <si>
    <t>RBAC on 
Key Vault</t>
  </si>
  <si>
    <t>Mapped Key Vaults</t>
  </si>
  <si>
    <t>Azure Backup 
(Y/N)</t>
  </si>
  <si>
    <t>Azure Backup Frequency
if any</t>
  </si>
  <si>
    <t>ASR Set up 
(Y/N)</t>
  </si>
  <si>
    <t>ASR 
Virtual Network</t>
  </si>
  <si>
    <t>ASR Subnet</t>
  </si>
  <si>
    <t>Original Hostname (CMO)</t>
  </si>
  <si>
    <t>Notes/Changes</t>
  </si>
  <si>
    <t>Yes</t>
  </si>
  <si>
    <t>sn-pfb-aue-pf2-app</t>
  </si>
  <si>
    <t>01</t>
  </si>
  <si>
    <t>Australia East</t>
  </si>
  <si>
    <t>10.98.73.4</t>
  </si>
  <si>
    <t>Linux</t>
  </si>
  <si>
    <t>N/A</t>
  </si>
  <si>
    <t>Premium SSD</t>
  </si>
  <si>
    <t>Y</t>
  </si>
  <si>
    <t>Daily; 7 day retention</t>
  </si>
  <si>
    <t>N</t>
  </si>
  <si>
    <t>ehgpfaasaea01</t>
  </si>
  <si>
    <t>10.98.73.5</t>
  </si>
  <si>
    <t>ehgpfaasaep01</t>
  </si>
  <si>
    <t>02</t>
  </si>
  <si>
    <t>10.98.73.6</t>
  </si>
  <si>
    <t>ehgpfaasaep02</t>
  </si>
  <si>
    <t>03</t>
  </si>
  <si>
    <t>10.98.73.7</t>
  </si>
  <si>
    <t>ehgpfaasaep03</t>
  </si>
  <si>
    <t>04</t>
  </si>
  <si>
    <t>10.98.73.8</t>
  </si>
  <si>
    <t>ehgpfaasaep04</t>
  </si>
  <si>
    <t>05</t>
  </si>
  <si>
    <t>10.98.73.9</t>
  </si>
  <si>
    <t>ehgpfaasaep05</t>
  </si>
  <si>
    <t>06</t>
  </si>
  <si>
    <t>10.98.73.10</t>
  </si>
  <si>
    <t>ehgpfaasaep06</t>
  </si>
  <si>
    <t>10.98.73.11</t>
  </si>
  <si>
    <t>ehgpfaascrp01</t>
  </si>
  <si>
    <t>10.98.73.12</t>
  </si>
  <si>
    <t>ehgpfaascrp02</t>
  </si>
  <si>
    <t>10.98.73.13</t>
  </si>
  <si>
    <t>ehgpfaascrp03</t>
  </si>
  <si>
    <t>10.98.73.14</t>
  </si>
  <si>
    <t>ehgpfaascrp04</t>
  </si>
  <si>
    <t>10.98.73.15</t>
  </si>
  <si>
    <t>ehgpfaascrp05</t>
  </si>
  <si>
    <t>10.98.73.16</t>
  </si>
  <si>
    <t>ehgpfaascrp06</t>
  </si>
  <si>
    <t>07</t>
  </si>
  <si>
    <t>10.98.73.17</t>
  </si>
  <si>
    <t>ehgpfaascrp07</t>
  </si>
  <si>
    <t>08</t>
  </si>
  <si>
    <t>10.98.73.18</t>
  </si>
  <si>
    <t>ehgpfaascrp08</t>
  </si>
  <si>
    <t>10.98.73.19</t>
  </si>
  <si>
    <t>ehgpfaasdcr01</t>
  </si>
  <si>
    <t>10.98.73.20</t>
  </si>
  <si>
    <t>ehgpfaasdcr02</t>
  </si>
  <si>
    <t>10.98.73.21</t>
  </si>
  <si>
    <t>ehgpfaasdcr03</t>
  </si>
  <si>
    <t>10.98.73.22</t>
  </si>
  <si>
    <t>ehgpfaasdcr04</t>
  </si>
  <si>
    <t>10.98.73.23</t>
  </si>
  <si>
    <t>ehgpfaasdcx01</t>
  </si>
  <si>
    <t>10.98.73.24</t>
  </si>
  <si>
    <t>ehgpfaasdcx02</t>
  </si>
  <si>
    <t>10.98.73.25</t>
  </si>
  <si>
    <t>ehgpfaasdcx03</t>
  </si>
  <si>
    <t>10.98.73.26</t>
  </si>
  <si>
    <t>ehgpfaasdcx04</t>
  </si>
  <si>
    <t>10.98.73.27</t>
  </si>
  <si>
    <t>ehgpfaasdcx05</t>
  </si>
  <si>
    <t>10.98.73.28</t>
  </si>
  <si>
    <t>ehgpfaasdcx06</t>
  </si>
  <si>
    <t>10.98.73.29</t>
  </si>
  <si>
    <t>ehgpfaasdcx07</t>
  </si>
  <si>
    <t>10.98.73.30</t>
  </si>
  <si>
    <t>ehgpfaasdcx08</t>
  </si>
  <si>
    <t>09</t>
  </si>
  <si>
    <t>10.98.73.31</t>
  </si>
  <si>
    <t>ehgpfaasdcx09</t>
  </si>
  <si>
    <t>10</t>
  </si>
  <si>
    <t>10.98.73.32</t>
  </si>
  <si>
    <t>ehgpfaasdcx10</t>
  </si>
  <si>
    <t>11</t>
  </si>
  <si>
    <t>10.98.73.33</t>
  </si>
  <si>
    <t>ehgpfaasdcx11</t>
  </si>
  <si>
    <t>12</t>
  </si>
  <si>
    <t>10.98.73.34</t>
  </si>
  <si>
    <t>ehgpfaasdcx12</t>
  </si>
  <si>
    <t>13</t>
  </si>
  <si>
    <t>10.98.73.35</t>
  </si>
  <si>
    <t>ehgpfaasdcx13</t>
  </si>
  <si>
    <t>14</t>
  </si>
  <si>
    <t>10.98.73.36</t>
  </si>
  <si>
    <t>ehgpfaasdcx14</t>
  </si>
  <si>
    <t>15</t>
  </si>
  <si>
    <t>10.98.73.37</t>
  </si>
  <si>
    <t>ehgpfaasdcx15</t>
  </si>
  <si>
    <t>16</t>
  </si>
  <si>
    <t>10.98.73.38</t>
  </si>
  <si>
    <t>ehgpfaasdcx16</t>
  </si>
  <si>
    <t>17</t>
  </si>
  <si>
    <t>10.98.73.39</t>
  </si>
  <si>
    <t>ehgpfaasdcx17</t>
  </si>
  <si>
    <t>18</t>
  </si>
  <si>
    <t>10.98.73.40</t>
  </si>
  <si>
    <t>ehgpfaasdcx18</t>
  </si>
  <si>
    <t>19</t>
  </si>
  <si>
    <t>10.98.73.41</t>
  </si>
  <si>
    <t>ehgpfaasdcx19</t>
  </si>
  <si>
    <t>20</t>
  </si>
  <si>
    <t>10.98.73.42</t>
  </si>
  <si>
    <t>ehgpfaasdcx20</t>
  </si>
  <si>
    <t>21</t>
  </si>
  <si>
    <t>10.98.73.43</t>
  </si>
  <si>
    <t>ehgpfaasdcx21</t>
  </si>
  <si>
    <t>22</t>
  </si>
  <si>
    <t>10.98.73.44</t>
  </si>
  <si>
    <t>ehgpfaasdcx22</t>
  </si>
  <si>
    <t>23</t>
  </si>
  <si>
    <t>10.98.73.45</t>
  </si>
  <si>
    <t>ehgpfaasdcx23</t>
  </si>
  <si>
    <t>24</t>
  </si>
  <si>
    <t>10.98.73.46</t>
  </si>
  <si>
    <t>ehgpfaasdcx24</t>
  </si>
  <si>
    <t>10.98.73.47</t>
  </si>
  <si>
    <t>ehgpfaasdsm01</t>
  </si>
  <si>
    <t>10.98.73.48</t>
  </si>
  <si>
    <t>ehgpfaashdr01</t>
  </si>
  <si>
    <t>10.98.73.49</t>
  </si>
  <si>
    <t>ehgpfaashdr02</t>
  </si>
  <si>
    <t>10.98.73.50</t>
  </si>
  <si>
    <t>ehgpfaashdr03</t>
  </si>
  <si>
    <t>10.98.73.51</t>
  </si>
  <si>
    <t>ehgpfaashdr04</t>
  </si>
  <si>
    <t>10.98.73.52</t>
  </si>
  <si>
    <t>ehgpfaashdr05</t>
  </si>
  <si>
    <t>10.98.73.53</t>
  </si>
  <si>
    <t>ehgpfaashdr06</t>
  </si>
  <si>
    <t>10.98.73.54</t>
  </si>
  <si>
    <t>ehgpfaashdr07</t>
  </si>
  <si>
    <t>10.98.73.55</t>
  </si>
  <si>
    <t>ehgpfaashdr08</t>
  </si>
  <si>
    <t>10.98.73.56</t>
  </si>
  <si>
    <t>ehgpfaashdr09</t>
  </si>
  <si>
    <t>10.98.73.57</t>
  </si>
  <si>
    <t>ehgpfaashdr10</t>
  </si>
  <si>
    <t>10.98.73.58</t>
  </si>
  <si>
    <t>ehgpfaashdr11</t>
  </si>
  <si>
    <t>10.98.73.59</t>
  </si>
  <si>
    <t>ehgpfaashdr12</t>
  </si>
  <si>
    <t>10.98.73.60</t>
  </si>
  <si>
    <t>ehgpfaashdr13</t>
  </si>
  <si>
    <t>10.98.73.61</t>
  </si>
  <si>
    <t>ehgpfaashdr14</t>
  </si>
  <si>
    <t>10.98.73.62</t>
  </si>
  <si>
    <t>ehgpfaashdr15</t>
  </si>
  <si>
    <t>10.98.73.63</t>
  </si>
  <si>
    <t>ehgpfaashdr16</t>
  </si>
  <si>
    <t>10.98.73.64</t>
  </si>
  <si>
    <t>ehgpfaashdr17</t>
  </si>
  <si>
    <t>10.98.73.65</t>
  </si>
  <si>
    <t>ehgpfaashdr18</t>
  </si>
  <si>
    <t>10.98.73.66</t>
  </si>
  <si>
    <t>ehgpfaashdr19</t>
  </si>
  <si>
    <t>10.98.73.67</t>
  </si>
  <si>
    <t>ehgpfaashdr20</t>
  </si>
  <si>
    <t>10.98.73.68</t>
  </si>
  <si>
    <t>ehgpfaashdr21</t>
  </si>
  <si>
    <t>10.98.73.69</t>
  </si>
  <si>
    <t>ehgpfaashdr22</t>
  </si>
  <si>
    <t>10.98.73.70</t>
  </si>
  <si>
    <t>ehgpfaashdr23</t>
  </si>
  <si>
    <t>10.98.73.71</t>
  </si>
  <si>
    <t>ehgpfaashdr24</t>
  </si>
  <si>
    <t>25</t>
  </si>
  <si>
    <t>10.98.73.73</t>
  </si>
  <si>
    <t>ehgpfaashdr25</t>
  </si>
  <si>
    <t>26</t>
  </si>
  <si>
    <t>10.98.73.74</t>
  </si>
  <si>
    <t>ehgpfaashdr26</t>
  </si>
  <si>
    <t>27</t>
  </si>
  <si>
    <t>10.98.73.75</t>
  </si>
  <si>
    <t>ehgpfaashdr27</t>
  </si>
  <si>
    <t>28</t>
  </si>
  <si>
    <t>10.98.73.76</t>
  </si>
  <si>
    <t>ehgpfaashdr28</t>
  </si>
  <si>
    <t>29</t>
  </si>
  <si>
    <t>10.98.73.77</t>
  </si>
  <si>
    <t>ehgpfaashdr29</t>
  </si>
  <si>
    <t>30</t>
  </si>
  <si>
    <t>10.98.73.78</t>
  </si>
  <si>
    <t>ehgpfaashdr30</t>
  </si>
  <si>
    <t>31</t>
  </si>
  <si>
    <t>10.98.73.79</t>
  </si>
  <si>
    <t>ehgpfaashdr31</t>
  </si>
  <si>
    <t>32</t>
  </si>
  <si>
    <t>10.98.73.80</t>
  </si>
  <si>
    <t>ehgpfaashdr32</t>
  </si>
  <si>
    <t>33</t>
  </si>
  <si>
    <t>10.98.73.81</t>
  </si>
  <si>
    <t>ehgpfaashdr33</t>
  </si>
  <si>
    <t>34</t>
  </si>
  <si>
    <t>10.98.73.82</t>
  </si>
  <si>
    <t>ehgpfaashdr34</t>
  </si>
  <si>
    <t>35</t>
  </si>
  <si>
    <t>10.98.73.83</t>
  </si>
  <si>
    <t>ehgpfaashdr35</t>
  </si>
  <si>
    <t>10.98.73.84</t>
  </si>
  <si>
    <t>ehgpfaashmr01</t>
  </si>
  <si>
    <t>10.98.73.85</t>
  </si>
  <si>
    <t>ehgpfaashmr02</t>
  </si>
  <si>
    <t>10.98.73.86</t>
  </si>
  <si>
    <t>ehgpfaashmr03</t>
  </si>
  <si>
    <t>10.98.73.87</t>
  </si>
  <si>
    <t>ehgpfaashmr04</t>
  </si>
  <si>
    <t>10.98.73.88</t>
  </si>
  <si>
    <t>ehgpfaashmr05</t>
  </si>
  <si>
    <t>10.98.73.89</t>
  </si>
  <si>
    <t>ehgpfaashmr06</t>
  </si>
  <si>
    <t>10.98.73.90</t>
  </si>
  <si>
    <t>ehgpfaashmr07</t>
  </si>
  <si>
    <t>10.98.73.91</t>
  </si>
  <si>
    <t>ehgpfaashmr08</t>
  </si>
  <si>
    <t>10.98.73.92</t>
  </si>
  <si>
    <t>ehgpfaashmr09</t>
  </si>
  <si>
    <t>10.98.73.93</t>
  </si>
  <si>
    <t>ehgpfaashmr10</t>
  </si>
  <si>
    <t>10.98.73.94</t>
  </si>
  <si>
    <t>ehgpfaashmr11</t>
  </si>
  <si>
    <t>10.98.73.95</t>
  </si>
  <si>
    <t>ehgpfaashmr12</t>
  </si>
  <si>
    <t>10.98.73.96</t>
  </si>
  <si>
    <t>/u01/OEM 5</t>
  </si>
  <si>
    <t>ehgpfaasnes01</t>
  </si>
  <si>
    <t>Per naming convention NES scanners a "…nes…" hence 01 and 02</t>
  </si>
  <si>
    <t>10.98.73.97</t>
  </si>
  <si>
    <t>ehgpfaasoam01</t>
  </si>
  <si>
    <t>10.98.73.98</t>
  </si>
  <si>
    <t>ehgpfaasoam02</t>
  </si>
  <si>
    <t>10.98.73.99</t>
  </si>
  <si>
    <t>ehgpfaasoam03</t>
  </si>
  <si>
    <t>10.98.73.100</t>
  </si>
  <si>
    <t>ehgpfaasoam04</t>
  </si>
  <si>
    <t>10.98.73.101</t>
  </si>
  <si>
    <t>ehgpfaasoam05</t>
  </si>
  <si>
    <t>10.98.73.102</t>
  </si>
  <si>
    <t>ehgpfaasoam06</t>
  </si>
  <si>
    <t>10.98.73.103</t>
  </si>
  <si>
    <t>ehgpfaasoam07</t>
  </si>
  <si>
    <t>10.98.73.104</t>
  </si>
  <si>
    <t>ehgpfaasoam08</t>
  </si>
  <si>
    <t>10.98.73.105</t>
  </si>
  <si>
    <t>ehgpfaasoes01</t>
  </si>
  <si>
    <t>10.98.73.106</t>
  </si>
  <si>
    <t>ehgpfaasoes02</t>
  </si>
  <si>
    <t>10.98.73.107</t>
  </si>
  <si>
    <t>ehgpfaasoes03</t>
  </si>
  <si>
    <t>10.98.73.108</t>
  </si>
  <si>
    <t>ehgpfaasoes04</t>
  </si>
  <si>
    <t>10.98.73.109</t>
  </si>
  <si>
    <t>ehgpfaasoes05</t>
  </si>
  <si>
    <t>10.98.73.110</t>
  </si>
  <si>
    <t>ehgpfaasoes06</t>
  </si>
  <si>
    <t>10.98.73.111</t>
  </si>
  <si>
    <t>ehgpfaasoes07</t>
  </si>
  <si>
    <t>10.98.73.112</t>
  </si>
  <si>
    <t>ehgpfaasoes08</t>
  </si>
  <si>
    <t>10.98.73.113</t>
  </si>
  <si>
    <t>ehgpfaasoes09</t>
  </si>
  <si>
    <t>10.98.73.114</t>
  </si>
  <si>
    <t>ehgpfaasoes10</t>
  </si>
  <si>
    <t>10.98.73.115</t>
  </si>
  <si>
    <t>ehgpfaasoes11</t>
  </si>
  <si>
    <t>10.98.73.116</t>
  </si>
  <si>
    <t>ehgpfaasoes12</t>
  </si>
  <si>
    <t>10.98.73.117</t>
  </si>
  <si>
    <t>ehgpfaasoes13</t>
  </si>
  <si>
    <t>10.98.73.118</t>
  </si>
  <si>
    <t>ehgpfaasoes14</t>
  </si>
  <si>
    <t>10.98.73.119</t>
  </si>
  <si>
    <t>ehgpfaasoes15</t>
  </si>
  <si>
    <t>10.98.73.120</t>
  </si>
  <si>
    <t>ehgpfaasoes16</t>
  </si>
  <si>
    <t>10.98.73.121</t>
  </si>
  <si>
    <t>ehgpfaasoes17</t>
  </si>
  <si>
    <t>10.98.73.122</t>
  </si>
  <si>
    <t>ehgpfaasoes18</t>
  </si>
  <si>
    <t>10.98.73.123</t>
  </si>
  <si>
    <t>ehgpfaasoes19</t>
  </si>
  <si>
    <t>10.98.73.124</t>
  </si>
  <si>
    <t>ehgpfaasoid01</t>
  </si>
  <si>
    <t>10.98.73.125</t>
  </si>
  <si>
    <t>ehgpfaasoid02</t>
  </si>
  <si>
    <t>10.98.73.126</t>
  </si>
  <si>
    <t>ehgpfaasoid03</t>
  </si>
  <si>
    <t>10.98.73.127</t>
  </si>
  <si>
    <t>ehgpfaasoid04</t>
  </si>
  <si>
    <t>10.98.73.128</t>
  </si>
  <si>
    <t>ehgpfaasoid05</t>
  </si>
  <si>
    <t>10.98.73.129</t>
  </si>
  <si>
    <t>ehgpfaasoid06</t>
  </si>
  <si>
    <t>10.98.73.130</t>
  </si>
  <si>
    <t>ehgpfaasoid07</t>
  </si>
  <si>
    <t>10.98.73.131</t>
  </si>
  <si>
    <t>ehgpfaasoid08</t>
  </si>
  <si>
    <t>10.98.73.132</t>
  </si>
  <si>
    <t>ehgpfaasoid09</t>
  </si>
  <si>
    <t>10.98.73.133</t>
  </si>
  <si>
    <t>ehgpfaasoid10</t>
  </si>
  <si>
    <t>10.98.73.134</t>
  </si>
  <si>
    <t>ehgpfaasoid11</t>
  </si>
  <si>
    <t>10.98.73.135</t>
  </si>
  <si>
    <t>ehgpfaasoid12</t>
  </si>
  <si>
    <t>10.98.73.136</t>
  </si>
  <si>
    <t>ehgpfaasoid13</t>
  </si>
  <si>
    <t>10.98.73.137</t>
  </si>
  <si>
    <t>ehgpfaasoid14</t>
  </si>
  <si>
    <t>10.98.73.138</t>
  </si>
  <si>
    <t>ehgpfaasoid15</t>
  </si>
  <si>
    <t>10.98.73.139</t>
  </si>
  <si>
    <t>ehgpfaasoid16</t>
  </si>
  <si>
    <t>10.98.73.140</t>
  </si>
  <si>
    <t>ehgpfaasoid17</t>
  </si>
  <si>
    <t>10.98.73.141</t>
  </si>
  <si>
    <t>ehgpfaasoid18</t>
  </si>
  <si>
    <t>10.98.73.142</t>
  </si>
  <si>
    <t>ehgpfaasoid19</t>
  </si>
  <si>
    <t>10.98.73.143</t>
  </si>
  <si>
    <t>ehgpfaasolg01</t>
  </si>
  <si>
    <t>10.98.73.144</t>
  </si>
  <si>
    <t>ehgpfaasolg02</t>
  </si>
  <si>
    <t>10.98.73.145</t>
  </si>
  <si>
    <t>ehgpfaasolg03</t>
  </si>
  <si>
    <t>10.98.73.146</t>
  </si>
  <si>
    <t>ehgpfaasolg04</t>
  </si>
  <si>
    <t>10.98.73.147</t>
  </si>
  <si>
    <t>ehgpfaasolg05</t>
  </si>
  <si>
    <t>10.98.73.148</t>
  </si>
  <si>
    <t>ehgpfaasolg06</t>
  </si>
  <si>
    <t>10.98.73.149</t>
  </si>
  <si>
    <t>ehgpfaasolg07</t>
  </si>
  <si>
    <t>10.98.73.150</t>
  </si>
  <si>
    <t>ehgpfaasolg08</t>
  </si>
  <si>
    <t>10.98.73.151</t>
  </si>
  <si>
    <t>ehgpfaasolg09</t>
  </si>
  <si>
    <t>10.98.73.152</t>
  </si>
  <si>
    <t>ehgpfaasolg10</t>
  </si>
  <si>
    <t>10.98.73.153</t>
  </si>
  <si>
    <t>ehgpfaasolg11</t>
  </si>
  <si>
    <t>10.98.73.154</t>
  </si>
  <si>
    <t>ehgpfaasolg12</t>
  </si>
  <si>
    <t>10.98.73.155</t>
  </si>
  <si>
    <t>ehgpfaasolg13</t>
  </si>
  <si>
    <t>10.98.73.156</t>
  </si>
  <si>
    <t>ehgpfaasolg14</t>
  </si>
  <si>
    <t>10.98.73.157</t>
  </si>
  <si>
    <t>ehgpfaasolg15</t>
  </si>
  <si>
    <t>10.98.73.158</t>
  </si>
  <si>
    <t>ehgpfaasolg16</t>
  </si>
  <si>
    <t>10.98.73.159</t>
  </si>
  <si>
    <t>ehgpfaasolg17</t>
  </si>
  <si>
    <t>10.98.73.160</t>
  </si>
  <si>
    <t>ehgpfaasolg18</t>
  </si>
  <si>
    <t>10.98.73.161</t>
  </si>
  <si>
    <t>ehgpfaasolg19</t>
  </si>
  <si>
    <t>10.98.73.162</t>
  </si>
  <si>
    <t>ehgpfaasolg20</t>
  </si>
  <si>
    <t>10.98.73.163</t>
  </si>
  <si>
    <t>ehgpfaasolg21</t>
  </si>
  <si>
    <t>10.98.73.164</t>
  </si>
  <si>
    <t>ehgpfaasolg22</t>
  </si>
  <si>
    <t>10.98.73.165</t>
  </si>
  <si>
    <t>ehgpfaasolg23</t>
  </si>
  <si>
    <t>10.98.73.166</t>
  </si>
  <si>
    <t>ehgpfaasolg24</t>
  </si>
  <si>
    <t>10.98.73.167</t>
  </si>
  <si>
    <t>ehgpfaasolg25</t>
  </si>
  <si>
    <t>10.98.73.168</t>
  </si>
  <si>
    <t>ehgpfaasolg26</t>
  </si>
  <si>
    <t>10.98.73.169</t>
  </si>
  <si>
    <t>ehgpfaasolg27</t>
  </si>
  <si>
    <t>10.98.73.170</t>
  </si>
  <si>
    <t>ehgpfaasolg28</t>
  </si>
  <si>
    <t>10.98.73.171</t>
  </si>
  <si>
    <t>ehgpfaasolg29</t>
  </si>
  <si>
    <t>10.98.73.172</t>
  </si>
  <si>
    <t>ehgpfaasolg30</t>
  </si>
  <si>
    <t>10.98.73.173</t>
  </si>
  <si>
    <t>ehgpfaasolg31</t>
  </si>
  <si>
    <t>10.98.73.174</t>
  </si>
  <si>
    <t>ehgpfaasopt01</t>
  </si>
  <si>
    <t>Renae/Phil changed from OPT11 to OPT1</t>
  </si>
  <si>
    <t>10.98.73.175</t>
  </si>
  <si>
    <t>ehgpfaasosb01</t>
  </si>
  <si>
    <t>10.98.73.176</t>
  </si>
  <si>
    <t>ehgpfaasosb02</t>
  </si>
  <si>
    <t>10.98.73.177</t>
  </si>
  <si>
    <t>ehgpfaasosb03</t>
  </si>
  <si>
    <t>10.98.73.178</t>
  </si>
  <si>
    <t>ehgpfaasosb04</t>
  </si>
  <si>
    <t>10.98.73.179</t>
  </si>
  <si>
    <t>ehgpfaasosb05</t>
  </si>
  <si>
    <t>10.98.73.180</t>
  </si>
  <si>
    <t>ehgpfaasosb06</t>
  </si>
  <si>
    <t>10.98.73.181</t>
  </si>
  <si>
    <t>ehgpfaasosb07</t>
  </si>
  <si>
    <t>10.98.73.182</t>
  </si>
  <si>
    <t>ehgpfaasosb08</t>
  </si>
  <si>
    <t>10.98.73.183</t>
  </si>
  <si>
    <t>ehgpfaasosb09</t>
  </si>
  <si>
    <t>10.98.73.184</t>
  </si>
  <si>
    <t>ehgpfaasosb10</t>
  </si>
  <si>
    <t>10.98.73.185</t>
  </si>
  <si>
    <t>ehgpfaassol01</t>
  </si>
  <si>
    <t>VM name Change
31/3 Renae/Phil changed from 20 to 01</t>
  </si>
  <si>
    <t>10.98.73.186</t>
  </si>
  <si>
    <t>ehgpfaassol02</t>
  </si>
  <si>
    <t>10.98.73.187</t>
  </si>
  <si>
    <t>ehgpfaaswbc01</t>
  </si>
  <si>
    <t>10.98.73.188</t>
  </si>
  <si>
    <t>ehgpfaaswbc02</t>
  </si>
  <si>
    <t>10.98.73.189</t>
  </si>
  <si>
    <t>ehgpfaaswbc03</t>
  </si>
  <si>
    <t>10.98.73.190</t>
  </si>
  <si>
    <t>ehgpfaaswbc04</t>
  </si>
  <si>
    <t>10.98.73.191</t>
  </si>
  <si>
    <t>ehgpfaaswbc05</t>
  </si>
  <si>
    <t>10.98.73.192</t>
  </si>
  <si>
    <t>ehgpfaaswbc06</t>
  </si>
  <si>
    <t>10.98.73.193</t>
  </si>
  <si>
    <t>ehgpfaaswbc07</t>
  </si>
  <si>
    <t>10.98.73.194</t>
  </si>
  <si>
    <t>ehgpfaaswbc08</t>
  </si>
  <si>
    <t>sn-pfb-aue-pf2-database</t>
  </si>
  <si>
    <t>10.98.74.24</t>
  </si>
  <si>
    <t>newpfadbnes01</t>
  </si>
  <si>
    <t>sn-pfb-aue-pf2-web</t>
  </si>
  <si>
    <t>10.98.72.4</t>
  </si>
  <si>
    <t>ehgpfawsaho01</t>
  </si>
  <si>
    <t>10.98.72.5</t>
  </si>
  <si>
    <t>ehgpfawsaho02</t>
  </si>
  <si>
    <t>10.98.72.6</t>
  </si>
  <si>
    <t>ehgpfawsaho03</t>
  </si>
  <si>
    <t>10.98.72.7</t>
  </si>
  <si>
    <t>ehgpfawsaho04</t>
  </si>
  <si>
    <t>10.98.72.8</t>
  </si>
  <si>
    <t>ehgpfawscho01</t>
  </si>
  <si>
    <t>10.98.72.9</t>
  </si>
  <si>
    <t>ehgpfawscho02</t>
  </si>
  <si>
    <t>10.98.72.10</t>
  </si>
  <si>
    <t>ehgpfawscho03</t>
  </si>
  <si>
    <t>10.98.72.11</t>
  </si>
  <si>
    <t>ehgpfawsfhi01</t>
  </si>
  <si>
    <t>10.98.72.12</t>
  </si>
  <si>
    <t>ehgpfawsfhi02</t>
  </si>
  <si>
    <t>10.98.72.13</t>
  </si>
  <si>
    <t>ehgpfawsfhi03</t>
  </si>
  <si>
    <t>10.98.72.14</t>
  </si>
  <si>
    <t>ehgpfawsfhi04</t>
  </si>
  <si>
    <t>10.98.72.15</t>
  </si>
  <si>
    <t>ehgpfawsfhi05</t>
  </si>
  <si>
    <t>10.98.72.16</t>
  </si>
  <si>
    <t>ehgpfawsfhi06</t>
  </si>
  <si>
    <t>10.98.72.17</t>
  </si>
  <si>
    <t>ehgpfawsfhi07</t>
  </si>
  <si>
    <t>10.98.72.18</t>
  </si>
  <si>
    <t>ehgpfawsfhi08</t>
  </si>
  <si>
    <t>10.98.72.19</t>
  </si>
  <si>
    <t>Windows</t>
  </si>
  <si>
    <t>Windows 2016 STD 64-Bit</t>
  </si>
  <si>
    <t>ehgpfawsinj91</t>
  </si>
  <si>
    <t>10.98.72.20</t>
  </si>
  <si>
    <t>ehgpfawsinj100</t>
  </si>
  <si>
    <t>10.98.72.21</t>
  </si>
  <si>
    <t>ehgpfawsinj101</t>
  </si>
  <si>
    <t>10.98.72.22</t>
  </si>
  <si>
    <t>ehgpfawsinj102</t>
  </si>
  <si>
    <t>10.98.72.23</t>
  </si>
  <si>
    <t>ehgpfawsinj103</t>
  </si>
  <si>
    <t>10.98.72.24</t>
  </si>
  <si>
    <t>ehgpfawsinj104</t>
  </si>
  <si>
    <t>10.98.72.25</t>
  </si>
  <si>
    <t>ehgpfawsinj105</t>
  </si>
  <si>
    <t>10.98.72.26</t>
  </si>
  <si>
    <t>ehgpfawsinj106</t>
  </si>
  <si>
    <t>10.98.72.27</t>
  </si>
  <si>
    <t>ehgpfawsinj107</t>
  </si>
  <si>
    <t>10.98.72.28</t>
  </si>
  <si>
    <t>ehgpfawsinj108</t>
  </si>
  <si>
    <t>10.98.72.29</t>
  </si>
  <si>
    <t>ehgpfawsinj109</t>
  </si>
  <si>
    <t>10.98.72.30</t>
  </si>
  <si>
    <t>ehgpfawsinj110</t>
  </si>
  <si>
    <t>10.98.72.31</t>
  </si>
  <si>
    <t>ehgpfawsinj111</t>
  </si>
  <si>
    <t>10.98.72.32</t>
  </si>
  <si>
    <t>ehgpfawsinj112</t>
  </si>
  <si>
    <t>10.98.72.33</t>
  </si>
  <si>
    <t>ehgpfawsinj92</t>
  </si>
  <si>
    <t>10.98.72.34</t>
  </si>
  <si>
    <t>ehgpfawsinj93</t>
  </si>
  <si>
    <t>10.98.72.35</t>
  </si>
  <si>
    <t>ehgpfawsinj94</t>
  </si>
  <si>
    <t>10.98.72.36</t>
  </si>
  <si>
    <t>ehgpfawsinj95</t>
  </si>
  <si>
    <t>10.98.72.37</t>
  </si>
  <si>
    <t>ehgpfawsinj96</t>
  </si>
  <si>
    <t>10.98.72.38</t>
  </si>
  <si>
    <t>ehgpfawsinj97</t>
  </si>
  <si>
    <t>10.98.72.39</t>
  </si>
  <si>
    <t>ehgpfawsinj98</t>
  </si>
  <si>
    <t>10.98.72.40</t>
  </si>
  <si>
    <t>ehgpfawsinj99</t>
  </si>
  <si>
    <t>10.98.72.41</t>
  </si>
  <si>
    <t>newpfawsinj23</t>
  </si>
  <si>
    <t>5/4/2022: Added extra Perf injectors as per John Wu's request.</t>
  </si>
  <si>
    <t>10.98.72.42</t>
  </si>
  <si>
    <t>newpfawsinj24</t>
  </si>
  <si>
    <t>10.98.72.43</t>
  </si>
  <si>
    <t>newpfawsinj25</t>
  </si>
  <si>
    <t>10.98.72.44</t>
  </si>
  <si>
    <t>newpfawsinj26</t>
  </si>
  <si>
    <t>10.98.72.45</t>
  </si>
  <si>
    <t>newpfawsinj27</t>
  </si>
  <si>
    <t>10.98.72.46</t>
  </si>
  <si>
    <t>newpfawsinj28</t>
  </si>
  <si>
    <t>10.98.72.47</t>
  </si>
  <si>
    <t>newpfawsinj29</t>
  </si>
  <si>
    <t>10.98.72.48</t>
  </si>
  <si>
    <t>newpfawsinj30</t>
  </si>
  <si>
    <t>10.98.72.49</t>
  </si>
  <si>
    <t>ehgpfawsmob01</t>
  </si>
  <si>
    <t>10.98.72.50</t>
  </si>
  <si>
    <t>ehgpfawsmob02</t>
  </si>
  <si>
    <t>10.98.72.51</t>
  </si>
  <si>
    <t>ehgpfawsnes01</t>
  </si>
  <si>
    <t>10.98.72.52</t>
  </si>
  <si>
    <t>ehgpfawsoag01</t>
  </si>
  <si>
    <t>10.98.72.53</t>
  </si>
  <si>
    <t>ehgpfawsoag02</t>
  </si>
  <si>
    <t>10.98.72.54</t>
  </si>
  <si>
    <t>ehgpfawsoag03</t>
  </si>
  <si>
    <t>10.98.72.55</t>
  </si>
  <si>
    <t>ehgpfawsoag04</t>
  </si>
  <si>
    <t>10.98.72.56</t>
  </si>
  <si>
    <t>ehgpfawsoag05</t>
  </si>
  <si>
    <t>22/03/2022: Confirmed and updated - OEL version is 6.10</t>
  </si>
  <si>
    <t>10.98.72.57</t>
  </si>
  <si>
    <t>ehgpfawsoag06</t>
  </si>
  <si>
    <t>10.98.72.58</t>
  </si>
  <si>
    <t>ehgpfawsocr01</t>
  </si>
  <si>
    <t>10.98.72.59</t>
  </si>
  <si>
    <t>ehgpfawsocr02</t>
  </si>
  <si>
    <t>10.98.72.60</t>
  </si>
  <si>
    <t>ehgpfawsocr03</t>
  </si>
  <si>
    <t>10.98.72.61</t>
  </si>
  <si>
    <t>ehgpfawsocr04</t>
  </si>
  <si>
    <t>10.98.72.62</t>
  </si>
  <si>
    <t>ehgpfawsocr05</t>
  </si>
  <si>
    <t>10.98.72.63</t>
  </si>
  <si>
    <t>ehgpfawsocr06</t>
  </si>
  <si>
    <t>10.98.72.64</t>
  </si>
  <si>
    <t>ehgpfawsoha01</t>
  </si>
  <si>
    <t>10.98.72.65</t>
  </si>
  <si>
    <t>ehgpfawsoha02</t>
  </si>
  <si>
    <t>10.98.72.66</t>
  </si>
  <si>
    <t>ehgpfawsohb01</t>
  </si>
  <si>
    <t>22/6/2022: Upgraded SKU to Standard_D8s_v4 due to perf testing</t>
  </si>
  <si>
    <t>10.98.72.67</t>
  </si>
  <si>
    <t>ehgpfawsohb02</t>
  </si>
  <si>
    <t>10.98.72.68</t>
  </si>
  <si>
    <t>ehgpfawsohb03</t>
  </si>
  <si>
    <t>10.98.72.69</t>
  </si>
  <si>
    <t>ehgpfawsohb04</t>
  </si>
  <si>
    <t>10.98.72.70</t>
  </si>
  <si>
    <t>ehgpfawsohb05</t>
  </si>
  <si>
    <t>10.98.72.71</t>
  </si>
  <si>
    <t>ehgpfawsohb06</t>
  </si>
  <si>
    <t>10.98.72.72</t>
  </si>
  <si>
    <t>ehgpfawsohc01</t>
  </si>
  <si>
    <t>10.98.72.73</t>
  </si>
  <si>
    <t>ehgpfawsohc02</t>
  </si>
  <si>
    <t>10.98.72.74</t>
  </si>
  <si>
    <t>ehgpfawsohc03</t>
  </si>
  <si>
    <t>10.98.72.75</t>
  </si>
  <si>
    <t>ehgpfawsohc04</t>
  </si>
  <si>
    <t>10.98.72.76</t>
  </si>
  <si>
    <t>ehgpfawsohc05</t>
  </si>
  <si>
    <t>10.98.72.77</t>
  </si>
  <si>
    <t>ehgpfawsohc06</t>
  </si>
  <si>
    <t>10.98.72.78</t>
  </si>
  <si>
    <t>ehgpfawsohc07</t>
  </si>
  <si>
    <t>10.98.72.79</t>
  </si>
  <si>
    <t>ehgpfawsohc08</t>
  </si>
  <si>
    <t>10.98.72.80</t>
  </si>
  <si>
    <t>ehgpfawsohm01</t>
  </si>
  <si>
    <t>10.98.72.81</t>
  </si>
  <si>
    <t>ehgpfawsohm02</t>
  </si>
  <si>
    <t>10.98.72.82</t>
  </si>
  <si>
    <t>ehgpfawsohm03</t>
  </si>
  <si>
    <t>10.98.72.83</t>
  </si>
  <si>
    <t>ehgpfawsohm04</t>
  </si>
  <si>
    <t>10.98.72.84</t>
  </si>
  <si>
    <t>ehgpfawsohm05</t>
  </si>
  <si>
    <t>10.98.72.85</t>
  </si>
  <si>
    <t>ehgpfawsohm06</t>
  </si>
  <si>
    <t>10.98.72.86</t>
  </si>
  <si>
    <t>ehgpfawsohm07</t>
  </si>
  <si>
    <t>10.98.72.87</t>
  </si>
  <si>
    <t>ehgpfawsohm08</t>
  </si>
  <si>
    <t>10.98.72.88</t>
  </si>
  <si>
    <t>ehgpfawsoho01</t>
  </si>
  <si>
    <t>10.98.72.89</t>
  </si>
  <si>
    <t>ehgpfawsoho02</t>
  </si>
  <si>
    <t>10.98.72.90</t>
  </si>
  <si>
    <t>ehgpfawsoho03</t>
  </si>
  <si>
    <t>10.98.72.91</t>
  </si>
  <si>
    <t>ehgpfawsoho04</t>
  </si>
  <si>
    <t>10.98.72.92</t>
  </si>
  <si>
    <t>ehgpfawsoho05</t>
  </si>
  <si>
    <t>10.98.72.93</t>
  </si>
  <si>
    <t>ehgpfawsoho06</t>
  </si>
  <si>
    <t>10.98.72.94</t>
  </si>
  <si>
    <t>ehgpfawsrho01</t>
  </si>
  <si>
    <t>10.98.72.95</t>
  </si>
  <si>
    <t>ehgpfawsrho02</t>
  </si>
  <si>
    <t>10.98.72.96</t>
  </si>
  <si>
    <t>ehgpfawsrho03</t>
  </si>
  <si>
    <t>10.98.72.97</t>
  </si>
  <si>
    <t>ehgpfawsxho01</t>
  </si>
  <si>
    <t>10.98.72.98</t>
  </si>
  <si>
    <t>ehgpfawsxho02</t>
  </si>
  <si>
    <t>10.98.72.99</t>
  </si>
  <si>
    <t>ehgpfawsxho03</t>
  </si>
  <si>
    <t>10.98.72.100</t>
  </si>
  <si>
    <t>ehgpfawsxho04</t>
  </si>
  <si>
    <t>Pass/Fail</t>
  </si>
  <si>
    <t>VmName</t>
  </si>
  <si>
    <t>VmProvisioningState</t>
  </si>
  <si>
    <t>VmResourceGroupName</t>
  </si>
  <si>
    <t>VmSize</t>
  </si>
  <si>
    <t>AvailabilitySet</t>
  </si>
  <si>
    <t>VnetResourceGroupName</t>
  </si>
  <si>
    <t>VirtualNetwork</t>
  </si>
  <si>
    <t>SubnetProvisioningState</t>
  </si>
  <si>
    <t>PrivateIpAddress</t>
  </si>
  <si>
    <t>NSG</t>
  </si>
  <si>
    <t>RouteTable</t>
  </si>
  <si>
    <t>OsType</t>
  </si>
  <si>
    <t>PublicIPAddress</t>
  </si>
  <si>
    <t>NicName</t>
  </si>
  <si>
    <t>NicProvisioningState</t>
  </si>
  <si>
    <t>ApplicationSecurityGroup</t>
  </si>
  <si>
    <t>OSDiskName</t>
  </si>
  <si>
    <t>OSDiskCaching</t>
  </si>
  <si>
    <t>OSDiskSize</t>
  </si>
  <si>
    <t>OSDiskStorageAccountType</t>
  </si>
  <si>
    <t>DataDiskCount</t>
  </si>
  <si>
    <t>DataDisk1Name</t>
  </si>
  <si>
    <t>DataDisk1Size</t>
  </si>
  <si>
    <t>DataDisk1Caching</t>
  </si>
  <si>
    <t>DataDisk1StorageAccountType</t>
  </si>
  <si>
    <t>DataDisk2Name</t>
  </si>
  <si>
    <t>DataDisk2Size</t>
  </si>
  <si>
    <t>DataDisk2Caching</t>
  </si>
  <si>
    <t>DataDisk2StorageAccountType</t>
  </si>
  <si>
    <t>DataDisk3Name</t>
  </si>
  <si>
    <t>DataDisk3Size</t>
  </si>
  <si>
    <t>DataDisk3Caching</t>
  </si>
  <si>
    <t>DataDisk3StorageAccountType</t>
  </si>
  <si>
    <t>DataDisk4Name</t>
  </si>
  <si>
    <t>DataDisk4Size</t>
  </si>
  <si>
    <t>DataDisk4Caching</t>
  </si>
  <si>
    <t>DataDisk4StorageAccountType</t>
  </si>
  <si>
    <t>DataDisk5Name</t>
  </si>
  <si>
    <t>DataDisk5Size</t>
  </si>
  <si>
    <t>DataDisk5Caching</t>
  </si>
  <si>
    <t>DataDisk5StorageAccountType</t>
  </si>
  <si>
    <t>ImageReference</t>
  </si>
  <si>
    <t>VM Check</t>
  </si>
  <si>
    <t>RG Check</t>
  </si>
  <si>
    <t>Region Check</t>
  </si>
  <si>
    <t>SKU Check</t>
  </si>
  <si>
    <t>Avail Set Check</t>
  </si>
  <si>
    <t>VNET Check</t>
  </si>
  <si>
    <t>Subnet Check</t>
  </si>
  <si>
    <t>IP Check</t>
  </si>
  <si>
    <t>NSG Check</t>
  </si>
  <si>
    <t>Route Tab Check</t>
  </si>
  <si>
    <t>OS Check</t>
  </si>
  <si>
    <t>NIC Name Check</t>
  </si>
  <si>
    <t>OS Disk Name Check</t>
  </si>
  <si>
    <t>OS Disk Size Check</t>
  </si>
  <si>
    <t>OS Disk Type Check</t>
  </si>
  <si>
    <t>Data Disk 1 Name Check</t>
  </si>
  <si>
    <t>Data Disk 1 Size Check</t>
  </si>
  <si>
    <t>Data Disk 1 Type Check</t>
  </si>
  <si>
    <t>VM Build Sheet Check</t>
  </si>
  <si>
    <t>Missing VM</t>
  </si>
  <si>
    <t>Explanation</t>
  </si>
  <si>
    <t>vmpfaperaea01</t>
  </si>
  <si>
    <t>Succeeded</t>
  </si>
  <si>
    <t>rg-pfa-per-app-aue-001</t>
  </si>
  <si>
    <t>australiaeast</t>
  </si>
  <si>
    <t>Standard_D4s_v4</t>
  </si>
  <si>
    <t>SystemAssigned</t>
  </si>
  <si>
    <t>AVAIL-VMPFAPERAEA</t>
  </si>
  <si>
    <t>vnet-per-workload-aue-001</t>
  </si>
  <si>
    <t>sn-pfa-aue-per-app</t>
  </si>
  <si>
    <t>10.98.41.4</t>
  </si>
  <si>
    <t>nsg-sn-pfa-aue-per-app</t>
  </si>
  <si>
    <t>rt-sn-pfa-aue-per-app</t>
  </si>
  <si>
    <t>nic-001-vmpfaperaea01</t>
  </si>
  <si>
    <t>osdisk-vmpfaperaea01</t>
  </si>
  <si>
    <t>ReadWrite</t>
  </si>
  <si>
    <t>Premium_LRS</t>
  </si>
  <si>
    <t>disk-vmpfaperaea01-001</t>
  </si>
  <si>
    <t>None</t>
  </si>
  <si>
    <t>disk-vmpfaperaea01-002</t>
  </si>
  <si>
    <t>/subscriptions/a1b82658-4cee-41c9-a9da-43e59920fca0/resourceGroups/rg-ninp-dxctest-auc1/providers/Microsoft.Compute/galleries/galleryninpdxctest/images/DXC-CIS-OEL-7/versions/1.6.4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</si>
  <si>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AEM -Author || Application Service: AEA || AppTier: AS || </t>
  </si>
  <si>
    <t>vmpfaperaep01</t>
  </si>
  <si>
    <t>AVAIL-VMPFAPERAEP</t>
  </si>
  <si>
    <t>10.98.41.5</t>
  </si>
  <si>
    <t>nic-001-vmpfaperaep01</t>
  </si>
  <si>
    <t>osdisk-vmpfaperaep01</t>
  </si>
  <si>
    <t>disk-vmpfaperaep01-001</t>
  </si>
  <si>
    <t>disk-vmpfaperaep01-002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</si>
  <si>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AEM -Publisher || Application Service: AEP || AppTier: AS || </t>
  </si>
  <si>
    <t>vmpfaperaep02</t>
  </si>
  <si>
    <t>10.98.41.6</t>
  </si>
  <si>
    <t>nic-001-vmpfaperaep02</t>
  </si>
  <si>
    <t>osdisk-vmpfaperaep02</t>
  </si>
  <si>
    <t>disk-vmpfaperaep02-001</t>
  </si>
  <si>
    <t>disk-vmpfaperaep02-002</t>
  </si>
  <si>
    <t>vmpfaperaep03</t>
  </si>
  <si>
    <t>10.98.41.7</t>
  </si>
  <si>
    <t>nic-001-vmpfaperaep03</t>
  </si>
  <si>
    <t>osdisk-vmpfaperaep03</t>
  </si>
  <si>
    <t>disk-vmpfaperaep03-001</t>
  </si>
  <si>
    <t>disk-vmpfaperaep03-002</t>
  </si>
  <si>
    <t>vmpfaperaep04</t>
  </si>
  <si>
    <t>10.98.41.8</t>
  </si>
  <si>
    <t>nic-001-vmpfaperaep04</t>
  </si>
  <si>
    <t>osdisk-vmpfaperaep04</t>
  </si>
  <si>
    <t>disk-vmpfaperaep04-001</t>
  </si>
  <si>
    <t>disk-vmpfaperaep04-002</t>
  </si>
  <si>
    <t>vmpfaperaep05</t>
  </si>
  <si>
    <t>Standard_D8s_v4</t>
  </si>
  <si>
    <t>10.98.41.9</t>
  </si>
  <si>
    <t>nic-001-vmpfaperaep05</t>
  </si>
  <si>
    <t>osdisk-vmpfaperaep05</t>
  </si>
  <si>
    <t>disk-vmpfaperaep05-001</t>
  </si>
  <si>
    <t>disk-vmpfaperaep05-002</t>
  </si>
  <si>
    <t>vmpfaperaep06</t>
  </si>
  <si>
    <t>10.98.41.10</t>
  </si>
  <si>
    <t>nic-001-vmpfaperaep06</t>
  </si>
  <si>
    <t>osdisk-vmpfaperaep06</t>
  </si>
  <si>
    <t>disk-vmpfaperaep06-001</t>
  </si>
  <si>
    <t>disk-vmpfaperaep06-002</t>
  </si>
  <si>
    <t>vmpfapercrp01</t>
  </si>
  <si>
    <t>AVAIL-VMPFAPERCRP</t>
  </si>
  <si>
    <t>10.98.41.11</t>
  </si>
  <si>
    <t>nic-001-vmpfapercrp01</t>
  </si>
  <si>
    <t>osdisk-vmpfapercrp01</t>
  </si>
  <si>
    <t>disk-vmpfapercrp01-001</t>
  </si>
  <si>
    <t>disk-vmpfapercrp01-002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</si>
  <si>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CRP Domain N1 || Application Service: CRP || AppTier: AS || </t>
  </si>
  <si>
    <t>vmpfapercrp02</t>
  </si>
  <si>
    <t>10.98.41.12</t>
  </si>
  <si>
    <t>nic-001-vmpfapercrp02</t>
  </si>
  <si>
    <t>osdisk-vmpfapercrp02</t>
  </si>
  <si>
    <t>disk-vmpfapercrp02-001</t>
  </si>
  <si>
    <t>disk-vmpfapercrp02-002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</si>
  <si>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CRP Domain N2 || Application Service: CRP || AppTier: AS || </t>
  </si>
  <si>
    <t>vmpfapercrp03</t>
  </si>
  <si>
    <t>10.98.41.13</t>
  </si>
  <si>
    <t>nic-001-vmpfapercrp03</t>
  </si>
  <si>
    <t>osdisk-vmpfapercrp03</t>
  </si>
  <si>
    <t>disk-vmpfapercrp03-001</t>
  </si>
  <si>
    <t>disk-vmpfapercrp03-002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</si>
  <si>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CRP Domain N3 || Application Service: CRP || AppTier: AS || </t>
  </si>
  <si>
    <t>vmpfapercrp04</t>
  </si>
  <si>
    <t>10.98.41.14</t>
  </si>
  <si>
    <t>nic-001-vmpfapercrp04</t>
  </si>
  <si>
    <t>osdisk-vmpfapercrp04</t>
  </si>
  <si>
    <t>disk-vmpfapercrp04-001</t>
  </si>
  <si>
    <t>disk-vmpfapercrp04-002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</si>
  <si>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CRP Domain N4 || Application Service: CRP || AppTier: AS || </t>
  </si>
  <si>
    <t>vmpfapercrp05</t>
  </si>
  <si>
    <t>10.98.41.15</t>
  </si>
  <si>
    <t>nic-001-vmpfapercrp05</t>
  </si>
  <si>
    <t>osdisk-vmpfapercrp05</t>
  </si>
  <si>
    <t>disk-vmpfapercrp05-001</t>
  </si>
  <si>
    <t>disk-vmpfapercrp05-002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</si>
  <si>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CRP Domain N5 || Application Service: CRP || AppTier: AS || </t>
  </si>
  <si>
    <t>vmpfapercrp06</t>
  </si>
  <si>
    <t>10.98.41.16</t>
  </si>
  <si>
    <t>nic-001-vmpfapercrp06</t>
  </si>
  <si>
    <t>osdisk-vmpfapercrp06</t>
  </si>
  <si>
    <t>disk-vmpfapercrp06-001</t>
  </si>
  <si>
    <t>disk-vmpfapercrp06-002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</si>
  <si>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CRP Domain N6 || Application Service: CRP || AppTier: AS || </t>
  </si>
  <si>
    <t>vmpfapercrp07</t>
  </si>
  <si>
    <t>10.98.41.17</t>
  </si>
  <si>
    <t>nic-001-vmpfapercrp07</t>
  </si>
  <si>
    <t>osdisk-vmpfapercrp07</t>
  </si>
  <si>
    <t>disk-vmpfapercrp07-001</t>
  </si>
  <si>
    <t>disk-vmpfapercrp07-002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</si>
  <si>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CRP Domain N7 || Application Service: CRP || AppTier: AS || </t>
  </si>
  <si>
    <t>vmpfapercrp08</t>
  </si>
  <si>
    <t>10.98.41.18</t>
  </si>
  <si>
    <t>nic-001-vmpfapercrp08</t>
  </si>
  <si>
    <t>osdisk-vmpfapercrp08</t>
  </si>
  <si>
    <t>disk-vmpfapercrp08-001</t>
  </si>
  <si>
    <t>disk-vmpfapercrp08-002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</si>
  <si>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CRP Domain N8 || Application Service: CRP || AppTier: AS || </t>
  </si>
  <si>
    <t>vmpfaperdcr01</t>
  </si>
  <si>
    <t>AVAIL-VMPFAPERDCR</t>
  </si>
  <si>
    <t>10.98.41.19</t>
  </si>
  <si>
    <t>nic-001-vmpfaperdcr01</t>
  </si>
  <si>
    <t>osdisk-vmpfaperdcr01</t>
  </si>
  <si>
    <t>disk-vmpfaperdcr01-001</t>
  </si>
  <si>
    <t>disk-vmpfaperdcr01-002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</si>
  <si>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DCR N1 || Application Service: DCR || AppTier: AS || </t>
  </si>
  <si>
    <t>vmpfaperdcr02</t>
  </si>
  <si>
    <t>10.98.41.20</t>
  </si>
  <si>
    <t>nic-001-vmpfaperdcr02</t>
  </si>
  <si>
    <t>osdisk-vmpfaperdcr02</t>
  </si>
  <si>
    <t>disk-vmpfaperdcr02-001</t>
  </si>
  <si>
    <t>disk-vmpfaperdcr02-002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</si>
  <si>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DCR N2 || Application Service: DCR || AppTier: AS || </t>
  </si>
  <si>
    <t>vmpfaperdcr03</t>
  </si>
  <si>
    <t>10.98.41.21</t>
  </si>
  <si>
    <t>nic-001-vmpfaperdcr03</t>
  </si>
  <si>
    <t>osdisk-vmpfaperdcr03</t>
  </si>
  <si>
    <t>disk-vmpfaperdcr03-001</t>
  </si>
  <si>
    <t>disk-vmpfaperdcr03-002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</si>
  <si>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DCR N3 || Application Service: DCR || AppTier: AS || </t>
  </si>
  <si>
    <t>vmpfaperdcr04</t>
  </si>
  <si>
    <t>10.98.41.22</t>
  </si>
  <si>
    <t>nic-001-vmpfaperdcr04</t>
  </si>
  <si>
    <t>osdisk-vmpfaperdcr04</t>
  </si>
  <si>
    <t>disk-vmpfaperdcr04-001</t>
  </si>
  <si>
    <t>disk-vmpfaperdcr04-002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</si>
  <si>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DCR || Application Service: DCR || AppTier: AS || </t>
  </si>
  <si>
    <t>vmpfaperdcx01</t>
  </si>
  <si>
    <t>AVAIL-VMPFAPERDCX</t>
  </si>
  <si>
    <t>10.98.41.23</t>
  </si>
  <si>
    <t>nic-001-vmpfaperdcx01</t>
  </si>
  <si>
    <t>osdisk-vmpfaperdcx01</t>
  </si>
  <si>
    <t>disk-vmpfaperdcx01-001</t>
  </si>
  <si>
    <t>disk-vmpfaperdcx01-002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</si>
  <si>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N1 || Application Service: DCX || AppTier: AS || </t>
  </si>
  <si>
    <t>vmpfaperdcx02</t>
  </si>
  <si>
    <t>10.98.41.24</t>
  </si>
  <si>
    <t>nic-001-vmpfaperdcx02</t>
  </si>
  <si>
    <t>osdisk-vmpfaperdcx02</t>
  </si>
  <si>
    <t>disk-vmpfaperdcx02-001</t>
  </si>
  <si>
    <t>disk-vmpfaperdcx02-002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</si>
  <si>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N2 || Application Service: DCX || AppTier: AS || </t>
  </si>
  <si>
    <t>vmpfaperdcx03</t>
  </si>
  <si>
    <t>10.98.41.25</t>
  </si>
  <si>
    <t>nic-001-vmpfaperdcx03</t>
  </si>
  <si>
    <t>osdisk-vmpfaperdcx03</t>
  </si>
  <si>
    <t>disk-vmpfaperdcx03-001</t>
  </si>
  <si>
    <t>disk-vmpfaperdcx03-002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</si>
  <si>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N3 || Application Service: DCX || AppTier: AS || </t>
  </si>
  <si>
    <t>vmpfaperdcx04</t>
  </si>
  <si>
    <t>10.98.41.26</t>
  </si>
  <si>
    <t>nic-001-vmpfaperdcx04</t>
  </si>
  <si>
    <t>osdisk-vmpfaperdcx04</t>
  </si>
  <si>
    <t>disk-vmpfaperdcx04-001</t>
  </si>
  <si>
    <t>disk-vmpfaperdcx04-002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</si>
  <si>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N4 || Application Service: DCX || AppTier: AS || </t>
  </si>
  <si>
    <t>vmpfaperdcx05</t>
  </si>
  <si>
    <t>10.98.41.27</t>
  </si>
  <si>
    <t>nic-001-vmpfaperdcx05</t>
  </si>
  <si>
    <t>osdisk-vmpfaperdcx05</t>
  </si>
  <si>
    <t>disk-vmpfaperdcx05-001</t>
  </si>
  <si>
    <t>disk-vmpfaperdcx05-002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</si>
  <si>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N5 || Application Service: DCX || AppTier: AS || </t>
  </si>
  <si>
    <t>vmpfaperdcx06</t>
  </si>
  <si>
    <t>10.98.41.28</t>
  </si>
  <si>
    <t>nic-001-vmpfaperdcx06</t>
  </si>
  <si>
    <t>osdisk-vmpfaperdcx06</t>
  </si>
  <si>
    <t>disk-vmpfaperdcx06-001</t>
  </si>
  <si>
    <t>disk-vmpfaperdcx06-002</t>
  </si>
  <si>
    <t>vmpfaperdcx07</t>
  </si>
  <si>
    <t>10.98.41.29</t>
  </si>
  <si>
    <t>nic-001-vmpfaperdcx07</t>
  </si>
  <si>
    <t>osdisk-vmpfaperdcx07</t>
  </si>
  <si>
    <t>disk-vmpfaperdcx07-001</t>
  </si>
  <si>
    <t>disk-vmpfaperdcx07-002</t>
  </si>
  <si>
    <t>vmpfaperdcx08</t>
  </si>
  <si>
    <t>10.98.41.30</t>
  </si>
  <si>
    <t>nic-001-vmpfaperdcx08</t>
  </si>
  <si>
    <t>osdisk-vmpfaperdcx08</t>
  </si>
  <si>
    <t>disk-vmpfaperdcx08-001</t>
  </si>
  <si>
    <t>disk-vmpfaperdcx08-002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</si>
  <si>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N8 || Application Service: DCX || AppTier: AS || </t>
  </si>
  <si>
    <t>vmpfaperdcx09</t>
  </si>
  <si>
    <t>10.98.41.31</t>
  </si>
  <si>
    <t>nic-001-vmpfaperdcx09</t>
  </si>
  <si>
    <t>osdisk-vmpfaperdcx09</t>
  </si>
  <si>
    <t>disk-vmpfaperdcx09-001</t>
  </si>
  <si>
    <t>disk-vmpfaperdcx09-002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</si>
  <si>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N9 || Application Service: DCX || AppTier: AS || </t>
  </si>
  <si>
    <t>vmpfaperdcx10</t>
  </si>
  <si>
    <t>10.98.41.32</t>
  </si>
  <si>
    <t>nic-001-vmpfaperdcx10</t>
  </si>
  <si>
    <t>osdisk-vmpfaperdcx10</t>
  </si>
  <si>
    <t>disk-vmpfaperdcx10-001</t>
  </si>
  <si>
    <t>disk-vmpfaperdcx10-002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</si>
  <si>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N10 || Application Service: DCX || AppTier: AS || </t>
  </si>
  <si>
    <t>vmpfaperdcx11</t>
  </si>
  <si>
    <t>10.98.41.33</t>
  </si>
  <si>
    <t>nic-001-vmpfaperdcx11</t>
  </si>
  <si>
    <t>osdisk-vmpfaperdcx11</t>
  </si>
  <si>
    <t>disk-vmpfaperdcx11-001</t>
  </si>
  <si>
    <t>disk-vmpfaperdcx11-002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</si>
  <si>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N11 || Application Service: DCX || AppTier: AS || </t>
  </si>
  <si>
    <t>vmpfaperdcx12</t>
  </si>
  <si>
    <t>10.98.41.34</t>
  </si>
  <si>
    <t>nic-001-vmpfaperdcx12</t>
  </si>
  <si>
    <t>osdisk-vmpfaperdcx12</t>
  </si>
  <si>
    <t>disk-vmpfaperdcx12-001</t>
  </si>
  <si>
    <t>disk-vmpfaperdcx12-002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</si>
  <si>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N12 || Application Service: DCX || AppTier: AS || </t>
  </si>
  <si>
    <t>vmpfaperdcx13</t>
  </si>
  <si>
    <t>10.98.41.35</t>
  </si>
  <si>
    <t>nic-001-vmpfaperdcx13</t>
  </si>
  <si>
    <t>osdisk-vmpfaperdcx13</t>
  </si>
  <si>
    <t>disk-vmpfaperdcx13-001</t>
  </si>
  <si>
    <t>disk-vmpfaperdcx13-002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</si>
  <si>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N13 || Application Service: DCX || AppTier: AS || </t>
  </si>
  <si>
    <t>vmpfaperdcx14</t>
  </si>
  <si>
    <t>10.98.41.36</t>
  </si>
  <si>
    <t>nic-001-vmpfaperdcx14</t>
  </si>
  <si>
    <t>osdisk-vmpfaperdcx14</t>
  </si>
  <si>
    <t>disk-vmpfaperdcx14-001</t>
  </si>
  <si>
    <t>disk-vmpfaperdcx14-002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</si>
  <si>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N14 || Application Service: DCX || AppTier: AS || </t>
  </si>
  <si>
    <t>vmpfaperdcx15</t>
  </si>
  <si>
    <t>10.98.41.37</t>
  </si>
  <si>
    <t>nic-001-vmpfaperdcx15</t>
  </si>
  <si>
    <t>osdisk-vmpfaperdcx15</t>
  </si>
  <si>
    <t>disk-vmpfaperdcx15-001</t>
  </si>
  <si>
    <t>disk-vmpfaperdcx15-002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</si>
  <si>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N15 || Application Service: DCX || AppTier: AS || </t>
  </si>
  <si>
    <t>vmpfaperdcx16</t>
  </si>
  <si>
    <t>10.98.41.38</t>
  </si>
  <si>
    <t>nic-001-vmpfaperdcx16</t>
  </si>
  <si>
    <t>osdisk-vmpfaperdcx16</t>
  </si>
  <si>
    <t>disk-vmpfaperdcx16-001</t>
  </si>
  <si>
    <t>disk-vmpfaperdcx16-002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</si>
  <si>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N16 || Application Service: DCX || AppTier: AS || </t>
  </si>
  <si>
    <t>vmpfaperdcx17</t>
  </si>
  <si>
    <t>10.98.41.39</t>
  </si>
  <si>
    <t>nic-001-vmpfaperdcx17</t>
  </si>
  <si>
    <t>osdisk-vmpfaperdcx17</t>
  </si>
  <si>
    <t>disk-vmpfaperdcx17-001</t>
  </si>
  <si>
    <t>disk-vmpfaperdcx17-002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</si>
  <si>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N17 || Application Service: DCX || AppTier: AS || </t>
  </si>
  <si>
    <t>vmpfaperdcx18</t>
  </si>
  <si>
    <t>10.98.41.40</t>
  </si>
  <si>
    <t>nic-001-vmpfaperdcx18</t>
  </si>
  <si>
    <t>osdisk-vmpfaperdcx18</t>
  </si>
  <si>
    <t>disk-vmpfaperdcx18-001</t>
  </si>
  <si>
    <t>disk-vmpfaperdcx18-002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</si>
  <si>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N18 || Application Service: DCX || AppTier: AS || </t>
  </si>
  <si>
    <t>vmpfaperdcx19</t>
  </si>
  <si>
    <t>10.98.41.41</t>
  </si>
  <si>
    <t>nic-001-vmpfaperdcx19</t>
  </si>
  <si>
    <t>osdisk-vmpfaperdcx19</t>
  </si>
  <si>
    <t>disk-vmpfaperdcx19-001</t>
  </si>
  <si>
    <t>disk-vmpfaperdcx19-002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</si>
  <si>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N19 || Application Service: DCX || AppTier: AS || </t>
  </si>
  <si>
    <t>vmpfaperdcx20</t>
  </si>
  <si>
    <t>10.98.41.42</t>
  </si>
  <si>
    <t>nic-001-vmpfaperdcx20</t>
  </si>
  <si>
    <t>osdisk-vmpfaperdcx20</t>
  </si>
  <si>
    <t>disk-vmpfaperdcx20-001</t>
  </si>
  <si>
    <t>disk-vmpfaperdcx20-002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</si>
  <si>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N20 || Application Service: DCX || AppTier: AS || </t>
  </si>
  <si>
    <t>vmpfaperdcx21</t>
  </si>
  <si>
    <t>10.98.41.43</t>
  </si>
  <si>
    <t>nic-001-vmpfaperdcx21</t>
  </si>
  <si>
    <t>osdisk-vmpfaperdcx21</t>
  </si>
  <si>
    <t>disk-vmpfaperdcx21-001</t>
  </si>
  <si>
    <t>disk-vmpfaperdcx21-002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</si>
  <si>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N21 || Application Service: DCX || AppTier: AS || </t>
  </si>
  <si>
    <t>vmpfaperdcx22</t>
  </si>
  <si>
    <t>10.98.41.44</t>
  </si>
  <si>
    <t>nic-001-vmpfaperdcx22</t>
  </si>
  <si>
    <t>osdisk-vmpfaperdcx22</t>
  </si>
  <si>
    <t>disk-vmpfaperdcx22-001</t>
  </si>
  <si>
    <t>disk-vmpfaperdcx22-002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</si>
  <si>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N22 || Application Service: DCX || AppTier: AS || </t>
  </si>
  <si>
    <t>vmpfaperdcx23</t>
  </si>
  <si>
    <t>10.98.41.45</t>
  </si>
  <si>
    <t>nic-001-vmpfaperdcx23</t>
  </si>
  <si>
    <t>osdisk-vmpfaperdcx23</t>
  </si>
  <si>
    <t>disk-vmpfaperdcx23-001</t>
  </si>
  <si>
    <t>disk-vmpfaperdcx23-002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</si>
  <si>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N23 || Application Service: DCX || AppTier: AS || </t>
  </si>
  <si>
    <t>vmpfaperdcx24</t>
  </si>
  <si>
    <t>10.98.41.46</t>
  </si>
  <si>
    <t>nic-001-vmpfaperdcx24</t>
  </si>
  <si>
    <t>osdisk-vmpfaperdcx24</t>
  </si>
  <si>
    <t>disk-vmpfaperdcx24-001</t>
  </si>
  <si>
    <t>disk-vmpfaperdcx24-002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</si>
  <si>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N24 || Application Service: DCX || AppTier: AS || </t>
  </si>
  <si>
    <t>vmpfaperdsm01</t>
  </si>
  <si>
    <t>Standard_D2s_v4</t>
  </si>
  <si>
    <t>AVAIL-VMPFAPERDSM</t>
  </si>
  <si>
    <t>10.98.41.47</t>
  </si>
  <si>
    <t>nic-001-vmpfaperdsm01</t>
  </si>
  <si>
    <t>osdisk-vmpfaperdsm01</t>
  </si>
  <si>
    <t>disk-vmpfaperdsm01-001</t>
  </si>
  <si>
    <t>disk-vmpfaperdsm01-002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</si>
  <si>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ODSM N1 || Application Service: DSM || AppTier: AS || </t>
  </si>
  <si>
    <t>vmpfaperhdr01</t>
  </si>
  <si>
    <t>AVAIL-VMPFAPERHDR</t>
  </si>
  <si>
    <t>10.98.41.48</t>
  </si>
  <si>
    <t>nic-001-vmpfaperhdr01</t>
  </si>
  <si>
    <t>osdisk-vmpfaperhdr01</t>
  </si>
  <si>
    <t>disk-vmpfaperhdr01-001</t>
  </si>
  <si>
    <t>disk-vmpfaperhdr01-002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</si>
  <si>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N1 || Application Service: HDR || AppTier: AS || </t>
  </si>
  <si>
    <t>vmpfaperhdr02</t>
  </si>
  <si>
    <t>10.98.41.49</t>
  </si>
  <si>
    <t>nic-001-vmpfaperhdr02</t>
  </si>
  <si>
    <t>osdisk-vmpfaperhdr02</t>
  </si>
  <si>
    <t>disk-vmpfaperhdr02-001</t>
  </si>
  <si>
    <t>disk-vmpfaperhdr02-002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</si>
  <si>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N2 || Application Service: HDR || AppTier: AS || </t>
  </si>
  <si>
    <t>vmpfaperhdr03</t>
  </si>
  <si>
    <t>10.98.41.50</t>
  </si>
  <si>
    <t>nic-001-vmpfaperhdr03</t>
  </si>
  <si>
    <t>osdisk-vmpfaperhdr03</t>
  </si>
  <si>
    <t>disk-vmpfaperhdr03-001</t>
  </si>
  <si>
    <t>disk-vmpfaperhdr03-002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</si>
  <si>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N3 || Application Service: HDR || AppTier: AS || </t>
  </si>
  <si>
    <t>vmpfaperhdr04</t>
  </si>
  <si>
    <t>10.98.41.51</t>
  </si>
  <si>
    <t>nic-001-vmpfaperhdr04</t>
  </si>
  <si>
    <t>osdisk-vmpfaperhdr04</t>
  </si>
  <si>
    <t>disk-vmpfaperhdr04-001</t>
  </si>
  <si>
    <t>disk-vmpfaperhdr04-002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</si>
  <si>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N4 || Application Service: HDR || AppTier: AS || </t>
  </si>
  <si>
    <t>vmpfaperhdr05</t>
  </si>
  <si>
    <t>10.98.41.52</t>
  </si>
  <si>
    <t>nic-001-vmpfaperhdr05</t>
  </si>
  <si>
    <t>osdisk-vmpfaperhdr05</t>
  </si>
  <si>
    <t>disk-vmpfaperhdr05-001</t>
  </si>
  <si>
    <t>disk-vmpfaperhdr05-002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</si>
  <si>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N5 || Application Service: HDR || AppTier: AS || </t>
  </si>
  <si>
    <t>vmpfaperhdr06</t>
  </si>
  <si>
    <t>10.98.41.53</t>
  </si>
  <si>
    <t>nic-001-vmpfaperhdr06</t>
  </si>
  <si>
    <t>osdisk-vmpfaperhdr06</t>
  </si>
  <si>
    <t>disk-vmpfaperhdr06-001</t>
  </si>
  <si>
    <t>disk-vmpfaperhdr06-002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</si>
  <si>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N6 || Application Service: HDR || AppTier: AS || </t>
  </si>
  <si>
    <t>vmpfaperhdr07</t>
  </si>
  <si>
    <t>10.98.41.54</t>
  </si>
  <si>
    <t>nic-001-vmpfaperhdr07</t>
  </si>
  <si>
    <t>osdisk-vmpfaperhdr07</t>
  </si>
  <si>
    <t>disk-vmpfaperhdr07-001</t>
  </si>
  <si>
    <t>disk-vmpfaperhdr07-002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</si>
  <si>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N7 || Application Service: HDR || AppTier: AS || </t>
  </si>
  <si>
    <t>vmpfaperhdr08</t>
  </si>
  <si>
    <t>10.98.41.55</t>
  </si>
  <si>
    <t>nic-001-vmpfaperhdr08</t>
  </si>
  <si>
    <t>osdisk-vmpfaperhdr08</t>
  </si>
  <si>
    <t>disk-vmpfaperhdr08-001</t>
  </si>
  <si>
    <t>disk-vmpfaperhdr08-002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</si>
  <si>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N8 || Application Service: HDR || AppTier: AS || </t>
  </si>
  <si>
    <t>vmpfaperhdr09</t>
  </si>
  <si>
    <t>10.98.41.56</t>
  </si>
  <si>
    <t>nic-001-vmpfaperhdr09</t>
  </si>
  <si>
    <t>osdisk-vmpfaperhdr09</t>
  </si>
  <si>
    <t>disk-vmpfaperhdr09-001</t>
  </si>
  <si>
    <t>disk-vmpfaperhdr09-002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</si>
  <si>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N9 || Application Service: HDR || AppTier: AS || </t>
  </si>
  <si>
    <t>vmpfaperhdr10</t>
  </si>
  <si>
    <t>10.98.41.57</t>
  </si>
  <si>
    <t>nic-001-vmpfaperhdr10</t>
  </si>
  <si>
    <t>osdisk-vmpfaperhdr10</t>
  </si>
  <si>
    <t>disk-vmpfaperhdr10-001</t>
  </si>
  <si>
    <t>disk-vmpfaperhdr10-002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</si>
  <si>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N10 || Application Service: HDR || AppTier: AS || </t>
  </si>
  <si>
    <t>vmpfaperhdr11</t>
  </si>
  <si>
    <t>10.98.41.58</t>
  </si>
  <si>
    <t>nic-001-vmpfaperhdr11</t>
  </si>
  <si>
    <t>osdisk-vmpfaperhdr11</t>
  </si>
  <si>
    <t>disk-vmpfaperhdr11-001</t>
  </si>
  <si>
    <t>disk-vmpfaperhdr11-002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</si>
  <si>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N11 || Application Service: HDR || AppTier: AS || </t>
  </si>
  <si>
    <t>vmpfaperhdr12</t>
  </si>
  <si>
    <t>10.98.41.59</t>
  </si>
  <si>
    <t>nic-001-vmpfaperhdr12</t>
  </si>
  <si>
    <t>osdisk-vmpfaperhdr12</t>
  </si>
  <si>
    <t>disk-vmpfaperhdr12-001</t>
  </si>
  <si>
    <t>disk-vmpfaperhdr12-002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</si>
  <si>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N12 || Application Service: HDR || AppTier: AS || </t>
  </si>
  <si>
    <t>vmpfaperhdr13</t>
  </si>
  <si>
    <t>10.98.41.60</t>
  </si>
  <si>
    <t>nic-001-vmpfaperhdr13</t>
  </si>
  <si>
    <t>osdisk-vmpfaperhdr13</t>
  </si>
  <si>
    <t>disk-vmpfaperhdr13-001</t>
  </si>
  <si>
    <t>disk-vmpfaperhdr13-002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</si>
  <si>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N13 || Application Service: HDR || AppTier: AS || </t>
  </si>
  <si>
    <t>vmpfaperhdr14</t>
  </si>
  <si>
    <t>10.98.41.61</t>
  </si>
  <si>
    <t>nic-001-vmpfaperhdr14</t>
  </si>
  <si>
    <t>osdisk-vmpfaperhdr14</t>
  </si>
  <si>
    <t>disk-vmpfaperhdr14-001</t>
  </si>
  <si>
    <t>disk-vmpfaperhdr14-002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</si>
  <si>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N14 || Application Service: HDR || AppTier: AS || </t>
  </si>
  <si>
    <t>vmpfaperhdr15</t>
  </si>
  <si>
    <t>10.98.41.62</t>
  </si>
  <si>
    <t>nic-001-vmpfaperhdr15</t>
  </si>
  <si>
    <t>osdisk-vmpfaperhdr15</t>
  </si>
  <si>
    <t>disk-vmpfaperhdr15-001</t>
  </si>
  <si>
    <t>disk-vmpfaperhdr15-002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</si>
  <si>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N15 || Application Service: HDR || AppTier: AS || </t>
  </si>
  <si>
    <t>vmpfaperhdr16</t>
  </si>
  <si>
    <t>10.98.41.63</t>
  </si>
  <si>
    <t>nic-001-vmpfaperhdr16</t>
  </si>
  <si>
    <t>osdisk-vmpfaperhdr16</t>
  </si>
  <si>
    <t>disk-vmpfaperhdr16-001</t>
  </si>
  <si>
    <t>disk-vmpfaperhdr16-002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</si>
  <si>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P1 || Application Service: HDR || AppTier: AS || </t>
  </si>
  <si>
    <t>vmpfaperhdr17</t>
  </si>
  <si>
    <t>10.98.41.64</t>
  </si>
  <si>
    <t>nic-001-vmpfaperhdr17</t>
  </si>
  <si>
    <t>osdisk-vmpfaperhdr17</t>
  </si>
  <si>
    <t>disk-vmpfaperhdr17-001</t>
  </si>
  <si>
    <t>disk-vmpfaperhdr17-002</t>
  </si>
  <si>
    <t>vmpfaperhdr18</t>
  </si>
  <si>
    <t>10.98.41.65</t>
  </si>
  <si>
    <t>nic-001-vmpfaperhdr18</t>
  </si>
  <si>
    <t>osdisk-vmpfaperhdr18</t>
  </si>
  <si>
    <t>disk-vmpfaperhdr18-001</t>
  </si>
  <si>
    <t>disk-vmpfaperhdr18-002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</si>
  <si>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P2 || Application Service: HDR || AppTier: AS || </t>
  </si>
  <si>
    <t>vmpfaperhdr19</t>
  </si>
  <si>
    <t>10.98.41.66</t>
  </si>
  <si>
    <t>nic-001-vmpfaperhdr19</t>
  </si>
  <si>
    <t>osdisk-vmpfaperhdr19</t>
  </si>
  <si>
    <t>disk-vmpfaperhdr19-001</t>
  </si>
  <si>
    <t>disk-vmpfaperhdr19-002</t>
  </si>
  <si>
    <t>vmpfaperhdr20</t>
  </si>
  <si>
    <t>10.98.41.67</t>
  </si>
  <si>
    <t>nic-001-vmpfaperhdr20</t>
  </si>
  <si>
    <t>osdisk-vmpfaperhdr20</t>
  </si>
  <si>
    <t>disk-vmpfaperhdr20-001</t>
  </si>
  <si>
    <t>disk-vmpfaperhdr20-002</t>
  </si>
  <si>
    <t>vmpfaperhdr21</t>
  </si>
  <si>
    <t>10.98.41.68</t>
  </si>
  <si>
    <t>nic-001-vmpfaperhdr21</t>
  </si>
  <si>
    <t>osdisk-vmpfaperhdr21</t>
  </si>
  <si>
    <t>disk-vmpfaperhdr21-001</t>
  </si>
  <si>
    <t>disk-vmpfaperhdr21-002</t>
  </si>
  <si>
    <t>vmpfaperhdr22</t>
  </si>
  <si>
    <t>10.98.41.69</t>
  </si>
  <si>
    <t>nic-001-vmpfaperhdr22</t>
  </si>
  <si>
    <t>osdisk-vmpfaperhdr22</t>
  </si>
  <si>
    <t>disk-vmpfaperhdr22-001</t>
  </si>
  <si>
    <t>disk-vmpfaperhdr22-002</t>
  </si>
  <si>
    <t>vmpfaperhdr23</t>
  </si>
  <si>
    <t>10.98.41.70</t>
  </si>
  <si>
    <t>nic-001-vmpfaperhdr23</t>
  </si>
  <si>
    <t>osdisk-vmpfaperhdr23</t>
  </si>
  <si>
    <t>disk-vmpfaperhdr23-001</t>
  </si>
  <si>
    <t>disk-vmpfaperhdr23-002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</si>
  <si>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|| Application Service: HDR || AppTier: AS || </t>
  </si>
  <si>
    <t>vmpfaperhdr24</t>
  </si>
  <si>
    <t>10.98.41.71</t>
  </si>
  <si>
    <t>nic-001-vmpfaperhdr24</t>
  </si>
  <si>
    <t>osdisk-vmpfaperhdr24</t>
  </si>
  <si>
    <t>disk-vmpfaperhdr24-001</t>
  </si>
  <si>
    <t>disk-vmpfaperhdr24-002</t>
  </si>
  <si>
    <t>vmpfaperhdr25</t>
  </si>
  <si>
    <t>10.98.41.73</t>
  </si>
  <si>
    <t>nic-001-vmpfaperhdr25</t>
  </si>
  <si>
    <t>osdisk-vmpfaperhdr25</t>
  </si>
  <si>
    <t>disk-vmpfaperhdr25-001</t>
  </si>
  <si>
    <t>disk-vmpfaperhdr25-002</t>
  </si>
  <si>
    <t>vmpfaperhdr26</t>
  </si>
  <si>
    <t>10.98.41.74</t>
  </si>
  <si>
    <t>nic-001-vmpfaperhdr26</t>
  </si>
  <si>
    <t>osdisk-vmpfaperhdr26</t>
  </si>
  <si>
    <t>disk-vmpfaperhdr26-001</t>
  </si>
  <si>
    <t>disk-vmpfaperhdr26-002</t>
  </si>
  <si>
    <t>vmpfaperhdr27</t>
  </si>
  <si>
    <t>10.98.41.75</t>
  </si>
  <si>
    <t>nic-001-vmpfaperhdr27</t>
  </si>
  <si>
    <t>osdisk-vmpfaperhdr27</t>
  </si>
  <si>
    <t>disk-vmpfaperhdr27-001</t>
  </si>
  <si>
    <t>disk-vmpfaperhdr27-002</t>
  </si>
  <si>
    <t>vmpfaperhdr28</t>
  </si>
  <si>
    <t>10.98.41.76</t>
  </si>
  <si>
    <t>nic-001-vmpfaperhdr28</t>
  </si>
  <si>
    <t>osdisk-vmpfaperhdr28</t>
  </si>
  <si>
    <t>disk-vmpfaperhdr28-001</t>
  </si>
  <si>
    <t>disk-vmpfaperhdr28-002</t>
  </si>
  <si>
    <t>vmpfaperhdr29</t>
  </si>
  <si>
    <t>10.98.41.77</t>
  </si>
  <si>
    <t>nic-001-vmpfaperhdr29</t>
  </si>
  <si>
    <t>osdisk-vmpfaperhdr29</t>
  </si>
  <si>
    <t>disk-vmpfaperhdr29-001</t>
  </si>
  <si>
    <t>disk-vmpfaperhdr29-002</t>
  </si>
  <si>
    <t>vmpfaperhdr30</t>
  </si>
  <si>
    <t>10.98.41.78</t>
  </si>
  <si>
    <t>nic-001-vmpfaperhdr30</t>
  </si>
  <si>
    <t>osdisk-vmpfaperhdr30</t>
  </si>
  <si>
    <t>disk-vmpfaperhdr30-001</t>
  </si>
  <si>
    <t>disk-vmpfaperhdr30-002</t>
  </si>
  <si>
    <t>vmpfaperhdr31</t>
  </si>
  <si>
    <t>10.98.41.79</t>
  </si>
  <si>
    <t>nic-001-vmpfaperhdr31</t>
  </si>
  <si>
    <t>osdisk-vmpfaperhdr31</t>
  </si>
  <si>
    <t>disk-vmpfaperhdr31-001</t>
  </si>
  <si>
    <t>disk-vmpfaperhdr31-002</t>
  </si>
  <si>
    <t>vmpfaperhdr32</t>
  </si>
  <si>
    <t>10.98.41.80</t>
  </si>
  <si>
    <t>nic-001-vmpfaperhdr32</t>
  </si>
  <si>
    <t>osdisk-vmpfaperhdr32</t>
  </si>
  <si>
    <t>disk-vmpfaperhdr32-001</t>
  </si>
  <si>
    <t>disk-vmpfaperhdr32-002</t>
  </si>
  <si>
    <t>vmpfaperhdr33</t>
  </si>
  <si>
    <t>10.98.41.81</t>
  </si>
  <si>
    <t>nic-001-vmpfaperhdr33</t>
  </si>
  <si>
    <t>osdisk-vmpfaperhdr33</t>
  </si>
  <si>
    <t>disk-vmpfaperhdr33-001</t>
  </si>
  <si>
    <t>disk-vmpfaperhdr33-002</t>
  </si>
  <si>
    <t>vmpfaperhdr34</t>
  </si>
  <si>
    <t>10.98.41.82</t>
  </si>
  <si>
    <t>nic-001-vmpfaperhdr34</t>
  </si>
  <si>
    <t>osdisk-vmpfaperhdr34</t>
  </si>
  <si>
    <t>disk-vmpfaperhdr34-001</t>
  </si>
  <si>
    <t>disk-vmpfaperhdr34-002</t>
  </si>
  <si>
    <t>vmpfaperhdr35</t>
  </si>
  <si>
    <t>10.98.41.83</t>
  </si>
  <si>
    <t>nic-001-vmpfaperhdr35</t>
  </si>
  <si>
    <t>osdisk-vmpfaperhdr35</t>
  </si>
  <si>
    <t>disk-vmpfaperhdr35-001</t>
  </si>
  <si>
    <t>disk-vmpfaperhdr35-002</t>
  </si>
  <si>
    <t>vmpfaperhmr01</t>
  </si>
  <si>
    <t>AVAIL-VMPFAPERHMR</t>
  </si>
  <si>
    <t>10.98.41.84</t>
  </si>
  <si>
    <t>nic-001-vmpfaperhmr01</t>
  </si>
  <si>
    <t>osdisk-vmpfaperhmr01</t>
  </si>
  <si>
    <t>disk-vmpfaperhmr01-001</t>
  </si>
  <si>
    <t>disk-vmpfaperhmr01-002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</si>
  <si>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RLS N1 || Application Service: HMR || AppTier: AS || </t>
  </si>
  <si>
    <t>vmpfaperhmr02</t>
  </si>
  <si>
    <t>10.98.41.85</t>
  </si>
  <si>
    <t>nic-001-vmpfaperhmr02</t>
  </si>
  <si>
    <t>osdisk-vmpfaperhmr02</t>
  </si>
  <si>
    <t>disk-vmpfaperhmr02-001</t>
  </si>
  <si>
    <t>disk-vmpfaperhmr02-002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</si>
  <si>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RLS N2 || Application Service: HMR || AppTier: AS || </t>
  </si>
  <si>
    <t>vmpfaperhmr03</t>
  </si>
  <si>
    <t>10.98.41.86</t>
  </si>
  <si>
    <t>nic-001-vmpfaperhmr03</t>
  </si>
  <si>
    <t>osdisk-vmpfaperhmr03</t>
  </si>
  <si>
    <t>disk-vmpfaperhmr03-001</t>
  </si>
  <si>
    <t>disk-vmpfaperhmr03-002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</si>
  <si>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RLS N3 || Application Service: HMR || AppTier: AS || </t>
  </si>
  <si>
    <t>vmpfaperhmr04</t>
  </si>
  <si>
    <t>10.98.41.87</t>
  </si>
  <si>
    <t>nic-001-vmpfaperhmr04</t>
  </si>
  <si>
    <t>osdisk-vmpfaperhmr04</t>
  </si>
  <si>
    <t>disk-vmpfaperhmr04-001</t>
  </si>
  <si>
    <t>disk-vmpfaperhmr04-002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</si>
  <si>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RLS N4 || Application Service: HMR || AppTier: AS || </t>
  </si>
  <si>
    <t>vmpfaperhmr05</t>
  </si>
  <si>
    <t>10.98.41.88</t>
  </si>
  <si>
    <t>nic-001-vmpfaperhmr05</t>
  </si>
  <si>
    <t>osdisk-vmpfaperhmr05</t>
  </si>
  <si>
    <t>disk-vmpfaperhmr05-001</t>
  </si>
  <si>
    <t>disk-vmpfaperhmr05-002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</si>
  <si>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RLS N5 || Application Service: HMR || AppTier: AS || </t>
  </si>
  <si>
    <t>vmpfaperhmr06</t>
  </si>
  <si>
    <t>10.98.41.89</t>
  </si>
  <si>
    <t>nic-001-vmpfaperhmr06</t>
  </si>
  <si>
    <t>osdisk-vmpfaperhmr06</t>
  </si>
  <si>
    <t>disk-vmpfaperhmr06-001</t>
  </si>
  <si>
    <t>disk-vmpfaperhmr06-002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</si>
  <si>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RLS N6 || Application Service: HMR || AppTier: AS || </t>
  </si>
  <si>
    <t>vmpfaperhmr07</t>
  </si>
  <si>
    <t>10.98.41.90</t>
  </si>
  <si>
    <t>nic-001-vmpfaperhmr07</t>
  </si>
  <si>
    <t>osdisk-vmpfaperhmr07</t>
  </si>
  <si>
    <t>disk-vmpfaperhmr07-001</t>
  </si>
  <si>
    <t>disk-vmpfaperhmr07-002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</si>
  <si>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RLS N7 || Application Service: HMR || AppTier: AS || </t>
  </si>
  <si>
    <t>vmpfaperhmr08</t>
  </si>
  <si>
    <t>10.98.41.91</t>
  </si>
  <si>
    <t>nic-001-vmpfaperhmr08</t>
  </si>
  <si>
    <t>osdisk-vmpfaperhmr08</t>
  </si>
  <si>
    <t>disk-vmpfaperhmr08-001</t>
  </si>
  <si>
    <t>disk-vmpfaperhmr08-002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</si>
  <si>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RLS N8 || Application Service: HMR || AppTier: AS || </t>
  </si>
  <si>
    <t>vmpfaperhmr09</t>
  </si>
  <si>
    <t>10.98.41.92</t>
  </si>
  <si>
    <t>nic-001-vmpfaperhmr09</t>
  </si>
  <si>
    <t>osdisk-vmpfaperhmr09</t>
  </si>
  <si>
    <t>disk-vmpfaperhmr09-001</t>
  </si>
  <si>
    <t>disk-vmpfaperhmr09-002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</si>
  <si>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RLS N9 || Application Service: HMR || AppTier: AS || </t>
  </si>
  <si>
    <t>vmpfaperhmr10</t>
  </si>
  <si>
    <t>10.98.41.93</t>
  </si>
  <si>
    <t>nic-001-vmpfaperhmr10</t>
  </si>
  <si>
    <t>osdisk-vmpfaperhmr10</t>
  </si>
  <si>
    <t>disk-vmpfaperhmr10-001</t>
  </si>
  <si>
    <t>disk-vmpfaperhmr10-002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</si>
  <si>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RLS N10 || Application Service: HMR || AppTier: AS || </t>
  </si>
  <si>
    <t>vmpfaperhmr11</t>
  </si>
  <si>
    <t>10.98.41.94</t>
  </si>
  <si>
    <t>nic-001-vmpfaperhmr11</t>
  </si>
  <si>
    <t>osdisk-vmpfaperhmr11</t>
  </si>
  <si>
    <t>disk-vmpfaperhmr11-001</t>
  </si>
  <si>
    <t>disk-vmpfaperhmr11-002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</si>
  <si>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RLS N11 || Application Service: HMR || AppTier: AS || </t>
  </si>
  <si>
    <t>vmpfaperhmr12</t>
  </si>
  <si>
    <t>10.98.41.95</t>
  </si>
  <si>
    <t>nic-001-vmpfaperhmr12</t>
  </si>
  <si>
    <t>osdisk-vmpfaperhmr12</t>
  </si>
  <si>
    <t>disk-vmpfaperhmr12-001</t>
  </si>
  <si>
    <t>disk-vmpfaperhmr12-002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</si>
  <si>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RLS N12 || Application Service: HMR || AppTier: AS || </t>
  </si>
  <si>
    <t>vmpfapernes02</t>
  </si>
  <si>
    <t>AVAIL-VMPFAPERNES-02</t>
  </si>
  <si>
    <t>10.98.41.96</t>
  </si>
  <si>
    <t>nic-001-vmpfapernes02</t>
  </si>
  <si>
    <t>osdisk-vmpfapernes02</t>
  </si>
  <si>
    <t>disk-vmpfapernes02-001</t>
  </si>
  <si>
    <t>disk-vmpfapernes02-002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</si>
  <si>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T2 Nessus Scanner || Application Service: NES || AppTier: AS || </t>
  </si>
  <si>
    <t>vmpfaperoam01</t>
  </si>
  <si>
    <t>AVAIL-VMPFAPEROAM</t>
  </si>
  <si>
    <t>10.98.41.97</t>
  </si>
  <si>
    <t>nic-001-vmpfaperoam01</t>
  </si>
  <si>
    <t>osdisk-vmpfaperoam01</t>
  </si>
  <si>
    <t>disk-vmpfaperoam01-001</t>
  </si>
  <si>
    <t>disk-vmpfaperoam01-002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</si>
  <si>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OAM N1 || Application Service: OAM || AppTier: AS || </t>
  </si>
  <si>
    <t>vmpfaperoam02</t>
  </si>
  <si>
    <t>10.98.41.98</t>
  </si>
  <si>
    <t>nic-001-vmpfaperoam02</t>
  </si>
  <si>
    <t>osdisk-vmpfaperoam02</t>
  </si>
  <si>
    <t>disk-vmpfaperoam02-001</t>
  </si>
  <si>
    <t>disk-vmpfaperoam02-002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</si>
  <si>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OAM N2 || Application Service: OAM || AppTier: AS || </t>
  </si>
  <si>
    <t>vmpfaperoam03</t>
  </si>
  <si>
    <t>10.98.41.99</t>
  </si>
  <si>
    <t>nic-001-vmpfaperoam03</t>
  </si>
  <si>
    <t>osdisk-vmpfaperoam03</t>
  </si>
  <si>
    <t>disk-vmpfaperoam03-001</t>
  </si>
  <si>
    <t>disk-vmpfaperoam03-002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</si>
  <si>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OAM N3 || Application Service: OAM || AppTier: AS || </t>
  </si>
  <si>
    <t>vmpfaperoam04</t>
  </si>
  <si>
    <t>10.98.41.100</t>
  </si>
  <si>
    <t>nic-001-vmpfaperoam04</t>
  </si>
  <si>
    <t>osdisk-vmpfaperoam04</t>
  </si>
  <si>
    <t>disk-vmpfaperoam04-001</t>
  </si>
  <si>
    <t>disk-vmpfaperoam04-002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</si>
  <si>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OAM N4 || Application Service: OAM || AppTier: AS || </t>
  </si>
  <si>
    <t>vmpfaperoam05</t>
  </si>
  <si>
    <t>10.98.41.101</t>
  </si>
  <si>
    <t>nic-001-vmpfaperoam05</t>
  </si>
  <si>
    <t>osdisk-vmpfaperoam05</t>
  </si>
  <si>
    <t>disk-vmpfaperoam05-001</t>
  </si>
  <si>
    <t>disk-vmpfaperoam05-002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</si>
  <si>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OAM N5 || Application Service: OAM || AppTier: AS || </t>
  </si>
  <si>
    <t>vmpfaperoam06</t>
  </si>
  <si>
    <t>10.98.41.102</t>
  </si>
  <si>
    <t>nic-001-vmpfaperoam06</t>
  </si>
  <si>
    <t>osdisk-vmpfaperoam06</t>
  </si>
  <si>
    <t>disk-vmpfaperoam06-001</t>
  </si>
  <si>
    <t>disk-vmpfaperoam06-002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</si>
  <si>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OAM N6 || Application Service: OAM || AppTier: AS || </t>
  </si>
  <si>
    <t>vmpfaperoam07</t>
  </si>
  <si>
    <t>10.98.41.103</t>
  </si>
  <si>
    <t>nic-001-vmpfaperoam07</t>
  </si>
  <si>
    <t>osdisk-vmpfaperoam07</t>
  </si>
  <si>
    <t>disk-vmpfaperoam07-001</t>
  </si>
  <si>
    <t>disk-vmpfaperoam07-002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</si>
  <si>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OAM N7 || Application Service: OAM || AppTier: AS || </t>
  </si>
  <si>
    <t>vmpfaperoam08</t>
  </si>
  <si>
    <t>10.98.41.104</t>
  </si>
  <si>
    <t>nic-001-vmpfaperoam08</t>
  </si>
  <si>
    <t>osdisk-vmpfaperoam08</t>
  </si>
  <si>
    <t>disk-vmpfaperoam08-001</t>
  </si>
  <si>
    <t>disk-vmpfaperoam08-002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</si>
  <si>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OAM N8 || Application Service: OAM || AppTier: AS || </t>
  </si>
  <si>
    <t>vmpfaperoes01</t>
  </si>
  <si>
    <t>AVAIL-VMPFAPEROES</t>
  </si>
  <si>
    <t>10.98.41.105</t>
  </si>
  <si>
    <t>nic-001-vmpfaperoes01</t>
  </si>
  <si>
    <t>osdisk-vmpfaperoes01</t>
  </si>
  <si>
    <t>disk-vmpfaperoes01-001</t>
  </si>
  <si>
    <t>disk-vmpfaperoes01-002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</si>
  <si>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N1 || Application Service: OES || AppTier: AS || </t>
  </si>
  <si>
    <t>vmpfaperoes02</t>
  </si>
  <si>
    <t>10.98.41.106</t>
  </si>
  <si>
    <t>nic-001-vmpfaperoes02</t>
  </si>
  <si>
    <t>osdisk-vmpfaperoes02</t>
  </si>
  <si>
    <t>disk-vmpfaperoes02-001</t>
  </si>
  <si>
    <t>disk-vmpfaperoes02-002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</si>
  <si>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N2 || Application Service: OES || AppTier: AS || </t>
  </si>
  <si>
    <t>vmpfaperoes03</t>
  </si>
  <si>
    <t>10.98.41.107</t>
  </si>
  <si>
    <t>nic-001-vmpfaperoes03</t>
  </si>
  <si>
    <t>osdisk-vmpfaperoes03</t>
  </si>
  <si>
    <t>disk-vmpfaperoes03-001</t>
  </si>
  <si>
    <t>disk-vmpfaperoes03-002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</si>
  <si>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N3 || Application Service: OES || AppTier: AS || </t>
  </si>
  <si>
    <t>vmpfaperoes04</t>
  </si>
  <si>
    <t>10.98.41.108</t>
  </si>
  <si>
    <t>nic-001-vmpfaperoes04</t>
  </si>
  <si>
    <t>osdisk-vmpfaperoes04</t>
  </si>
  <si>
    <t>disk-vmpfaperoes04-001</t>
  </si>
  <si>
    <t>disk-vmpfaperoes04-002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</si>
  <si>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N4 || Application Service: OES || AppTier: AS || </t>
  </si>
  <si>
    <t>vmpfaperoes05</t>
  </si>
  <si>
    <t>10.98.41.109</t>
  </si>
  <si>
    <t>nic-001-vmpfaperoes05</t>
  </si>
  <si>
    <t>osdisk-vmpfaperoes05</t>
  </si>
  <si>
    <t>disk-vmpfaperoes05-001</t>
  </si>
  <si>
    <t>disk-vmpfaperoes05-002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</si>
  <si>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N5 || Application Service: OES || AppTier: AS || </t>
  </si>
  <si>
    <t>vmpfaperoes06</t>
  </si>
  <si>
    <t>10.98.41.110</t>
  </si>
  <si>
    <t>nic-001-vmpfaperoes06</t>
  </si>
  <si>
    <t>osdisk-vmpfaperoes06</t>
  </si>
  <si>
    <t>disk-vmpfaperoes06-001</t>
  </si>
  <si>
    <t>disk-vmpfaperoes06-002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</si>
  <si>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N6 || Application Service: OES || AppTier: AS || </t>
  </si>
  <si>
    <t>vmpfaperoes07</t>
  </si>
  <si>
    <t>10.98.41.111</t>
  </si>
  <si>
    <t>nic-001-vmpfaperoes07</t>
  </si>
  <si>
    <t>osdisk-vmpfaperoes07</t>
  </si>
  <si>
    <t>disk-vmpfaperoes07-001</t>
  </si>
  <si>
    <t>disk-vmpfaperoes07-002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</si>
  <si>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N7 || Application Service: OES || AppTier: AS || </t>
  </si>
  <si>
    <t>vmpfaperoes08</t>
  </si>
  <si>
    <t>10.98.41.112</t>
  </si>
  <si>
    <t>nic-001-vmpfaperoes08</t>
  </si>
  <si>
    <t>osdisk-vmpfaperoes08</t>
  </si>
  <si>
    <t>disk-vmpfaperoes08-001</t>
  </si>
  <si>
    <t>disk-vmpfaperoes08-002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</si>
  <si>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N8 || Application Service: OES || AppTier: AS || </t>
  </si>
  <si>
    <t>vmpfaperoes09</t>
  </si>
  <si>
    <t>10.98.41.113</t>
  </si>
  <si>
    <t>nic-001-vmpfaperoes09</t>
  </si>
  <si>
    <t>osdisk-vmpfaperoes09</t>
  </si>
  <si>
    <t>disk-vmpfaperoes09-001</t>
  </si>
  <si>
    <t>disk-vmpfaperoes09-002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</si>
  <si>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N9 || Application Service: OES || AppTier: AS || </t>
  </si>
  <si>
    <t>vmpfaperoes10</t>
  </si>
  <si>
    <t>10.98.41.114</t>
  </si>
  <si>
    <t>nic-001-vmpfaperoes10</t>
  </si>
  <si>
    <t>osdisk-vmpfaperoes10</t>
  </si>
  <si>
    <t>disk-vmpfaperoes10-001</t>
  </si>
  <si>
    <t>disk-vmpfaperoes10-002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</si>
  <si>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N10 || Application Service: OES || AppTier: AS || </t>
  </si>
  <si>
    <t>vmpfaperoes11</t>
  </si>
  <si>
    <t>10.98.41.115</t>
  </si>
  <si>
    <t>nic-001-vmpfaperoes11</t>
  </si>
  <si>
    <t>osdisk-vmpfaperoes11</t>
  </si>
  <si>
    <t>disk-vmpfaperoes11-001</t>
  </si>
  <si>
    <t>disk-vmpfaperoes11-002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</si>
  <si>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N11 || Application Service: OES || AppTier: AS || </t>
  </si>
  <si>
    <t>vmpfaperoes12</t>
  </si>
  <si>
    <t>10.98.41.116</t>
  </si>
  <si>
    <t>nic-001-vmpfaperoes12</t>
  </si>
  <si>
    <t>osdisk-vmpfaperoes12</t>
  </si>
  <si>
    <t>disk-vmpfaperoes12-001</t>
  </si>
  <si>
    <t>disk-vmpfaperoes12-002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</si>
  <si>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N12 || Application Service: OES || AppTier: AS || </t>
  </si>
  <si>
    <t>vmpfaperoes13</t>
  </si>
  <si>
    <t>10.98.41.117</t>
  </si>
  <si>
    <t>nic-001-vmpfaperoes13</t>
  </si>
  <si>
    <t>osdisk-vmpfaperoes13</t>
  </si>
  <si>
    <t>disk-vmpfaperoes13-001</t>
  </si>
  <si>
    <t>disk-vmpfaperoes13-002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</si>
  <si>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N13 || Application Service: OES || AppTier: AS || </t>
  </si>
  <si>
    <t>vmpfaperoes14</t>
  </si>
  <si>
    <t>10.98.41.118</t>
  </si>
  <si>
    <t>nic-001-vmpfaperoes14</t>
  </si>
  <si>
    <t>osdisk-vmpfaperoes14</t>
  </si>
  <si>
    <t>disk-vmpfaperoes14-001</t>
  </si>
  <si>
    <t>disk-vmpfaperoes14-002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</si>
  <si>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N14 || Application Service: OES || AppTier: AS || </t>
  </si>
  <si>
    <t>vmpfaperoes15</t>
  </si>
  <si>
    <t>10.98.41.119</t>
  </si>
  <si>
    <t>nic-001-vmpfaperoes15</t>
  </si>
  <si>
    <t>osdisk-vmpfaperoes15</t>
  </si>
  <si>
    <t>disk-vmpfaperoes15-001</t>
  </si>
  <si>
    <t>disk-vmpfaperoes15-002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</si>
  <si>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N15 || Application Service: OES || AppTier: AS || </t>
  </si>
  <si>
    <t>vmpfaperoes16</t>
  </si>
  <si>
    <t>10.98.41.120</t>
  </si>
  <si>
    <t>nic-001-vmpfaperoes16</t>
  </si>
  <si>
    <t>osdisk-vmpfaperoes16</t>
  </si>
  <si>
    <t>disk-vmpfaperoes16-001</t>
  </si>
  <si>
    <t>disk-vmpfaperoes16-002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</si>
  <si>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N16 || Application Service: OES || AppTier: AS || </t>
  </si>
  <si>
    <t>vmpfaperoes17</t>
  </si>
  <si>
    <t>10.98.41.121</t>
  </si>
  <si>
    <t>nic-001-vmpfaperoes17</t>
  </si>
  <si>
    <t>osdisk-vmpfaperoes17</t>
  </si>
  <si>
    <t>disk-vmpfaperoes17-001</t>
  </si>
  <si>
    <t>disk-vmpfaperoes17-002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</si>
  <si>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N17 || Application Service: OES || AppTier: AS || </t>
  </si>
  <si>
    <t>vmpfaperoes18</t>
  </si>
  <si>
    <t>10.98.41.122</t>
  </si>
  <si>
    <t>nic-001-vmpfaperoes18</t>
  </si>
  <si>
    <t>osdisk-vmpfaperoes18</t>
  </si>
  <si>
    <t>disk-vmpfaperoes18-001</t>
  </si>
  <si>
    <t>disk-vmpfaperoes18-002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</si>
  <si>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N18 || Application Service: OES || AppTier: AS || </t>
  </si>
  <si>
    <t>vmpfaperoes19</t>
  </si>
  <si>
    <t>10.98.41.123</t>
  </si>
  <si>
    <t>nic-001-vmpfaperoes19</t>
  </si>
  <si>
    <t>osdisk-vmpfaperoes19</t>
  </si>
  <si>
    <t>disk-vmpfaperoes19-001</t>
  </si>
  <si>
    <t>disk-vmpfaperoes19-002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</si>
  <si>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N19 || Application Service: OES || AppTier: AS || </t>
  </si>
  <si>
    <t>vmpfaperoid01</t>
  </si>
  <si>
    <t>AVAIL-VMPFAPEROID</t>
  </si>
  <si>
    <t>10.98.41.124</t>
  </si>
  <si>
    <t>nic-001-vmpfaperoid01</t>
  </si>
  <si>
    <t>osdisk-vmpfaperoid01</t>
  </si>
  <si>
    <t>disk-vmpfaperoid01-001</t>
  </si>
  <si>
    <t>disk-vmpfaperoid01-002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</si>
  <si>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N1 || Application Service: OID || AppTier: AS || </t>
  </si>
  <si>
    <t>vmpfaperoid02</t>
  </si>
  <si>
    <t>10.98.41.125</t>
  </si>
  <si>
    <t>nic-001-vmpfaperoid02</t>
  </si>
  <si>
    <t>osdisk-vmpfaperoid02</t>
  </si>
  <si>
    <t>disk-vmpfaperoid02-001</t>
  </si>
  <si>
    <t>disk-vmpfaperoid02-002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</si>
  <si>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N2 || Application Service: OID || AppTier: AS || </t>
  </si>
  <si>
    <t>vmpfaperoid03</t>
  </si>
  <si>
    <t>10.98.41.126</t>
  </si>
  <si>
    <t>nic-001-vmpfaperoid03</t>
  </si>
  <si>
    <t>osdisk-vmpfaperoid03</t>
  </si>
  <si>
    <t>disk-vmpfaperoid03-001</t>
  </si>
  <si>
    <t>disk-vmpfaperoid03-002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</si>
  <si>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N3 || Application Service: OID || AppTier: AS || </t>
  </si>
  <si>
    <t>vmpfaperoid04</t>
  </si>
  <si>
    <t>10.98.41.127</t>
  </si>
  <si>
    <t>nic-001-vmpfaperoid04</t>
  </si>
  <si>
    <t>osdisk-vmpfaperoid04</t>
  </si>
  <si>
    <t>disk-vmpfaperoid04-001</t>
  </si>
  <si>
    <t>disk-vmpfaperoid04-002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</si>
  <si>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N4 || Application Service: OID || AppTier: AS || </t>
  </si>
  <si>
    <t>vmpfaperoid05</t>
  </si>
  <si>
    <t>10.98.41.128</t>
  </si>
  <si>
    <t>nic-001-vmpfaperoid05</t>
  </si>
  <si>
    <t>osdisk-vmpfaperoid05</t>
  </si>
  <si>
    <t>disk-vmpfaperoid05-001</t>
  </si>
  <si>
    <t>disk-vmpfaperoid05-002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</si>
  <si>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N5 || Application Service: OID || AppTier: AS || </t>
  </si>
  <si>
    <t>vmpfaperoid06</t>
  </si>
  <si>
    <t>10.98.41.129</t>
  </si>
  <si>
    <t>nic-001-vmpfaperoid06</t>
  </si>
  <si>
    <t>osdisk-vmpfaperoid06</t>
  </si>
  <si>
    <t>disk-vmpfaperoid06-001</t>
  </si>
  <si>
    <t>disk-vmpfaperoid06-002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</si>
  <si>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N6 || Application Service: OID || AppTier: AS || </t>
  </si>
  <si>
    <t>vmpfaperoid07</t>
  </si>
  <si>
    <t>10.98.41.130</t>
  </si>
  <si>
    <t>nic-001-vmpfaperoid07</t>
  </si>
  <si>
    <t>osdisk-vmpfaperoid07</t>
  </si>
  <si>
    <t>disk-vmpfaperoid07-001</t>
  </si>
  <si>
    <t>disk-vmpfaperoid07-002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</si>
  <si>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N7 || Application Service: OID || AppTier: AS || </t>
  </si>
  <si>
    <t>vmpfaperoid08</t>
  </si>
  <si>
    <t>10.98.41.131</t>
  </si>
  <si>
    <t>nic-001-vmpfaperoid08</t>
  </si>
  <si>
    <t>osdisk-vmpfaperoid08</t>
  </si>
  <si>
    <t>disk-vmpfaperoid08-001</t>
  </si>
  <si>
    <t>disk-vmpfaperoid08-002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</si>
  <si>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N8 || Application Service: OID || AppTier: AS || </t>
  </si>
  <si>
    <t>vmpfaperoid09</t>
  </si>
  <si>
    <t>10.98.41.132</t>
  </si>
  <si>
    <t>nic-001-vmpfaperoid09</t>
  </si>
  <si>
    <t>osdisk-vmpfaperoid09</t>
  </si>
  <si>
    <t>disk-vmpfaperoid09-001</t>
  </si>
  <si>
    <t>disk-vmpfaperoid09-002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</si>
  <si>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N9 || Application Service: OID || AppTier: AS || </t>
  </si>
  <si>
    <t>vmpfaperoid10</t>
  </si>
  <si>
    <t>10.98.41.133</t>
  </si>
  <si>
    <t>nic-001-vmpfaperoid10</t>
  </si>
  <si>
    <t>osdisk-vmpfaperoid10</t>
  </si>
  <si>
    <t>disk-vmpfaperoid10-001</t>
  </si>
  <si>
    <t>disk-vmpfaperoid10-002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</si>
  <si>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N10 || Application Service: OID || AppTier: AS || </t>
  </si>
  <si>
    <t>vmpfaperoid11</t>
  </si>
  <si>
    <t>10.98.41.134</t>
  </si>
  <si>
    <t>nic-001-vmpfaperoid11</t>
  </si>
  <si>
    <t>osdisk-vmpfaperoid11</t>
  </si>
  <si>
    <t>disk-vmpfaperoid11-001</t>
  </si>
  <si>
    <t>disk-vmpfaperoid11-002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</si>
  <si>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N11 || Application Service: OID || AppTier: AS || </t>
  </si>
  <si>
    <t>vmpfaperoid12</t>
  </si>
  <si>
    <t>10.98.41.135</t>
  </si>
  <si>
    <t>nic-001-vmpfaperoid12</t>
  </si>
  <si>
    <t>osdisk-vmpfaperoid12</t>
  </si>
  <si>
    <t>disk-vmpfaperoid12-001</t>
  </si>
  <si>
    <t>disk-vmpfaperoid12-002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</si>
  <si>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N12 || Application Service: OID || AppTier: AS || </t>
  </si>
  <si>
    <t>vmpfaperoid13</t>
  </si>
  <si>
    <t>10.98.41.136</t>
  </si>
  <si>
    <t>nic-001-vmpfaperoid13</t>
  </si>
  <si>
    <t>osdisk-vmpfaperoid13</t>
  </si>
  <si>
    <t>disk-vmpfaperoid13-001</t>
  </si>
  <si>
    <t>disk-vmpfaperoid13-002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</si>
  <si>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N13 || Application Service: OID || AppTier: AS || </t>
  </si>
  <si>
    <t>vmpfaperoid14</t>
  </si>
  <si>
    <t>10.98.41.137</t>
  </si>
  <si>
    <t>nic-001-vmpfaperoid14</t>
  </si>
  <si>
    <t>osdisk-vmpfaperoid14</t>
  </si>
  <si>
    <t>disk-vmpfaperoid14-001</t>
  </si>
  <si>
    <t>disk-vmpfaperoid14-002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</si>
  <si>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N14 || Application Service: OID || AppTier: AS || </t>
  </si>
  <si>
    <t>vmpfaperoid15</t>
  </si>
  <si>
    <t>10.98.41.138</t>
  </si>
  <si>
    <t>nic-001-vmpfaperoid15</t>
  </si>
  <si>
    <t>osdisk-vmpfaperoid15</t>
  </si>
  <si>
    <t>disk-vmpfaperoid15-001</t>
  </si>
  <si>
    <t>disk-vmpfaperoid15-002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</si>
  <si>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N15 || Application Service: OID || AppTier: AS || </t>
  </si>
  <si>
    <t>vmpfaperoid16</t>
  </si>
  <si>
    <t>10.98.41.139</t>
  </si>
  <si>
    <t>nic-001-vmpfaperoid16</t>
  </si>
  <si>
    <t>osdisk-vmpfaperoid16</t>
  </si>
  <si>
    <t>disk-vmpfaperoid16-001</t>
  </si>
  <si>
    <t>disk-vmpfaperoid16-002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</si>
  <si>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N16 || Application Service: OID || AppTier: AS || </t>
  </si>
  <si>
    <t>vmpfaperoid17</t>
  </si>
  <si>
    <t>10.98.41.140</t>
  </si>
  <si>
    <t>nic-001-vmpfaperoid17</t>
  </si>
  <si>
    <t>osdisk-vmpfaperoid17</t>
  </si>
  <si>
    <t>disk-vmpfaperoid17-001</t>
  </si>
  <si>
    <t>disk-vmpfaperoid17-002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</si>
  <si>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N17 || Application Service: OID || AppTier: AS || </t>
  </si>
  <si>
    <t>vmpfaperoid18</t>
  </si>
  <si>
    <t>10.98.41.141</t>
  </si>
  <si>
    <t>nic-001-vmpfaperoid18</t>
  </si>
  <si>
    <t>osdisk-vmpfaperoid18</t>
  </si>
  <si>
    <t>disk-vmpfaperoid18-001</t>
  </si>
  <si>
    <t>disk-vmpfaperoid18-002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</si>
  <si>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N18 || Application Service: OID || AppTier: AS || </t>
  </si>
  <si>
    <t>vmpfaperoid19</t>
  </si>
  <si>
    <t>10.98.41.142</t>
  </si>
  <si>
    <t>nic-001-vmpfaperoid19</t>
  </si>
  <si>
    <t>osdisk-vmpfaperoid19</t>
  </si>
  <si>
    <t>disk-vmpfaperoid19-001</t>
  </si>
  <si>
    <t>disk-vmpfaperoid19-002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</si>
  <si>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N19 || Application Service: OID || AppTier: AS || </t>
  </si>
  <si>
    <t>vmpfaperolg01</t>
  </si>
  <si>
    <t>AVAIL-VMPFAPEROLG</t>
  </si>
  <si>
    <t>10.98.41.143</t>
  </si>
  <si>
    <t>nic-001-vmpfaperolg01</t>
  </si>
  <si>
    <t>osdisk-vmpfaperolg01</t>
  </si>
  <si>
    <t>disk-vmpfaperolg01-001</t>
  </si>
  <si>
    <t>disk-vmpfaperolg01-002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</si>
  <si>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N01 || Application Service: OLG || AppTier: AS || </t>
  </si>
  <si>
    <t>vmpfaperolg02</t>
  </si>
  <si>
    <t>10.98.41.144</t>
  </si>
  <si>
    <t>nic-001-vmpfaperolg02</t>
  </si>
  <si>
    <t>osdisk-vmpfaperolg02</t>
  </si>
  <si>
    <t>disk-vmpfaperolg02-001</t>
  </si>
  <si>
    <t>disk-vmpfaperolg02-002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</si>
  <si>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N02 || Application Service: OLG || AppTier: AS || </t>
  </si>
  <si>
    <t>vmpfaperolg03</t>
  </si>
  <si>
    <t>10.98.41.145</t>
  </si>
  <si>
    <t>nic-001-vmpfaperolg03</t>
  </si>
  <si>
    <t>osdisk-vmpfaperolg03</t>
  </si>
  <si>
    <t>disk-vmpfaperolg03-001</t>
  </si>
  <si>
    <t>disk-vmpfaperolg03-002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</si>
  <si>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N03 || Application Service: OLG || AppTier: AS || </t>
  </si>
  <si>
    <t>vmpfaperolg04</t>
  </si>
  <si>
    <t>10.98.41.146</t>
  </si>
  <si>
    <t>nic-001-vmpfaperolg04</t>
  </si>
  <si>
    <t>osdisk-vmpfaperolg04</t>
  </si>
  <si>
    <t>disk-vmpfaperolg04-001</t>
  </si>
  <si>
    <t>disk-vmpfaperolg04-002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</si>
  <si>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N04 || Application Service: OLG || AppTier: AS || </t>
  </si>
  <si>
    <t>vmpfaperolg05</t>
  </si>
  <si>
    <t>10.98.41.147</t>
  </si>
  <si>
    <t>nic-001-vmpfaperolg05</t>
  </si>
  <si>
    <t>osdisk-vmpfaperolg05</t>
  </si>
  <si>
    <t>disk-vmpfaperolg05-001</t>
  </si>
  <si>
    <t>disk-vmpfaperolg05-002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</si>
  <si>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N05 || Application Service: OLG || AppTier: AS || </t>
  </si>
  <si>
    <t>vmpfaperolg06</t>
  </si>
  <si>
    <t>10.98.41.148</t>
  </si>
  <si>
    <t>nic-001-vmpfaperolg06</t>
  </si>
  <si>
    <t>osdisk-vmpfaperolg06</t>
  </si>
  <si>
    <t>disk-vmpfaperolg06-001</t>
  </si>
  <si>
    <t>disk-vmpfaperolg06-002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</si>
  <si>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N06 || Application Service: OLG || AppTier: AS || </t>
  </si>
  <si>
    <t>vmpfaperolg07</t>
  </si>
  <si>
    <t>10.98.41.149</t>
  </si>
  <si>
    <t>nic-001-vmpfaperolg07</t>
  </si>
  <si>
    <t>osdisk-vmpfaperolg07</t>
  </si>
  <si>
    <t>disk-vmpfaperolg07-001</t>
  </si>
  <si>
    <t>disk-vmpfaperolg07-002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</si>
  <si>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N07 || Application Service: OLG || AppTier: AS || </t>
  </si>
  <si>
    <t>vmpfaperolg08</t>
  </si>
  <si>
    <t>10.98.41.150</t>
  </si>
  <si>
    <t>nic-001-vmpfaperolg08</t>
  </si>
  <si>
    <t>osdisk-vmpfaperolg08</t>
  </si>
  <si>
    <t>disk-vmpfaperolg08-001</t>
  </si>
  <si>
    <t>disk-vmpfaperolg08-002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</si>
  <si>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N08 || Application Service: OLG || AppTier: AS || </t>
  </si>
  <si>
    <t>vmpfaperolg09</t>
  </si>
  <si>
    <t>10.98.41.151</t>
  </si>
  <si>
    <t>nic-001-vmpfaperolg09</t>
  </si>
  <si>
    <t>osdisk-vmpfaperolg09</t>
  </si>
  <si>
    <t>disk-vmpfaperolg09-001</t>
  </si>
  <si>
    <t>disk-vmpfaperolg09-002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</si>
  <si>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N09 || Application Service: OLG || AppTier: AS || </t>
  </si>
  <si>
    <t>vmpfaperolg10</t>
  </si>
  <si>
    <t>10.98.41.152</t>
  </si>
  <si>
    <t>nic-001-vmpfaperolg10</t>
  </si>
  <si>
    <t>osdisk-vmpfaperolg10</t>
  </si>
  <si>
    <t>disk-vmpfaperolg10-001</t>
  </si>
  <si>
    <t>disk-vmpfaperolg10-002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</si>
  <si>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N10 || Application Service: OLG || AppTier: AS || </t>
  </si>
  <si>
    <t>vmpfaperolg11</t>
  </si>
  <si>
    <t>10.98.41.153</t>
  </si>
  <si>
    <t>nic-001-vmpfaperolg11</t>
  </si>
  <si>
    <t>osdisk-vmpfaperolg11</t>
  </si>
  <si>
    <t>disk-vmpfaperolg11-001</t>
  </si>
  <si>
    <t>disk-vmpfaperolg11-002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</si>
  <si>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N11 || Application Service: OLG || AppTier: AS || </t>
  </si>
  <si>
    <t>vmpfaperolg12</t>
  </si>
  <si>
    <t>10.98.41.154</t>
  </si>
  <si>
    <t>nic-001-vmpfaperolg12</t>
  </si>
  <si>
    <t>osdisk-vmpfaperolg12</t>
  </si>
  <si>
    <t>disk-vmpfaperolg12-001</t>
  </si>
  <si>
    <t>disk-vmpfaperolg12-002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</si>
  <si>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N12 || Application Service: OLG || AppTier: AS || </t>
  </si>
  <si>
    <t>vmpfaperolg13</t>
  </si>
  <si>
    <t>10.98.41.155</t>
  </si>
  <si>
    <t>nic-001-vmpfaperolg13</t>
  </si>
  <si>
    <t>osdisk-vmpfaperolg13</t>
  </si>
  <si>
    <t>disk-vmpfaperolg13-001</t>
  </si>
  <si>
    <t>disk-vmpfaperolg13-002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</si>
  <si>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N13 || Application Service: OLG || AppTier: AS || </t>
  </si>
  <si>
    <t>vmpfaperolg14</t>
  </si>
  <si>
    <t>10.98.41.156</t>
  </si>
  <si>
    <t>nic-001-vmpfaperolg14</t>
  </si>
  <si>
    <t>osdisk-vmpfaperolg14</t>
  </si>
  <si>
    <t>disk-vmpfaperolg14-001</t>
  </si>
  <si>
    <t>disk-vmpfaperolg14-002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</si>
  <si>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N14 || Application Service: OLG || AppTier: AS || </t>
  </si>
  <si>
    <t>vmpfaperolg15</t>
  </si>
  <si>
    <t>10.98.41.157</t>
  </si>
  <si>
    <t>nic-001-vmpfaperolg15</t>
  </si>
  <si>
    <t>osdisk-vmpfaperolg15</t>
  </si>
  <si>
    <t>disk-vmpfaperolg15-001</t>
  </si>
  <si>
    <t>disk-vmpfaperolg15-002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</si>
  <si>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N15 || Application Service: OLG || AppTier: AS || </t>
  </si>
  <si>
    <t>vmpfaperolg16</t>
  </si>
  <si>
    <t>10.98.41.158</t>
  </si>
  <si>
    <t>nic-001-vmpfaperolg16</t>
  </si>
  <si>
    <t>osdisk-vmpfaperolg16</t>
  </si>
  <si>
    <t>disk-vmpfaperolg16-001</t>
  </si>
  <si>
    <t>disk-vmpfaperolg16-002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</si>
  <si>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N16 || Application Service: OLG || AppTier: AS || </t>
  </si>
  <si>
    <t>vmpfaperolg17</t>
  </si>
  <si>
    <t>10.98.41.159</t>
  </si>
  <si>
    <t>nic-001-vmpfaperolg17</t>
  </si>
  <si>
    <t>osdisk-vmpfaperolg17</t>
  </si>
  <si>
    <t>disk-vmpfaperolg17-001</t>
  </si>
  <si>
    <t>disk-vmpfaperolg17-002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</si>
  <si>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N17 || Application Service: OLG || AppTier: AS || </t>
  </si>
  <si>
    <t>vmpfaperolg18</t>
  </si>
  <si>
    <t>10.98.41.160</t>
  </si>
  <si>
    <t>nic-001-vmpfaperolg18</t>
  </si>
  <si>
    <t>osdisk-vmpfaperolg18</t>
  </si>
  <si>
    <t>disk-vmpfaperolg18-001</t>
  </si>
  <si>
    <t>disk-vmpfaperolg18-002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</si>
  <si>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N18 || Application Service: OLG || AppTier: AS || </t>
  </si>
  <si>
    <t>vmpfaperolg19</t>
  </si>
  <si>
    <t>10.98.41.161</t>
  </si>
  <si>
    <t>nic-001-vmpfaperolg19</t>
  </si>
  <si>
    <t>osdisk-vmpfaperolg19</t>
  </si>
  <si>
    <t>disk-vmpfaperolg19-001</t>
  </si>
  <si>
    <t>disk-vmpfaperolg19-002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</si>
  <si>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N19 || Application Service: OLG || AppTier: AS || </t>
  </si>
  <si>
    <t>vmpfaperolg20</t>
  </si>
  <si>
    <t>10.98.41.162</t>
  </si>
  <si>
    <t>nic-001-vmpfaperolg20</t>
  </si>
  <si>
    <t>osdisk-vmpfaperolg20</t>
  </si>
  <si>
    <t>disk-vmpfaperolg20-001</t>
  </si>
  <si>
    <t>disk-vmpfaperolg20-002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</si>
  <si>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N20 || Application Service: OLG || AppTier: AS || </t>
  </si>
  <si>
    <t>vmpfaperolg21</t>
  </si>
  <si>
    <t>10.98.41.163</t>
  </si>
  <si>
    <t>nic-001-vmpfaperolg21</t>
  </si>
  <si>
    <t>osdisk-vmpfaperolg21</t>
  </si>
  <si>
    <t>disk-vmpfaperolg21-001</t>
  </si>
  <si>
    <t>disk-vmpfaperolg21-002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</si>
  <si>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N21 || Application Service: OLG || AppTier: AS || </t>
  </si>
  <si>
    <t>vmpfaperolg22</t>
  </si>
  <si>
    <t>10.98.41.164</t>
  </si>
  <si>
    <t>nic-001-vmpfaperolg22</t>
  </si>
  <si>
    <t>osdisk-vmpfaperolg22</t>
  </si>
  <si>
    <t>disk-vmpfaperolg22-001</t>
  </si>
  <si>
    <t>disk-vmpfaperolg22-002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</si>
  <si>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N22 || Application Service: OLG || AppTier: AS || </t>
  </si>
  <si>
    <t>vmpfaperolg23</t>
  </si>
  <si>
    <t>10.98.41.165</t>
  </si>
  <si>
    <t>nic-001-vmpfaperolg23</t>
  </si>
  <si>
    <t>osdisk-vmpfaperolg23</t>
  </si>
  <si>
    <t>disk-vmpfaperolg23-001</t>
  </si>
  <si>
    <t>disk-vmpfaperolg23-002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</si>
  <si>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N23 || Application Service: OLG || AppTier: AS || </t>
  </si>
  <si>
    <t>vmpfaperolg24</t>
  </si>
  <si>
    <t>10.98.41.166</t>
  </si>
  <si>
    <t>nic-001-vmpfaperolg24</t>
  </si>
  <si>
    <t>osdisk-vmpfaperolg24</t>
  </si>
  <si>
    <t>disk-vmpfaperolg24-001</t>
  </si>
  <si>
    <t>disk-vmpfaperolg24-002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</si>
  <si>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N24 || Application Service: OLG || AppTier: AS || </t>
  </si>
  <si>
    <t>vmpfaperolg25</t>
  </si>
  <si>
    <t>10.98.41.167</t>
  </si>
  <si>
    <t>nic-001-vmpfaperolg25</t>
  </si>
  <si>
    <t>osdisk-vmpfaperolg25</t>
  </si>
  <si>
    <t>disk-vmpfaperolg25-001</t>
  </si>
  <si>
    <t>disk-vmpfaperolg25-002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</si>
  <si>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N25 || Application Service: OLG || AppTier: AS || </t>
  </si>
  <si>
    <t>vmpfaperolg26</t>
  </si>
  <si>
    <t>10.98.41.168</t>
  </si>
  <si>
    <t>nic-001-vmpfaperolg26</t>
  </si>
  <si>
    <t>osdisk-vmpfaperolg26</t>
  </si>
  <si>
    <t>disk-vmpfaperolg26-001</t>
  </si>
  <si>
    <t>disk-vmpfaperolg26-002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</si>
  <si>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N26 || Application Service: OLG || AppTier: AS || </t>
  </si>
  <si>
    <t>vmpfaperolg27</t>
  </si>
  <si>
    <t>10.98.41.169</t>
  </si>
  <si>
    <t>nic-001-vmpfaperolg27</t>
  </si>
  <si>
    <t>osdisk-vmpfaperolg27</t>
  </si>
  <si>
    <t>disk-vmpfaperolg27-001</t>
  </si>
  <si>
    <t>disk-vmpfaperolg27-002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</si>
  <si>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N27 || Application Service: OLG || AppTier: AS || </t>
  </si>
  <si>
    <t>vmpfaperolg28</t>
  </si>
  <si>
    <t>10.98.41.170</t>
  </si>
  <si>
    <t>nic-001-vmpfaperolg28</t>
  </si>
  <si>
    <t>osdisk-vmpfaperolg28</t>
  </si>
  <si>
    <t>disk-vmpfaperolg28-001</t>
  </si>
  <si>
    <t>disk-vmpfaperolg28-002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</si>
  <si>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N28 || Application Service: OLG || AppTier: AS || </t>
  </si>
  <si>
    <t>vmpfaperolg29</t>
  </si>
  <si>
    <t>10.98.41.171</t>
  </si>
  <si>
    <t>nic-001-vmpfaperolg29</t>
  </si>
  <si>
    <t>osdisk-vmpfaperolg29</t>
  </si>
  <si>
    <t>disk-vmpfaperolg29-001</t>
  </si>
  <si>
    <t>disk-vmpfaperolg29-002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</si>
  <si>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N29 || Application Service: OLG || AppTier: AS || </t>
  </si>
  <si>
    <t>vmpfaperolg30</t>
  </si>
  <si>
    <t>10.98.41.172</t>
  </si>
  <si>
    <t>nic-001-vmpfaperolg30</t>
  </si>
  <si>
    <t>osdisk-vmpfaperolg30</t>
  </si>
  <si>
    <t>disk-vmpfaperolg30-001</t>
  </si>
  <si>
    <t>disk-vmpfaperolg30-002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</si>
  <si>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N30 || Application Service: OLG || AppTier: AS || </t>
  </si>
  <si>
    <t>vmpfaperolg31</t>
  </si>
  <si>
    <t>10.98.41.173</t>
  </si>
  <si>
    <t>nic-001-vmpfaperolg31</t>
  </si>
  <si>
    <t>osdisk-vmpfaperolg31</t>
  </si>
  <si>
    <t>disk-vmpfaperolg31-001</t>
  </si>
  <si>
    <t>disk-vmpfaperolg31-002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</si>
  <si>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N31 || Application Service: OLG || AppTier: AS || </t>
  </si>
  <si>
    <t>vmpfaperopt01</t>
  </si>
  <si>
    <t>AVAIL-VMPFAPEROPT</t>
  </si>
  <si>
    <t>10.98.41.174</t>
  </si>
  <si>
    <t>nic-001-vmpfaperopt01</t>
  </si>
  <si>
    <t>osdisk-vmpfaperopt01</t>
  </si>
  <si>
    <t>disk-vmpfaperopt01-001</t>
  </si>
  <si>
    <t>disk-vmpfaperopt01-002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</si>
  <si>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NIO Operations Tool || Application Service: OPT || AppTier: AS || </t>
  </si>
  <si>
    <t>vmpfaperosb01</t>
  </si>
  <si>
    <t>AVAIL-VMPFAPEROSB</t>
  </si>
  <si>
    <t>10.98.41.175</t>
  </si>
  <si>
    <t>nic-001-vmpfaperosb01</t>
  </si>
  <si>
    <t>osdisk-vmpfaperosb01</t>
  </si>
  <si>
    <t>disk-vmpfaperosb01-001</t>
  </si>
  <si>
    <t>disk-vmpfaperosb01-002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</si>
  <si>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Common Domain N1 || Application Service: OSB || AppTier: AS || </t>
  </si>
  <si>
    <t>vmpfaperosb02</t>
  </si>
  <si>
    <t>10.98.41.176</t>
  </si>
  <si>
    <t>nic-001-vmpfaperosb02</t>
  </si>
  <si>
    <t>osdisk-vmpfaperosb02</t>
  </si>
  <si>
    <t>disk-vmpfaperosb02-001</t>
  </si>
  <si>
    <t>disk-vmpfaperosb02-002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</si>
  <si>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Common Domain N2 || Application Service: OSB || AppTier: AS || </t>
  </si>
  <si>
    <t>vmpfaperosb03</t>
  </si>
  <si>
    <t>10.98.41.177</t>
  </si>
  <si>
    <t>nic-001-vmpfaperosb03</t>
  </si>
  <si>
    <t>osdisk-vmpfaperosb03</t>
  </si>
  <si>
    <t>disk-vmpfaperosb03-001</t>
  </si>
  <si>
    <t>disk-vmpfaperosb03-002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</si>
  <si>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Common Domain N3 || Application Service: OSB || AppTier: AS || </t>
  </si>
  <si>
    <t>vmpfaperosb04</t>
  </si>
  <si>
    <t>10.98.41.178</t>
  </si>
  <si>
    <t>nic-001-vmpfaperosb04</t>
  </si>
  <si>
    <t>osdisk-vmpfaperosb04</t>
  </si>
  <si>
    <t>disk-vmpfaperosb04-001</t>
  </si>
  <si>
    <t>disk-vmpfaperosb04-002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</si>
  <si>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Common Domain N4 || Application Service: OSB || AppTier: AS || </t>
  </si>
  <si>
    <t>vmpfaperosb05</t>
  </si>
  <si>
    <t>10.98.41.179</t>
  </si>
  <si>
    <t>nic-001-vmpfaperosb05</t>
  </si>
  <si>
    <t>osdisk-vmpfaperosb05</t>
  </si>
  <si>
    <t>disk-vmpfaperosb05-001</t>
  </si>
  <si>
    <t>disk-vmpfaperosb05-002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</si>
  <si>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Common Domain N5 || Application Service: OSB || AppTier: AS || </t>
  </si>
  <si>
    <t>vmpfaperosb06</t>
  </si>
  <si>
    <t>10.98.41.180</t>
  </si>
  <si>
    <t>nic-001-vmpfaperosb06</t>
  </si>
  <si>
    <t>osdisk-vmpfaperosb06</t>
  </si>
  <si>
    <t>disk-vmpfaperosb06-001</t>
  </si>
  <si>
    <t>disk-vmpfaperosb06-002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</si>
  <si>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Common Domain N6 || Application Service: OSB || AppTier: AS || </t>
  </si>
  <si>
    <t>vmpfaperosb07</t>
  </si>
  <si>
    <t>10.98.41.181</t>
  </si>
  <si>
    <t>nic-001-vmpfaperosb07</t>
  </si>
  <si>
    <t>osdisk-vmpfaperosb07</t>
  </si>
  <si>
    <t>disk-vmpfaperosb07-001</t>
  </si>
  <si>
    <t>disk-vmpfaperosb07-002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</si>
  <si>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Common Domain N7 || Application Service: OSB || AppTier: AS || </t>
  </si>
  <si>
    <t>vmpfaperosb08</t>
  </si>
  <si>
    <t>10.98.41.182</t>
  </si>
  <si>
    <t>nic-001-vmpfaperosb08</t>
  </si>
  <si>
    <t>osdisk-vmpfaperosb08</t>
  </si>
  <si>
    <t>disk-vmpfaperosb08-001</t>
  </si>
  <si>
    <t>disk-vmpfaperosb08-002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</si>
  <si>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Common Domain N8 || Application Service: OSB || AppTier: AS || </t>
  </si>
  <si>
    <t>vmpfaperosb09</t>
  </si>
  <si>
    <t>10.98.41.183</t>
  </si>
  <si>
    <t>nic-001-vmpfaperosb09</t>
  </si>
  <si>
    <t>osdisk-vmpfaperosb09</t>
  </si>
  <si>
    <t>disk-vmpfaperosb09-001</t>
  </si>
  <si>
    <t>disk-vmpfaperosb09-002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</si>
  <si>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Common Domain N9 || Application Service: OSB || AppTier: AS || </t>
  </si>
  <si>
    <t>vmpfaperosb10</t>
  </si>
  <si>
    <t>10.98.41.184</t>
  </si>
  <si>
    <t>nic-001-vmpfaperosb10</t>
  </si>
  <si>
    <t>osdisk-vmpfaperosb10</t>
  </si>
  <si>
    <t>disk-vmpfaperosb10-001</t>
  </si>
  <si>
    <t>disk-vmpfaperosb10-002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</si>
  <si>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Common Domain N10 || Application Service: OSB || AppTier: AS || </t>
  </si>
  <si>
    <t>vmpfapersol01</t>
  </si>
  <si>
    <t>AVAIL-VMPFAPERSOL</t>
  </si>
  <si>
    <t>10.98.41.185</t>
  </si>
  <si>
    <t>nic-001-vmpfapersol01</t>
  </si>
  <si>
    <t>osdisk-vmpfapersol01</t>
  </si>
  <si>
    <t>disk-vmpfapersol01-001</t>
  </si>
  <si>
    <t>disk-vmpfapersol01-002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</si>
  <si>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SOLR || Application Service: SOL || AppTier: AS || </t>
  </si>
  <si>
    <t>vmpfapersol02</t>
  </si>
  <si>
    <t>10.98.41.186</t>
  </si>
  <si>
    <t>nic-001-vmpfapersol02</t>
  </si>
  <si>
    <t>osdisk-vmpfapersol02</t>
  </si>
  <si>
    <t>disk-vmpfapersol02-001</t>
  </si>
  <si>
    <t>disk-vmpfapersol02-002</t>
  </si>
  <si>
    <t>vmpfaperwbc01</t>
  </si>
  <si>
    <t>AVAIL-VMPFAPERWBC</t>
  </si>
  <si>
    <t>10.98.41.187</t>
  </si>
  <si>
    <t>nic-001-vmpfaperwbc01</t>
  </si>
  <si>
    <t>osdisk-vmpfaperwbc01</t>
  </si>
  <si>
    <t>disk-vmpfaperwbc01-001</t>
  </si>
  <si>
    <t>disk-vmpfaperwbc01-002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</si>
  <si>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WBC N1 / TMPL N4 || Application Service: WBC || AppTier: AS || </t>
  </si>
  <si>
    <t>vmpfaperwbc02</t>
  </si>
  <si>
    <t>10.98.41.188</t>
  </si>
  <si>
    <t>nic-001-vmpfaperwbc02</t>
  </si>
  <si>
    <t>osdisk-vmpfaperwbc02</t>
  </si>
  <si>
    <t>disk-vmpfaperwbc02-001</t>
  </si>
  <si>
    <t>disk-vmpfaperwbc02-002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</si>
  <si>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WBC N2 / TMPL N3 || Application Service: WBC || AppTier: AS || </t>
  </si>
  <si>
    <t>vmpfaperwbc03</t>
  </si>
  <si>
    <t>10.98.41.189</t>
  </si>
  <si>
    <t>nic-001-vmpfaperwbc03</t>
  </si>
  <si>
    <t>osdisk-vmpfaperwbc03</t>
  </si>
  <si>
    <t>disk-vmpfaperwbc03-001</t>
  </si>
  <si>
    <t>disk-vmpfaperwbc03-002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</si>
  <si>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WBC N3 / TMPL N2 || Application Service: WBC || AppTier: AS || </t>
  </si>
  <si>
    <t>vmpfaperwbc04</t>
  </si>
  <si>
    <t>10.98.41.190</t>
  </si>
  <si>
    <t>nic-001-vmpfaperwbc04</t>
  </si>
  <si>
    <t>osdisk-vmpfaperwbc04</t>
  </si>
  <si>
    <t>disk-vmpfaperwbc04-001</t>
  </si>
  <si>
    <t>disk-vmpfaperwbc04-002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</si>
  <si>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WBC N4 / TMPL N1 || Application Service: WBC || AppTier: AS || </t>
  </si>
  <si>
    <t>vmpfaperwbc05</t>
  </si>
  <si>
    <t>10.98.41.191</t>
  </si>
  <si>
    <t>nic-001-vmpfaperwbc05</t>
  </si>
  <si>
    <t>osdisk-vmpfaperwbc05</t>
  </si>
  <si>
    <t>disk-vmpfaperwbc05-001</t>
  </si>
  <si>
    <t>disk-vmpfaperwbc05-002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</si>
  <si>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WBC / TMPL || Application Service: WBC || AppTier: AS || </t>
  </si>
  <si>
    <t>vmpfaperwbc06</t>
  </si>
  <si>
    <t>10.98.41.192</t>
  </si>
  <si>
    <t>nic-001-vmpfaperwbc06</t>
  </si>
  <si>
    <t>osdisk-vmpfaperwbc06</t>
  </si>
  <si>
    <t>disk-vmpfaperwbc06-001</t>
  </si>
  <si>
    <t>disk-vmpfaperwbc06-002</t>
  </si>
  <si>
    <t>vmpfaperwbc07</t>
  </si>
  <si>
    <t>10.98.41.193</t>
  </si>
  <si>
    <t>nic-001-vmpfaperwbc07</t>
  </si>
  <si>
    <t>osdisk-vmpfaperwbc07</t>
  </si>
  <si>
    <t>disk-vmpfaperwbc07-001</t>
  </si>
  <si>
    <t>disk-vmpfaperwbc07-002</t>
  </si>
  <si>
    <t>vmpfaperwbc08</t>
  </si>
  <si>
    <t>10.98.41.194</t>
  </si>
  <si>
    <t>nic-001-vmpfaperwbc08</t>
  </si>
  <si>
    <t>osdisk-vmpfaperwbc08</t>
  </si>
  <si>
    <t>disk-vmpfaperwbc08-001</t>
  </si>
  <si>
    <t>disk-vmpfaperwbc08-002</t>
  </si>
  <si>
    <t>vmpfapernes03</t>
  </si>
  <si>
    <t>rg-pfa-per-database-aux-aue-001</t>
  </si>
  <si>
    <t>AVAIL-VMPFAPERNES-03</t>
  </si>
  <si>
    <t>sn-pfa-aue-per-database</t>
  </si>
  <si>
    <t>10.98.42.24</t>
  </si>
  <si>
    <t>nsg-sn-pfa-aue-per-database</t>
  </si>
  <si>
    <t>rt-sn-pfa-aue-per-database</t>
  </si>
  <si>
    <t>nic-001-vmpfapernes03</t>
  </si>
  <si>
    <t>osdisk-vmpfapernes03</t>
  </si>
  <si>
    <t>disk-vmpfapernes03-001</t>
  </si>
  <si>
    <t>disk-vmpfapernes03-002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</si>
  <si>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DB Nessus Scanner || Application Service: NES || AppTier: DB || </t>
  </si>
  <si>
    <t>vmpfaperaho01</t>
  </si>
  <si>
    <t>rg-pfa-per-web-aue-001</t>
  </si>
  <si>
    <t>AVAIL-VMPFAPERAHO</t>
  </si>
  <si>
    <t>sn-pfa-aue-per-web</t>
  </si>
  <si>
    <t>10.98.40.4</t>
  </si>
  <si>
    <t>nsg-sn-pfa-aue-per-web</t>
  </si>
  <si>
    <t>rt-sn-pfa-aue-per-web</t>
  </si>
  <si>
    <t>nic-001-vmpfaperaho01</t>
  </si>
  <si>
    <t>osdisk-vmpfaperaho01</t>
  </si>
  <si>
    <t>disk-vmpfaperaho01-001</t>
  </si>
  <si>
    <t>disk-vmpfaperaho01-002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</si>
  <si>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OHS-API Gatway N1 || Application Service: AHO || AppTier: WS || </t>
  </si>
  <si>
    <t>vmpfaperaho02</t>
  </si>
  <si>
    <t>10.98.40.5</t>
  </si>
  <si>
    <t>nic-001-vmpfaperaho02</t>
  </si>
  <si>
    <t>osdisk-vmpfaperaho02</t>
  </si>
  <si>
    <t>disk-vmpfaperaho02-001</t>
  </si>
  <si>
    <t>disk-vmpfaperaho02-002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</si>
  <si>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OHS-API Gatway N2 || Application Service: AHO || AppTier: WS || </t>
  </si>
  <si>
    <t>vmpfaperaho03</t>
  </si>
  <si>
    <t>10.98.40.6</t>
  </si>
  <si>
    <t>nic-001-vmpfaperaho03</t>
  </si>
  <si>
    <t>osdisk-vmpfaperaho03</t>
  </si>
  <si>
    <t>disk-vmpfaperaho03-001</t>
  </si>
  <si>
    <t>disk-vmpfaperaho03-002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</si>
  <si>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OHS-API Gatway N3 || Application Service: AHO || AppTier: WS || </t>
  </si>
  <si>
    <t>vmpfaperaho04</t>
  </si>
  <si>
    <t>10.98.40.7</t>
  </si>
  <si>
    <t>nic-001-vmpfaperaho04</t>
  </si>
  <si>
    <t>osdisk-vmpfaperaho04</t>
  </si>
  <si>
    <t>disk-vmpfaperaho04-001</t>
  </si>
  <si>
    <t>disk-vmpfaperaho04-002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</si>
  <si>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OHS-API Gatway N4 || Application Service: AHO || AppTier: WS || </t>
  </si>
  <si>
    <t>vmpfapercho01</t>
  </si>
  <si>
    <t>AVAIL-VMPFAPERCHO</t>
  </si>
  <si>
    <t>10.98.40.8</t>
  </si>
  <si>
    <t>nic-001-vmpfapercho01</t>
  </si>
  <si>
    <t>osdisk-vmpfapercho01</t>
  </si>
  <si>
    <t>disk-vmpfapercho01-001</t>
  </si>
  <si>
    <t>disk-vmpfapercho01-002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</si>
  <si>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OHS-Common OSB || Application Service: CHO || AppTier: WS || </t>
  </si>
  <si>
    <t>vmpfapercho02</t>
  </si>
  <si>
    <t>10.98.40.9</t>
  </si>
  <si>
    <t>nic-001-vmpfapercho02</t>
  </si>
  <si>
    <t>osdisk-vmpfapercho02</t>
  </si>
  <si>
    <t>disk-vmpfapercho02-001</t>
  </si>
  <si>
    <t>disk-vmpfapercho02-002</t>
  </si>
  <si>
    <t>vmpfapercho03</t>
  </si>
  <si>
    <t>10.98.40.10</t>
  </si>
  <si>
    <t>nic-001-vmpfapercho03</t>
  </si>
  <si>
    <t>osdisk-vmpfapercho03</t>
  </si>
  <si>
    <t>disk-vmpfapercho03-001</t>
  </si>
  <si>
    <t>disk-vmpfapercho03-002</t>
  </si>
  <si>
    <t>vmpfaperfhi01</t>
  </si>
  <si>
    <t>AVAIL-VMPFAPERFHI</t>
  </si>
  <si>
    <t>10.98.40.11</t>
  </si>
  <si>
    <t>nic-001-vmpfaperfhi01</t>
  </si>
  <si>
    <t>osdisk-vmpfaperfhi01</t>
  </si>
  <si>
    <t>disk-vmpfaperfhi01-001</t>
  </si>
  <si>
    <t>disk-vmpfaperfhi01-002</t>
  </si>
  <si>
    <t>/subscriptions/a1b82658-4cee-41c9-a9da-43e59920fca0/resourceGroups/rg-ninp-dxctest-auc1/providers/Microsoft.Compute/galleries/galleryninpdxctest/images/DXC-CIS-OEL-6/versions/2.4.1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</si>
  <si>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FHIR-OAG N1 || Application Service: FHI || AppTier: WS || </t>
  </si>
  <si>
    <t>vmpfaperfhi02</t>
  </si>
  <si>
    <t>10.98.40.12</t>
  </si>
  <si>
    <t>nic-001-vmpfaperfhi02</t>
  </si>
  <si>
    <t>osdisk-vmpfaperfhi02</t>
  </si>
  <si>
    <t>disk-vmpfaperfhi02-001</t>
  </si>
  <si>
    <t>disk-vmpfaperfhi02-002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</si>
  <si>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FHIR-OAG N2 || Application Service: FHI || AppTier: WS || </t>
  </si>
  <si>
    <t>vmpfaperfhi03</t>
  </si>
  <si>
    <t>10.98.40.13</t>
  </si>
  <si>
    <t>nic-001-vmpfaperfhi03</t>
  </si>
  <si>
    <t>osdisk-vmpfaperfhi03</t>
  </si>
  <si>
    <t>disk-vmpfaperfhi03-001</t>
  </si>
  <si>
    <t>disk-vmpfaperfhi03-002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</si>
  <si>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FHIR-OAG N3 || Application Service: FHI || AppTier: WS || </t>
  </si>
  <si>
    <t>vmpfaperfhi04</t>
  </si>
  <si>
    <t>10.98.40.14</t>
  </si>
  <si>
    <t>nic-001-vmpfaperfhi04</t>
  </si>
  <si>
    <t>osdisk-vmpfaperfhi04</t>
  </si>
  <si>
    <t>disk-vmpfaperfhi04-001</t>
  </si>
  <si>
    <t>disk-vmpfaperfhi04-002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</si>
  <si>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FHIR-OAG N4 || Application Service: FHI || AppTier: WS || </t>
  </si>
  <si>
    <t>vmpfaperfhi05</t>
  </si>
  <si>
    <t>10.98.40.15</t>
  </si>
  <si>
    <t>nic-001-vmpfaperfhi05</t>
  </si>
  <si>
    <t>osdisk-vmpfaperfhi05</t>
  </si>
  <si>
    <t>disk-vmpfaperfhi05-001</t>
  </si>
  <si>
    <t>disk-vmpfaperfhi05-002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</si>
  <si>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FHIR-OAG N5 || Application Service: FHI || AppTier: WS || </t>
  </si>
  <si>
    <t>vmpfaperfhi06</t>
  </si>
  <si>
    <t>10.98.40.16</t>
  </si>
  <si>
    <t>nic-001-vmpfaperfhi06</t>
  </si>
  <si>
    <t>osdisk-vmpfaperfhi06</t>
  </si>
  <si>
    <t>disk-vmpfaperfhi06-001</t>
  </si>
  <si>
    <t>disk-vmpfaperfhi06-002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</si>
  <si>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FHIR-OAG N6 || Application Service: FHI || AppTier: WS || </t>
  </si>
  <si>
    <t>vmpfaperfhi07</t>
  </si>
  <si>
    <t>10.98.40.17</t>
  </si>
  <si>
    <t>nic-001-vmpfaperfhi07</t>
  </si>
  <si>
    <t>osdisk-vmpfaperfhi07</t>
  </si>
  <si>
    <t>disk-vmpfaperfhi07-001</t>
  </si>
  <si>
    <t>disk-vmpfaperfhi07-002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</si>
  <si>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FHIR-OAG N7 || Application Service: FHI || AppTier: WS || </t>
  </si>
  <si>
    <t>vmpfaperfhi08</t>
  </si>
  <si>
    <t>10.98.40.18</t>
  </si>
  <si>
    <t>nic-001-vmpfaperfhi08</t>
  </si>
  <si>
    <t>osdisk-vmpfaperfhi08</t>
  </si>
  <si>
    <t>disk-vmpfaperfhi08-001</t>
  </si>
  <si>
    <t>disk-vmpfaperfhi08-002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</si>
  <si>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FHIR-OAG N8 || Application Service: FHI || AppTier: WS || </t>
  </si>
  <si>
    <t>vmpfaperinj01</t>
  </si>
  <si>
    <t>AVAIL-VMPFAPERINJ</t>
  </si>
  <si>
    <t>10.98.40.19</t>
  </si>
  <si>
    <t>nic-001-vmpfaperinj01</t>
  </si>
  <si>
    <t>osdisk-vmpfaperinj01</t>
  </si>
  <si>
    <t>disk-vmpfaperinj01-001</t>
  </si>
  <si>
    <t>disk-vmpfaperinj01-002</t>
  </si>
  <si>
    <t>/subscriptions/a1b82658-4cee-41c9-a9da-43e59920fca0/resourceGroups/rg-ninp-dxctest-auc1/providers/Microsoft.Compute/galleries/galleryninpdxctest/images/DXC-CIS-WIN-2016/versions/1.2.2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</si>
  <si>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01 || Application Service: INJ || AppTier: WS || </t>
  </si>
  <si>
    <t>vmpfaperinj02</t>
  </si>
  <si>
    <t>10.98.40.20</t>
  </si>
  <si>
    <t>nic-001-vmpfaperinj02</t>
  </si>
  <si>
    <t>osdisk-vmpfaperinj02</t>
  </si>
  <si>
    <t>disk-vmpfaperinj02-001</t>
  </si>
  <si>
    <t>disk-vmpfaperinj02-002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</si>
  <si>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02 || Application Service: INJ || AppTier: WS || </t>
  </si>
  <si>
    <t>vmpfaperinj03</t>
  </si>
  <si>
    <t>10.98.40.21</t>
  </si>
  <si>
    <t>nic-001-vmpfaperinj03</t>
  </si>
  <si>
    <t>osdisk-vmpfaperinj03</t>
  </si>
  <si>
    <t>disk-vmpfaperinj03-001</t>
  </si>
  <si>
    <t>disk-vmpfaperinj03-002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</si>
  <si>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03 || Application Service: INJ || AppTier: WS || </t>
  </si>
  <si>
    <t>vmpfaperinj04</t>
  </si>
  <si>
    <t>10.98.40.22</t>
  </si>
  <si>
    <t>nic-001-vmpfaperinj04</t>
  </si>
  <si>
    <t>osdisk-vmpfaperinj04</t>
  </si>
  <si>
    <t>disk-vmpfaperinj04-001</t>
  </si>
  <si>
    <t>disk-vmpfaperinj04-002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</si>
  <si>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04 || Application Service: INJ || AppTier: WS || </t>
  </si>
  <si>
    <t>vmpfaperinj05</t>
  </si>
  <si>
    <t>10.98.40.23</t>
  </si>
  <si>
    <t>nic-001-vmpfaperinj05</t>
  </si>
  <si>
    <t>osdisk-vmpfaperinj05</t>
  </si>
  <si>
    <t>disk-vmpfaperinj05-001</t>
  </si>
  <si>
    <t>disk-vmpfaperinj05-002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</si>
  <si>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05 || Application Service: INJ || AppTier: WS || </t>
  </si>
  <si>
    <t>vmpfaperinj06</t>
  </si>
  <si>
    <t>10.98.40.24</t>
  </si>
  <si>
    <t>nic-001-vmpfaperinj06</t>
  </si>
  <si>
    <t>osdisk-vmpfaperinj06</t>
  </si>
  <si>
    <t>disk-vmpfaperinj06-001</t>
  </si>
  <si>
    <t>disk-vmpfaperinj06-002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</si>
  <si>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06 || Application Service: INJ || AppTier: WS || </t>
  </si>
  <si>
    <t>vmpfaperinj07</t>
  </si>
  <si>
    <t>10.98.40.25</t>
  </si>
  <si>
    <t>nic-001-vmpfaperinj07</t>
  </si>
  <si>
    <t>osdisk-vmpfaperinj07</t>
  </si>
  <si>
    <t>disk-vmpfaperinj07-001</t>
  </si>
  <si>
    <t>disk-vmpfaperinj07-002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</si>
  <si>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07 || Application Service: INJ || AppTier: WS || </t>
  </si>
  <si>
    <t>vmpfaperinj08</t>
  </si>
  <si>
    <t>10.98.40.26</t>
  </si>
  <si>
    <t>nic-001-vmpfaperinj08</t>
  </si>
  <si>
    <t>osdisk-vmpfaperinj08</t>
  </si>
  <si>
    <t>disk-vmpfaperinj08-001</t>
  </si>
  <si>
    <t>disk-vmpfaperinj08-002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</si>
  <si>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08 || Application Service: INJ || AppTier: WS || </t>
  </si>
  <si>
    <t>vmpfaperinj09</t>
  </si>
  <si>
    <t>10.98.40.27</t>
  </si>
  <si>
    <t>nic-001-vmpfaperinj09</t>
  </si>
  <si>
    <t>osdisk-vmpfaperinj09</t>
  </si>
  <si>
    <t>disk-vmpfaperinj09-001</t>
  </si>
  <si>
    <t>disk-vmpfaperinj09-002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</si>
  <si>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09 || Application Service: INJ || AppTier: WS || </t>
  </si>
  <si>
    <t>vmpfaperinj10</t>
  </si>
  <si>
    <t>10.98.40.28</t>
  </si>
  <si>
    <t>nic-001-vmpfaperinj10</t>
  </si>
  <si>
    <t>osdisk-vmpfaperinj10</t>
  </si>
  <si>
    <t>disk-vmpfaperinj10-001</t>
  </si>
  <si>
    <t>disk-vmpfaperinj10-002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</si>
  <si>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10 || Application Service: INJ || AppTier: WS || </t>
  </si>
  <si>
    <t>vmpfaperinj11</t>
  </si>
  <si>
    <t>10.98.40.29</t>
  </si>
  <si>
    <t>nic-001-vmpfaperinj11</t>
  </si>
  <si>
    <t>osdisk-vmpfaperinj11</t>
  </si>
  <si>
    <t>disk-vmpfaperinj11-001</t>
  </si>
  <si>
    <t>disk-vmpfaperinj11-002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</si>
  <si>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11 || Application Service: INJ || AppTier: WS || </t>
  </si>
  <si>
    <t>vmpfaperinj12</t>
  </si>
  <si>
    <t>10.98.40.30</t>
  </si>
  <si>
    <t>nic-001-vmpfaperinj12</t>
  </si>
  <si>
    <t>osdisk-vmpfaperinj12</t>
  </si>
  <si>
    <t>disk-vmpfaperinj12-001</t>
  </si>
  <si>
    <t>disk-vmpfaperinj12-002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</si>
  <si>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12 || Application Service: INJ || AppTier: WS || </t>
  </si>
  <si>
    <t>vmpfaperinj13</t>
  </si>
  <si>
    <t>10.98.40.31</t>
  </si>
  <si>
    <t>nic-001-vmpfaperinj13</t>
  </si>
  <si>
    <t>osdisk-vmpfaperinj13</t>
  </si>
  <si>
    <t>disk-vmpfaperinj13-001</t>
  </si>
  <si>
    <t>disk-vmpfaperinj13-002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</si>
  <si>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13 || Application Service: INJ || AppTier: WS || </t>
  </si>
  <si>
    <t>vmpfaperinj14</t>
  </si>
  <si>
    <t>10.98.40.32</t>
  </si>
  <si>
    <t>nic-001-vmpfaperinj14</t>
  </si>
  <si>
    <t>osdisk-vmpfaperinj14</t>
  </si>
  <si>
    <t>disk-vmpfaperinj14-001</t>
  </si>
  <si>
    <t>disk-vmpfaperinj14-002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</si>
  <si>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14 || Application Service: INJ || AppTier: WS || </t>
  </si>
  <si>
    <t>vmpfaperinj15</t>
  </si>
  <si>
    <t>10.98.40.33</t>
  </si>
  <si>
    <t>nic-001-vmpfaperinj15</t>
  </si>
  <si>
    <t>osdisk-vmpfaperinj15</t>
  </si>
  <si>
    <t>disk-vmpfaperinj15-001</t>
  </si>
  <si>
    <t>disk-vmpfaperinj15-002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</si>
  <si>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15 || Application Service: INJ || AppTier: WS || </t>
  </si>
  <si>
    <t>vmpfaperinj16</t>
  </si>
  <si>
    <t>10.98.40.34</t>
  </si>
  <si>
    <t>nic-001-vmpfaperinj16</t>
  </si>
  <si>
    <t>osdisk-vmpfaperinj16</t>
  </si>
  <si>
    <t>disk-vmpfaperinj16-001</t>
  </si>
  <si>
    <t>disk-vmpfaperinj16-002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</si>
  <si>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16 || Application Service: INJ || AppTier: WS || </t>
  </si>
  <si>
    <t>vmpfaperinj17</t>
  </si>
  <si>
    <t>10.98.40.35</t>
  </si>
  <si>
    <t>nic-001-vmpfaperinj17</t>
  </si>
  <si>
    <t>osdisk-vmpfaperinj17</t>
  </si>
  <si>
    <t>disk-vmpfaperinj17-001</t>
  </si>
  <si>
    <t>disk-vmpfaperinj17-002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</si>
  <si>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17 || Application Service: INJ || AppTier: WS || </t>
  </si>
  <si>
    <t>vmpfaperinj18</t>
  </si>
  <si>
    <t>10.98.40.36</t>
  </si>
  <si>
    <t>nic-001-vmpfaperinj18</t>
  </si>
  <si>
    <t>osdisk-vmpfaperinj18</t>
  </si>
  <si>
    <t>disk-vmpfaperinj18-001</t>
  </si>
  <si>
    <t>disk-vmpfaperinj18-002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</si>
  <si>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18 || Application Service: INJ || AppTier: WS || </t>
  </si>
  <si>
    <t>vmpfaperinj19</t>
  </si>
  <si>
    <t>10.98.40.37</t>
  </si>
  <si>
    <t>nic-001-vmpfaperinj19</t>
  </si>
  <si>
    <t>osdisk-vmpfaperinj19</t>
  </si>
  <si>
    <t>disk-vmpfaperinj19-001</t>
  </si>
  <si>
    <t>disk-vmpfaperinj19-002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</si>
  <si>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19 || Application Service: INJ || AppTier: WS || </t>
  </si>
  <si>
    <t>vmpfaperinj20</t>
  </si>
  <si>
    <t>10.98.40.38</t>
  </si>
  <si>
    <t>nic-001-vmpfaperinj20</t>
  </si>
  <si>
    <t>osdisk-vmpfaperinj20</t>
  </si>
  <si>
    <t>disk-vmpfaperinj20-001</t>
  </si>
  <si>
    <t>disk-vmpfaperinj20-002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</si>
  <si>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20 || Application Service: INJ || AppTier: WS || </t>
  </si>
  <si>
    <t>vmpfaperinj21</t>
  </si>
  <si>
    <t>10.98.40.39</t>
  </si>
  <si>
    <t>nic-001-vmpfaperinj21</t>
  </si>
  <si>
    <t>osdisk-vmpfaperinj21</t>
  </si>
  <si>
    <t>disk-vmpfaperinj21-001</t>
  </si>
  <si>
    <t>disk-vmpfaperinj21-002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</si>
  <si>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21 || Application Service: INJ || AppTier: WS || </t>
  </si>
  <si>
    <t>vmpfaperinj22</t>
  </si>
  <si>
    <t>10.98.40.40</t>
  </si>
  <si>
    <t>nic-001-vmpfaperinj22</t>
  </si>
  <si>
    <t>osdisk-vmpfaperinj22</t>
  </si>
  <si>
    <t>disk-vmpfaperinj22-001</t>
  </si>
  <si>
    <t>disk-vmpfaperinj22-002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</si>
  <si>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22 || Application Service: INJ || AppTier: WS || </t>
  </si>
  <si>
    <t>vmpfaperinj23</t>
  </si>
  <si>
    <t>10.98.40.41</t>
  </si>
  <si>
    <t>nic-001-vmpfaperinj23</t>
  </si>
  <si>
    <t>osdisk-vmpfaperinj23</t>
  </si>
  <si>
    <t>disk-vmpfaperinj23-001</t>
  </si>
  <si>
    <t>disk-vmpfaperinj23-002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</si>
  <si>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PerfTest23 || Application Service: INJ || AppTier: WS || </t>
  </si>
  <si>
    <t>vmpfaperinj24</t>
  </si>
  <si>
    <t>10.98.40.42</t>
  </si>
  <si>
    <t>nic-001-vmpfaperinj24</t>
  </si>
  <si>
    <t>osdisk-vmpfaperinj24</t>
  </si>
  <si>
    <t>disk-vmpfaperinj24-001</t>
  </si>
  <si>
    <t>disk-vmpfaperinj24-002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</si>
  <si>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PerfTest24 || Application Service: INJ || AppTier: WS || </t>
  </si>
  <si>
    <t>vmpfaperinj25</t>
  </si>
  <si>
    <t>10.98.40.43</t>
  </si>
  <si>
    <t>nic-001-vmpfaperinj25</t>
  </si>
  <si>
    <t>osdisk-vmpfaperinj25</t>
  </si>
  <si>
    <t>disk-vmpfaperinj25-001</t>
  </si>
  <si>
    <t>disk-vmpfaperinj25-002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</si>
  <si>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PerfTest25 || Application Service: INJ || AppTier: WS || </t>
  </si>
  <si>
    <t>vmpfaperinj26</t>
  </si>
  <si>
    <t>10.98.40.44</t>
  </si>
  <si>
    <t>nic-001-vmpfaperinj26</t>
  </si>
  <si>
    <t>osdisk-vmpfaperinj26</t>
  </si>
  <si>
    <t>disk-vmpfaperinj26-001</t>
  </si>
  <si>
    <t>disk-vmpfaperinj26-002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</si>
  <si>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PerfTest26 || Application Service: INJ || AppTier: WS || </t>
  </si>
  <si>
    <t>vmpfaperinj27</t>
  </si>
  <si>
    <t>10.98.40.45</t>
  </si>
  <si>
    <t>nic-001-vmpfaperinj27</t>
  </si>
  <si>
    <t>osdisk-vmpfaperinj27</t>
  </si>
  <si>
    <t>disk-vmpfaperinj27-001</t>
  </si>
  <si>
    <t>disk-vmpfaperinj27-002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</si>
  <si>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PerfTest27 || Application Service: INJ || AppTier: WS || </t>
  </si>
  <si>
    <t>vmpfaperinj28</t>
  </si>
  <si>
    <t>10.98.40.46</t>
  </si>
  <si>
    <t>nic-001-vmpfaperinj28</t>
  </si>
  <si>
    <t>osdisk-vmpfaperinj28</t>
  </si>
  <si>
    <t>disk-vmpfaperinj28-001</t>
  </si>
  <si>
    <t>disk-vmpfaperinj28-002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</si>
  <si>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PerfTest28 || Application Service: INJ || AppTier: WS || </t>
  </si>
  <si>
    <t>vmpfaperinj29</t>
  </si>
  <si>
    <t>10.98.40.47</t>
  </si>
  <si>
    <t>nic-001-vmpfaperinj29</t>
  </si>
  <si>
    <t>osdisk-vmpfaperinj29</t>
  </si>
  <si>
    <t>disk-vmpfaperinj29-001</t>
  </si>
  <si>
    <t>disk-vmpfaperinj29-002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</si>
  <si>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PerfTest29 || Application Service: INJ || AppTier: WS || </t>
  </si>
  <si>
    <t>vmpfaperinj30</t>
  </si>
  <si>
    <t>10.98.40.48</t>
  </si>
  <si>
    <t>nic-001-vmpfaperinj30</t>
  </si>
  <si>
    <t>osdisk-vmpfaperinj30</t>
  </si>
  <si>
    <t>disk-vmpfaperinj30-001</t>
  </si>
  <si>
    <t>disk-vmpfaperinj30-002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</si>
  <si>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PerfTest30 || Application Service: INJ || AppTier: WS || </t>
  </si>
  <si>
    <t>vmpfapermob01</t>
  </si>
  <si>
    <t>AVAIL-VMPFAPERMOB</t>
  </si>
  <si>
    <t>10.98.40.49</t>
  </si>
  <si>
    <t>nic-001-vmpfapermob01</t>
  </si>
  <si>
    <t>osdisk-vmpfapermob01</t>
  </si>
  <si>
    <t>disk-vmpfapermob01-001</t>
  </si>
  <si>
    <t>disk-vmpfapermob01-002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</si>
  <si>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B2M-OAG N1 || Application Service: MOB || AppTier: WS || </t>
  </si>
  <si>
    <t>vmpfapermob02</t>
  </si>
  <si>
    <t>10.98.40.50</t>
  </si>
  <si>
    <t>nic-001-vmpfapermob02</t>
  </si>
  <si>
    <t>osdisk-vmpfapermob02</t>
  </si>
  <si>
    <t>disk-vmpfapermob02-001</t>
  </si>
  <si>
    <t>disk-vmpfapermob02-002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</si>
  <si>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B2M-OAG N2 || Application Service: MOB || AppTier: WS || </t>
  </si>
  <si>
    <t>vmpfapernes01</t>
  </si>
  <si>
    <t>AVAIL-VMPFAPERNES-01</t>
  </si>
  <si>
    <t>10.98.40.51</t>
  </si>
  <si>
    <t>nic-001-vmpfapernes01</t>
  </si>
  <si>
    <t>osdisk-vmpfapernes01</t>
  </si>
  <si>
    <t>disk-vmpfapernes01-001</t>
  </si>
  <si>
    <t>disk-vmpfapernes01-002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</si>
  <si>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Nessus Scanner || Application Service: NES || AppTier: WS || </t>
  </si>
  <si>
    <t>vmpfaperoag01</t>
  </si>
  <si>
    <t>AVAIL-VMPFAPEROAG</t>
  </si>
  <si>
    <t>10.98.40.52</t>
  </si>
  <si>
    <t>nic-001-vmpfaperoag01</t>
  </si>
  <si>
    <t>osdisk-vmpfaperoag01</t>
  </si>
  <si>
    <t>disk-vmpfaperoag01-001</t>
  </si>
  <si>
    <t>disk-vmpfaperoag01-002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</si>
  <si>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B2B-OAG N1 || Application Service: OAG || AppTier: WS || </t>
  </si>
  <si>
    <t>vmpfaperoag02</t>
  </si>
  <si>
    <t>10.98.40.53</t>
  </si>
  <si>
    <t>nic-001-vmpfaperoag02</t>
  </si>
  <si>
    <t>osdisk-vmpfaperoag02</t>
  </si>
  <si>
    <t>disk-vmpfaperoag02-001</t>
  </si>
  <si>
    <t>disk-vmpfaperoag02-002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</si>
  <si>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B2B-OAG N2 || Application Service: OAG || AppTier: WS || </t>
  </si>
  <si>
    <t>vmpfaperoag03</t>
  </si>
  <si>
    <t>10.98.40.54</t>
  </si>
  <si>
    <t>nic-001-vmpfaperoag03</t>
  </si>
  <si>
    <t>osdisk-vmpfaperoag03</t>
  </si>
  <si>
    <t>disk-vmpfaperoag03-001</t>
  </si>
  <si>
    <t>disk-vmpfaperoag03-002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</si>
  <si>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B2B-OAG N3 || Application Service: OAG || AppTier: WS || </t>
  </si>
  <si>
    <t>vmpfaperoag04</t>
  </si>
  <si>
    <t>10.98.40.55</t>
  </si>
  <si>
    <t>nic-001-vmpfaperoag04</t>
  </si>
  <si>
    <t>osdisk-vmpfaperoag04</t>
  </si>
  <si>
    <t>disk-vmpfaperoag04-001</t>
  </si>
  <si>
    <t>disk-vmpfaperoag04-002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</si>
  <si>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B2B-OAG N4 || Application Service: OAG || AppTier: WS || </t>
  </si>
  <si>
    <t>vmpfaperoag05</t>
  </si>
  <si>
    <t>10.98.40.56</t>
  </si>
  <si>
    <t>nic-001-vmpfaperoag05</t>
  </si>
  <si>
    <t>osdisk-vmpfaperoag05</t>
  </si>
  <si>
    <t>disk-vmpfaperoag05-001</t>
  </si>
  <si>
    <t>disk-vmpfaperoag05-002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</si>
  <si>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B2B-OAG N5 || Application Service: OAG || AppTier: WS || </t>
  </si>
  <si>
    <t>vmpfaperoag06</t>
  </si>
  <si>
    <t>10.98.40.57</t>
  </si>
  <si>
    <t>nic-001-vmpfaperoag06</t>
  </si>
  <si>
    <t>osdisk-vmpfaperoag06</t>
  </si>
  <si>
    <t>disk-vmpfaperoag06-001</t>
  </si>
  <si>
    <t>disk-vmpfaperoag06-002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</si>
  <si>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B2B-OAG N6 || Application Service: OAG || AppTier: WS || </t>
  </si>
  <si>
    <t>vmpfaperocr01</t>
  </si>
  <si>
    <t>AVAIL-VMPFAPEROCR</t>
  </si>
  <si>
    <t>10.98.40.58</t>
  </si>
  <si>
    <t>nic-001-vmpfaperocr01</t>
  </si>
  <si>
    <t>osdisk-vmpfaperocr01</t>
  </si>
  <si>
    <t>disk-vmpfaperocr01-001</t>
  </si>
  <si>
    <t>disk-vmpfaperocr01-002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</si>
  <si>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OAG-CRP N1 || Application Service: OCR || AppTier: WS || </t>
  </si>
  <si>
    <t>vmpfaperocr02</t>
  </si>
  <si>
    <t>10.98.40.59</t>
  </si>
  <si>
    <t>nic-001-vmpfaperocr02</t>
  </si>
  <si>
    <t>osdisk-vmpfaperocr02</t>
  </si>
  <si>
    <t>disk-vmpfaperocr02-001</t>
  </si>
  <si>
    <t>disk-vmpfaperocr02-002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</si>
  <si>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OAG-CRP N2 || Application Service: OCR || AppTier: WS || </t>
  </si>
  <si>
    <t>vmpfaperocr03</t>
  </si>
  <si>
    <t>10.98.40.60</t>
  </si>
  <si>
    <t>nic-001-vmpfaperocr03</t>
  </si>
  <si>
    <t>osdisk-vmpfaperocr03</t>
  </si>
  <si>
    <t>disk-vmpfaperocr03-001</t>
  </si>
  <si>
    <t>disk-vmpfaperocr03-002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</si>
  <si>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OAG-CRP N3 || Application Service: OCR || AppTier: WS || </t>
  </si>
  <si>
    <t>vmpfaperocr04</t>
  </si>
  <si>
    <t>10.98.40.61</t>
  </si>
  <si>
    <t>nic-001-vmpfaperocr04</t>
  </si>
  <si>
    <t>osdisk-vmpfaperocr04</t>
  </si>
  <si>
    <t>disk-vmpfaperocr04-001</t>
  </si>
  <si>
    <t>disk-vmpfaperocr04-002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</si>
  <si>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OAG-CRP N4 || Application Service: OCR || AppTier: WS || </t>
  </si>
  <si>
    <t>vmpfaperocr05</t>
  </si>
  <si>
    <t>10.98.40.62</t>
  </si>
  <si>
    <t>nic-001-vmpfaperocr05</t>
  </si>
  <si>
    <t>osdisk-vmpfaperocr05</t>
  </si>
  <si>
    <t>disk-vmpfaperocr05-001</t>
  </si>
  <si>
    <t>disk-vmpfaperocr05-002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</si>
  <si>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OAG-CRP N5 || Application Service: OCR || AppTier: WS || </t>
  </si>
  <si>
    <t>vmpfaperocr06</t>
  </si>
  <si>
    <t>10.98.40.63</t>
  </si>
  <si>
    <t>nic-001-vmpfaperocr06</t>
  </si>
  <si>
    <t>osdisk-vmpfaperocr06</t>
  </si>
  <si>
    <t>disk-vmpfaperocr06-001</t>
  </si>
  <si>
    <t>disk-vmpfaperocr06-002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</si>
  <si>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OAG-CRP N6 || Application Service: OCR || AppTier: WS || </t>
  </si>
  <si>
    <t>vmpfaperoha01</t>
  </si>
  <si>
    <t>AVAIL-VMPFAPEROHA</t>
  </si>
  <si>
    <t>10.98.40.64</t>
  </si>
  <si>
    <t>nic-001-vmpfaperoha01</t>
  </si>
  <si>
    <t>osdisk-vmpfaperoha01</t>
  </si>
  <si>
    <t>disk-vmpfaperoha01-001</t>
  </si>
  <si>
    <t>disk-vmpfaperoha01-002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</si>
  <si>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OHS-Admin/OBIEE N1 || Application Service: OHA || AppTier: WS || </t>
  </si>
  <si>
    <t>vmpfaperoha02</t>
  </si>
  <si>
    <t>10.98.40.65</t>
  </si>
  <si>
    <t>nic-001-vmpfaperoha02</t>
  </si>
  <si>
    <t>osdisk-vmpfaperoha02</t>
  </si>
  <si>
    <t>disk-vmpfaperoha02-001</t>
  </si>
  <si>
    <t>disk-vmpfaperoha02-002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</si>
  <si>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OHS-Admin/OBIEE N2 || Application Service: OHA || AppTier: WS || </t>
  </si>
  <si>
    <t>vmpfaperohb01</t>
  </si>
  <si>
    <t>AVAIL-VMPFAPEROHB</t>
  </si>
  <si>
    <t>10.98.40.66</t>
  </si>
  <si>
    <t>nic-001-vmpfaperohb01</t>
  </si>
  <si>
    <t>osdisk-vmpfaperohb01</t>
  </si>
  <si>
    <t>disk-vmpfaperohb01-001</t>
  </si>
  <si>
    <t>disk-vmpfaperohb01-002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</si>
  <si>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OHS-OAG B2B || Application Service: OHB || AppTier: WS || </t>
  </si>
  <si>
    <t>vmpfaperohb02</t>
  </si>
  <si>
    <t>10.98.40.67</t>
  </si>
  <si>
    <t>nic-001-vmpfaperohb02</t>
  </si>
  <si>
    <t>osdisk-vmpfaperohb02</t>
  </si>
  <si>
    <t>disk-vmpfaperohb02-001</t>
  </si>
  <si>
    <t>disk-vmpfaperohb02-002</t>
  </si>
  <si>
    <t>vmpfaperohb03</t>
  </si>
  <si>
    <t>10.98.40.68</t>
  </si>
  <si>
    <t>nic-001-vmpfaperohb03</t>
  </si>
  <si>
    <t>osdisk-vmpfaperohb03</t>
  </si>
  <si>
    <t>disk-vmpfaperohb03-001</t>
  </si>
  <si>
    <t>disk-vmpfaperohb03-002</t>
  </si>
  <si>
    <t>vmpfaperohb04</t>
  </si>
  <si>
    <t>10.98.40.69</t>
  </si>
  <si>
    <t>nic-001-vmpfaperohb04</t>
  </si>
  <si>
    <t>osdisk-vmpfaperohb04</t>
  </si>
  <si>
    <t>disk-vmpfaperohb04-001</t>
  </si>
  <si>
    <t>disk-vmpfaperohb04-002</t>
  </si>
  <si>
    <t>vmpfaperohb05</t>
  </si>
  <si>
    <t>10.98.40.70</t>
  </si>
  <si>
    <t>nic-001-vmpfaperohb05</t>
  </si>
  <si>
    <t>osdisk-vmpfaperohb05</t>
  </si>
  <si>
    <t>disk-vmpfaperohb05-001</t>
  </si>
  <si>
    <t>disk-vmpfaperohb05-002</t>
  </si>
  <si>
    <t>vmpfaperohb06</t>
  </si>
  <si>
    <t>10.98.40.71</t>
  </si>
  <si>
    <t>nic-001-vmpfaperohb06</t>
  </si>
  <si>
    <t>osdisk-vmpfaperohb06</t>
  </si>
  <si>
    <t>disk-vmpfaperohb06-001</t>
  </si>
  <si>
    <t>disk-vmpfaperohb06-002</t>
  </si>
  <si>
    <t>vmpfaperohc01</t>
  </si>
  <si>
    <t>AVAIL-VMPFAPEROHC</t>
  </si>
  <si>
    <t>10.98.40.72</t>
  </si>
  <si>
    <t>nic-001-vmpfaperohc01</t>
  </si>
  <si>
    <t>osdisk-vmpfaperohc01</t>
  </si>
  <si>
    <t>disk-vmpfaperohc01-001</t>
  </si>
  <si>
    <t>disk-vmpfaperohc01-002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</si>
  <si>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OHS-Consumer N1 || Application Service: OHC || AppTier: WS || </t>
  </si>
  <si>
    <t>vmpfaperohc02</t>
  </si>
  <si>
    <t>10.98.40.73</t>
  </si>
  <si>
    <t>nic-001-vmpfaperohc02</t>
  </si>
  <si>
    <t>osdisk-vmpfaperohc02</t>
  </si>
  <si>
    <t>disk-vmpfaperohc02-001</t>
  </si>
  <si>
    <t>disk-vmpfaperohc02-002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</si>
  <si>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OHS-Consumer N2 || Application Service: OHC || AppTier: WS || </t>
  </si>
  <si>
    <t>vmpfaperohc03</t>
  </si>
  <si>
    <t>10.98.40.74</t>
  </si>
  <si>
    <t>nic-001-vmpfaperohc03</t>
  </si>
  <si>
    <t>osdisk-vmpfaperohc03</t>
  </si>
  <si>
    <t>disk-vmpfaperohc03-001</t>
  </si>
  <si>
    <t>disk-vmpfaperohc03-002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</si>
  <si>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OHS-Consumer N3 || Application Service: OHC || AppTier: WS || </t>
  </si>
  <si>
    <t>vmpfaperohc04</t>
  </si>
  <si>
    <t>10.98.40.75</t>
  </si>
  <si>
    <t>nic-001-vmpfaperohc04</t>
  </si>
  <si>
    <t>osdisk-vmpfaperohc04</t>
  </si>
  <si>
    <t>disk-vmpfaperohc04-001</t>
  </si>
  <si>
    <t>disk-vmpfaperohc04-002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</si>
  <si>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OHS-Consumer N4 || Application Service: OHC || AppTier: WS || </t>
  </si>
  <si>
    <t>vmpfaperohc05</t>
  </si>
  <si>
    <t>10.98.40.76</t>
  </si>
  <si>
    <t>nic-001-vmpfaperohc05</t>
  </si>
  <si>
    <t>osdisk-vmpfaperohc05</t>
  </si>
  <si>
    <t>disk-vmpfaperohc05-001</t>
  </si>
  <si>
    <t>disk-vmpfaperohc05-002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</si>
  <si>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OHS-Consumer N5 || Application Service: OHC || AppTier: WS || </t>
  </si>
  <si>
    <t>vmpfaperohc06</t>
  </si>
  <si>
    <t>10.98.40.77</t>
  </si>
  <si>
    <t>nic-001-vmpfaperohc06</t>
  </si>
  <si>
    <t>osdisk-vmpfaperohc06</t>
  </si>
  <si>
    <t>disk-vmpfaperohc06-001</t>
  </si>
  <si>
    <t>disk-vmpfaperohc06-002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</si>
  <si>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OHS-Consumer N6 || Application Service: OHC || AppTier: WS || </t>
  </si>
  <si>
    <t>vmpfaperohc07</t>
  </si>
  <si>
    <t>10.98.40.78</t>
  </si>
  <si>
    <t>nic-001-vmpfaperohc07</t>
  </si>
  <si>
    <t>osdisk-vmpfaperohc07</t>
  </si>
  <si>
    <t>disk-vmpfaperohc07-001</t>
  </si>
  <si>
    <t>disk-vmpfaperohc07-002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</si>
  <si>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OHS-Consumer N7 || Application Service: OHC || AppTier: WS || </t>
  </si>
  <si>
    <t>vmpfaperohc08</t>
  </si>
  <si>
    <t>10.98.40.79</t>
  </si>
  <si>
    <t>nic-001-vmpfaperohc08</t>
  </si>
  <si>
    <t>osdisk-vmpfaperohc08</t>
  </si>
  <si>
    <t>disk-vmpfaperohc08-001</t>
  </si>
  <si>
    <t>disk-vmpfaperohc08-002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</si>
  <si>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OHS-Consumer N8 || Application Service: OHC || AppTier: WS || </t>
  </si>
  <si>
    <t>vmpfaperohm01</t>
  </si>
  <si>
    <t>AVAIL-VMPFAPEROHM</t>
  </si>
  <si>
    <t>10.98.40.80</t>
  </si>
  <si>
    <t>nic-001-vmpfaperohm01</t>
  </si>
  <si>
    <t>osdisk-vmpfaperohm01</t>
  </si>
  <si>
    <t>disk-vmpfaperohm01-001</t>
  </si>
  <si>
    <t>disk-vmpfaperohm01-002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</si>
  <si>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OHS-OAG B2M and FHIR / Mobility || Application Service: OHM || AppTier: WS || </t>
  </si>
  <si>
    <t>vmpfaperohm02</t>
  </si>
  <si>
    <t>10.98.40.81</t>
  </si>
  <si>
    <t>nic-001-vmpfaperohm02</t>
  </si>
  <si>
    <t>osdisk-vmpfaperohm02</t>
  </si>
  <si>
    <t>disk-vmpfaperohm02-001</t>
  </si>
  <si>
    <t>disk-vmpfaperohm02-002</t>
  </si>
  <si>
    <t>vmpfaperohm03</t>
  </si>
  <si>
    <t>10.98.40.82</t>
  </si>
  <si>
    <t>nic-001-vmpfaperohm03</t>
  </si>
  <si>
    <t>osdisk-vmpfaperohm03</t>
  </si>
  <si>
    <t>disk-vmpfaperohm03-001</t>
  </si>
  <si>
    <t>disk-vmpfaperohm03-002</t>
  </si>
  <si>
    <t>vmpfaperohm04</t>
  </si>
  <si>
    <t>10.98.40.83</t>
  </si>
  <si>
    <t>nic-001-vmpfaperohm04</t>
  </si>
  <si>
    <t>osdisk-vmpfaperohm04</t>
  </si>
  <si>
    <t>disk-vmpfaperohm04-001</t>
  </si>
  <si>
    <t>disk-vmpfaperohm04-002</t>
  </si>
  <si>
    <t>vmpfaperohm05</t>
  </si>
  <si>
    <t>10.98.40.84</t>
  </si>
  <si>
    <t>nic-001-vmpfaperohm05</t>
  </si>
  <si>
    <t>osdisk-vmpfaperohm05</t>
  </si>
  <si>
    <t>disk-vmpfaperohm05-001</t>
  </si>
  <si>
    <t>disk-vmpfaperohm05-002</t>
  </si>
  <si>
    <t>vmpfaperohm06</t>
  </si>
  <si>
    <t>10.98.40.85</t>
  </si>
  <si>
    <t>nic-001-vmpfaperohm06</t>
  </si>
  <si>
    <t>osdisk-vmpfaperohm06</t>
  </si>
  <si>
    <t>disk-vmpfaperohm06-001</t>
  </si>
  <si>
    <t>disk-vmpfaperohm06-002</t>
  </si>
  <si>
    <t>vmpfaperohm07</t>
  </si>
  <si>
    <t>10.98.40.86</t>
  </si>
  <si>
    <t>nic-001-vmpfaperohm07</t>
  </si>
  <si>
    <t>osdisk-vmpfaperohm07</t>
  </si>
  <si>
    <t>disk-vmpfaperohm07-001</t>
  </si>
  <si>
    <t>disk-vmpfaperohm07-002</t>
  </si>
  <si>
    <t>vmpfaperohm08</t>
  </si>
  <si>
    <t>10.98.40.87</t>
  </si>
  <si>
    <t>nic-001-vmpfaperohm08</t>
  </si>
  <si>
    <t>osdisk-vmpfaperohm08</t>
  </si>
  <si>
    <t>disk-vmpfaperohm08-001</t>
  </si>
  <si>
    <t>disk-vmpfaperohm08-002</t>
  </si>
  <si>
    <t>vmpfaperoho01</t>
  </si>
  <si>
    <t>AVAIL-VMPFAPEROHO</t>
  </si>
  <si>
    <t>10.98.40.88</t>
  </si>
  <si>
    <t>nic-001-vmpfaperoho01</t>
  </si>
  <si>
    <t>osdisk-vmpfaperoho01</t>
  </si>
  <si>
    <t>disk-vmpfaperoho01-001</t>
  </si>
  <si>
    <t>disk-vmpfaperoho01-002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</si>
  <si>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OHS-OAG OCR || Application Service: OHO || AppTier: WS || </t>
  </si>
  <si>
    <t>vmpfaperoho02</t>
  </si>
  <si>
    <t>10.98.40.89</t>
  </si>
  <si>
    <t>nic-001-vmpfaperoho02</t>
  </si>
  <si>
    <t>osdisk-vmpfaperoho02</t>
  </si>
  <si>
    <t>disk-vmpfaperoho02-001</t>
  </si>
  <si>
    <t>disk-vmpfaperoho02-002</t>
  </si>
  <si>
    <t>vmpfaperoho03</t>
  </si>
  <si>
    <t>10.98.40.90</t>
  </si>
  <si>
    <t>nic-001-vmpfaperoho03</t>
  </si>
  <si>
    <t>osdisk-vmpfaperoho03</t>
  </si>
  <si>
    <t>disk-vmpfaperoho03-001</t>
  </si>
  <si>
    <t>disk-vmpfaperoho03-002</t>
  </si>
  <si>
    <t>vmpfaperoho04</t>
  </si>
  <si>
    <t>10.98.40.91</t>
  </si>
  <si>
    <t>nic-001-vmpfaperoho04</t>
  </si>
  <si>
    <t>osdisk-vmpfaperoho04</t>
  </si>
  <si>
    <t>disk-vmpfaperoho04-001</t>
  </si>
  <si>
    <t>disk-vmpfaperoho04-002</t>
  </si>
  <si>
    <t>vmpfaperoho05</t>
  </si>
  <si>
    <t>10.98.40.92</t>
  </si>
  <si>
    <t>nic-001-vmpfaperoho05</t>
  </si>
  <si>
    <t>osdisk-vmpfaperoho05</t>
  </si>
  <si>
    <t>disk-vmpfaperoho05-001</t>
  </si>
  <si>
    <t>disk-vmpfaperoho05-002</t>
  </si>
  <si>
    <t>vmpfaperoho06</t>
  </si>
  <si>
    <t>10.98.40.93</t>
  </si>
  <si>
    <t>nic-001-vmpfaperoho06</t>
  </si>
  <si>
    <t>osdisk-vmpfaperoho06</t>
  </si>
  <si>
    <t>disk-vmpfaperoho06-001</t>
  </si>
  <si>
    <t>disk-vmpfaperoho06-002</t>
  </si>
  <si>
    <t>vmpfaperrho01</t>
  </si>
  <si>
    <t>AVAIL-VMPFAPERRHO</t>
  </si>
  <si>
    <t>10.98.40.94</t>
  </si>
  <si>
    <t>nic-001-vmpfaperrho01</t>
  </si>
  <si>
    <t>osdisk-vmpfaperrho01</t>
  </si>
  <si>
    <t>disk-vmpfaperrho01-001</t>
  </si>
  <si>
    <t>disk-vmpfaperrho01-002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</si>
  <si>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OHS-DCR OSB || Application Service: RHO || AppTier: WS || </t>
  </si>
  <si>
    <t>vmpfaperrho02</t>
  </si>
  <si>
    <t>10.98.40.95</t>
  </si>
  <si>
    <t>nic-001-vmpfaperrho02</t>
  </si>
  <si>
    <t>osdisk-vmpfaperrho02</t>
  </si>
  <si>
    <t>disk-vmpfaperrho02-001</t>
  </si>
  <si>
    <t>disk-vmpfaperrho02-002</t>
  </si>
  <si>
    <t>vmpfaperrho03</t>
  </si>
  <si>
    <t>10.98.40.96</t>
  </si>
  <si>
    <t>nic-001-vmpfaperrho03</t>
  </si>
  <si>
    <t>osdisk-vmpfaperrho03</t>
  </si>
  <si>
    <t>disk-vmpfaperrho03-001</t>
  </si>
  <si>
    <t>disk-vmpfaperrho03-002</t>
  </si>
  <si>
    <t>vmpfaperxho01</t>
  </si>
  <si>
    <t>AVAIL-VMPFAPERXHO</t>
  </si>
  <si>
    <t>10.98.40.97</t>
  </si>
  <si>
    <t>nic-001-vmpfaperxho01</t>
  </si>
  <si>
    <t>osdisk-vmpfaperxho01</t>
  </si>
  <si>
    <t>disk-vmpfaperxho01-001</t>
  </si>
  <si>
    <t>disk-vmpfaperxho01-002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</si>
  <si>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OHS-DCX OSB || Application Service: XHO || AppTier: WS || </t>
  </si>
  <si>
    <t>vmpfaperxho02</t>
  </si>
  <si>
    <t>10.98.40.98</t>
  </si>
  <si>
    <t>nic-001-vmpfaperxho02</t>
  </si>
  <si>
    <t>osdisk-vmpfaperxho02</t>
  </si>
  <si>
    <t>disk-vmpfaperxho02-001</t>
  </si>
  <si>
    <t>disk-vmpfaperxho02-002</t>
  </si>
  <si>
    <t>vmpfaperxho03</t>
  </si>
  <si>
    <t>10.98.40.99</t>
  </si>
  <si>
    <t>nic-001-vmpfaperxho03</t>
  </si>
  <si>
    <t>osdisk-vmpfaperxho03</t>
  </si>
  <si>
    <t>disk-vmpfaperxho03-001</t>
  </si>
  <si>
    <t>disk-vmpfaperxho03-002</t>
  </si>
  <si>
    <t>vmpfaperxho04</t>
  </si>
  <si>
    <t>10.98.40.100</t>
  </si>
  <si>
    <t>nic-001-vmpfaperxho04</t>
  </si>
  <si>
    <t>osdisk-vmpfaperxho04</t>
  </si>
  <si>
    <t>disk-vmpfaperxho04-001</t>
  </si>
  <si>
    <t>disk-vmpfaperxho04-002</t>
  </si>
  <si>
    <t>vCPU Count</t>
  </si>
  <si>
    <t>VRAM Count</t>
  </si>
  <si>
    <t>Count</t>
  </si>
  <si>
    <t>SKU</t>
  </si>
  <si>
    <t>CPU</t>
  </si>
  <si>
    <t>Standard_M208ms_v2</t>
  </si>
  <si>
    <t>Standard_M208s_v2</t>
  </si>
  <si>
    <t>Standard_M416-208s_v2</t>
  </si>
  <si>
    <t>Total</t>
  </si>
  <si>
    <t>Standard_M416s_v2</t>
  </si>
  <si>
    <t>Standard_M416-208ms_v2</t>
  </si>
  <si>
    <t>Standard_M416ms_v2</t>
  </si>
  <si>
    <t>Standard_A0</t>
  </si>
  <si>
    <t>Standard_A1</t>
  </si>
  <si>
    <t>Standard_A2</t>
  </si>
  <si>
    <t>Standard_A3</t>
  </si>
  <si>
    <t>Standard_A5</t>
  </si>
  <si>
    <t>Standard_A4</t>
  </si>
  <si>
    <t>Standard_A6</t>
  </si>
  <si>
    <t>Standard_A7</t>
  </si>
  <si>
    <t>Basic_A0</t>
  </si>
  <si>
    <t>Basic_A1</t>
  </si>
  <si>
    <t>Basic_A2</t>
  </si>
  <si>
    <t>Basic_A3</t>
  </si>
  <si>
    <t>Basic_A4</t>
  </si>
  <si>
    <t>Standard_D1_v2</t>
  </si>
  <si>
    <t>Standard_D2_v2</t>
  </si>
  <si>
    <t>Standard_D3_v2</t>
  </si>
  <si>
    <t>Standard_D4_v2</t>
  </si>
  <si>
    <t>Standard_D5_v2</t>
  </si>
  <si>
    <t>Standard_D11_v2</t>
  </si>
  <si>
    <t>Standard_D12_v2</t>
  </si>
  <si>
    <t>Standard_D13_v2</t>
  </si>
  <si>
    <t>Standard_D14_v2</t>
  </si>
  <si>
    <t>Standard_D15_v2</t>
  </si>
  <si>
    <t>Standard_D2_v2_Promo</t>
  </si>
  <si>
    <t>Standard_D3_v2_Promo</t>
  </si>
  <si>
    <t>Standard_D4_v2_Promo</t>
  </si>
  <si>
    <t>Standard_D5_v2_Promo</t>
  </si>
  <si>
    <t>Standard_D11_v2_Promo</t>
  </si>
  <si>
    <t>Standard_D12_v2_Promo</t>
  </si>
  <si>
    <t>Standard_D13_v2_Promo</t>
  </si>
  <si>
    <t>Standard_D14_v2_Promo</t>
  </si>
  <si>
    <t>Standard_F1</t>
  </si>
  <si>
    <t>Standard_F2</t>
  </si>
  <si>
    <t>Standard_F4</t>
  </si>
  <si>
    <t>Standard_F8</t>
  </si>
  <si>
    <t>Standard_F16</t>
  </si>
  <si>
    <t>Standard_A1_v2</t>
  </si>
  <si>
    <t>Standard_A2m_v2</t>
  </si>
  <si>
    <t>Standard_A2_v2</t>
  </si>
  <si>
    <t>Standard_A4m_v2</t>
  </si>
  <si>
    <t>Standard_A4_v2</t>
  </si>
  <si>
    <t>Standard_A8m_v2</t>
  </si>
  <si>
    <t>Standard_A8_v2</t>
  </si>
  <si>
    <t>Standard_B1ls</t>
  </si>
  <si>
    <t>Standard_B1ms</t>
  </si>
  <si>
    <t>Standard_B1s</t>
  </si>
  <si>
    <t>Standard_B2ms</t>
  </si>
  <si>
    <t>Standard_B2s</t>
  </si>
  <si>
    <t>Standard_B4ms</t>
  </si>
  <si>
    <t>Standard_B8ms</t>
  </si>
  <si>
    <t>Standard_B12ms</t>
  </si>
  <si>
    <t>Standard_B16ms</t>
  </si>
  <si>
    <t>Standard_B20ms</t>
  </si>
  <si>
    <t>Standard_DS1_v2</t>
  </si>
  <si>
    <t>Standard_DS2_v2</t>
  </si>
  <si>
    <t>Standard_DS3_v2</t>
  </si>
  <si>
    <t>Standard_DS4_v2</t>
  </si>
  <si>
    <t>Standard_DS5_v2</t>
  </si>
  <si>
    <t>Standard_DS11-1_v2</t>
  </si>
  <si>
    <t>Standard_DS11_v2</t>
  </si>
  <si>
    <t>Standard_DS12-1_v2</t>
  </si>
  <si>
    <t>Standard_DS12-2_v2</t>
  </si>
  <si>
    <t>Standard_DS12_v2</t>
  </si>
  <si>
    <t>Standard_DS13-2_v2</t>
  </si>
  <si>
    <t>Standard_DS13-4_v2</t>
  </si>
  <si>
    <t>Standard_DS13_v2</t>
  </si>
  <si>
    <t>Standard_DS14-4_v2</t>
  </si>
  <si>
    <t>Standard_DS14-8_v2</t>
  </si>
  <si>
    <t>Standard_DS14_v2</t>
  </si>
  <si>
    <t>Standard_DS15_v2</t>
  </si>
  <si>
    <t>Standard_DS2_v2_Promo</t>
  </si>
  <si>
    <t>Standard_DS3_v2_Promo</t>
  </si>
  <si>
    <t>Standard_DS4_v2_Promo</t>
  </si>
  <si>
    <t>Standard_DS5_v2_Promo</t>
  </si>
  <si>
    <t>Standard_DS11_v2_Promo</t>
  </si>
  <si>
    <t>Standard_DS12_v2_Promo</t>
  </si>
  <si>
    <t>Standard_DS13_v2_Promo</t>
  </si>
  <si>
    <t>Standard_DS14_v2_Promo</t>
  </si>
  <si>
    <t>Standard_F1s</t>
  </si>
  <si>
    <t>Standard_F2s</t>
  </si>
  <si>
    <t>Standard_F4s</t>
  </si>
  <si>
    <t>Standard_F8s</t>
  </si>
  <si>
    <t>Standard_F16s</t>
  </si>
  <si>
    <t>Standard_D2_v3</t>
  </si>
  <si>
    <t>Standard_D4_v3</t>
  </si>
  <si>
    <t>Standard_D8_v3</t>
  </si>
  <si>
    <t>Standard_D16_v3</t>
  </si>
  <si>
    <t>Standard_D32_v3</t>
  </si>
  <si>
    <t>Standard_D48_v3</t>
  </si>
  <si>
    <t>Standard_D64_v3</t>
  </si>
  <si>
    <t>Standard_D2s_v3</t>
  </si>
  <si>
    <t>Standard_D4s_v3</t>
  </si>
  <si>
    <t>Standard_D8s_v3</t>
  </si>
  <si>
    <t>Standard_D16s_v3</t>
  </si>
  <si>
    <t>Standard_D32s_v3</t>
  </si>
  <si>
    <t>Standard_D48s_v3</t>
  </si>
  <si>
    <t>Standard_D64s_v3</t>
  </si>
  <si>
    <t>Standard_E2_v3</t>
  </si>
  <si>
    <t>Standard_E4_v3</t>
  </si>
  <si>
    <t>Standard_E8_v3</t>
  </si>
  <si>
    <t>Standard_E16_v3</t>
  </si>
  <si>
    <t>Standard_E20_v3</t>
  </si>
  <si>
    <t>Standard_E32_v3</t>
  </si>
  <si>
    <t>Standard_E48_v3</t>
  </si>
  <si>
    <t>Standard_E64_v3</t>
  </si>
  <si>
    <t>Standard_E2s_v3</t>
  </si>
  <si>
    <t>Standard_E4-2s_v3</t>
  </si>
  <si>
    <t>Standard_E4s_v3</t>
  </si>
  <si>
    <t>Standard_E8-2s_v3</t>
  </si>
  <si>
    <t>Standard_E8-4s_v3</t>
  </si>
  <si>
    <t>Standard_E8s_v3</t>
  </si>
  <si>
    <t>Standard_E16-4s_v3</t>
  </si>
  <si>
    <t>Standard_E16-8s_v3</t>
  </si>
  <si>
    <t>Standard_E16s_v3</t>
  </si>
  <si>
    <t>Standard_E20s_v3</t>
  </si>
  <si>
    <t>Standard_E32-8s_v3</t>
  </si>
  <si>
    <t>Standard_E32-16s_v3</t>
  </si>
  <si>
    <t>Standard_E32s_v3</t>
  </si>
  <si>
    <t>Standard_E48s_v3</t>
  </si>
  <si>
    <t>Standard_E64-16s_v3</t>
  </si>
  <si>
    <t>Standard_E64-32s_v3</t>
  </si>
  <si>
    <t>Standard_E64s_v3</t>
  </si>
  <si>
    <t>Standard_F2s_v2</t>
  </si>
  <si>
    <t>Standard_F4s_v2</t>
  </si>
  <si>
    <t>Standard_F8s_v2</t>
  </si>
  <si>
    <t>Standard_F16s_v2</t>
  </si>
  <si>
    <t>Standard_F32s_v2</t>
  </si>
  <si>
    <t>Standard_F48s_v2</t>
  </si>
  <si>
    <t>Standard_F64s_v2</t>
  </si>
  <si>
    <t>Standard_F72s_v2</t>
  </si>
  <si>
    <t>Standard_D2ds_v4</t>
  </si>
  <si>
    <t>Standard_D4ds_v4</t>
  </si>
  <si>
    <t>Standard_D8ds_v4</t>
  </si>
  <si>
    <t>Standard_D16ds_v4</t>
  </si>
  <si>
    <t>Standard_D32ds_v4</t>
  </si>
  <si>
    <t>Standard_D48ds_v4</t>
  </si>
  <si>
    <t>Standard_D64ds_v4</t>
  </si>
  <si>
    <t>Standard_D2ds_v5</t>
  </si>
  <si>
    <t>Standard_D4ds_v5</t>
  </si>
  <si>
    <t>Standard_D8ds_v5</t>
  </si>
  <si>
    <t>Standard_D16ds_v5</t>
  </si>
  <si>
    <t>Standard_D32ds_v5</t>
  </si>
  <si>
    <t>Standard_D48ds_v5</t>
  </si>
  <si>
    <t>Standard_D64ds_v5</t>
  </si>
  <si>
    <t>Standard_D96ds_v5</t>
  </si>
  <si>
    <t>Standard_D2d_v4</t>
  </si>
  <si>
    <t>Standard_D4d_v4</t>
  </si>
  <si>
    <t>Standard_D8d_v4</t>
  </si>
  <si>
    <t>Standard_D16d_v4</t>
  </si>
  <si>
    <t>Standard_D32d_v4</t>
  </si>
  <si>
    <t>Standard_D48d_v4</t>
  </si>
  <si>
    <t>Standard_D64d_v4</t>
  </si>
  <si>
    <t>Standard_D2d_v5</t>
  </si>
  <si>
    <t>Standard_D4d_v5</t>
  </si>
  <si>
    <t>Standard_D8d_v5</t>
  </si>
  <si>
    <t>Standard_D16d_v5</t>
  </si>
  <si>
    <t>Standard_D32d_v5</t>
  </si>
  <si>
    <t>Standard_D48d_v5</t>
  </si>
  <si>
    <t>Standard_D64d_v5</t>
  </si>
  <si>
    <t>Standard_D96d_v5</t>
  </si>
  <si>
    <t>Standard_D16s_v4</t>
  </si>
  <si>
    <t>Standard_D32s_v4</t>
  </si>
  <si>
    <t>Standard_D48s_v4</t>
  </si>
  <si>
    <t>Standard_D64s_v4</t>
  </si>
  <si>
    <t>Standard_D2s_v5</t>
  </si>
  <si>
    <t>Standard_D4s_v5</t>
  </si>
  <si>
    <t>Standard_D8s_v5</t>
  </si>
  <si>
    <t>Standard_D16s_v5</t>
  </si>
  <si>
    <t>Standard_D32s_v5</t>
  </si>
  <si>
    <t>Standard_D48s_v5</t>
  </si>
  <si>
    <t>Standard_D64s_v5</t>
  </si>
  <si>
    <t>Standard_D96s_v5</t>
  </si>
  <si>
    <t>Standard_D2_v4</t>
  </si>
  <si>
    <t>Standard_D4_v4</t>
  </si>
  <si>
    <t>Standard_D8_v4</t>
  </si>
  <si>
    <t>Standard_D16_v4</t>
  </si>
  <si>
    <t>Standard_D32_v4</t>
  </si>
  <si>
    <t>Standard_D48_v4</t>
  </si>
  <si>
    <t>Standard_D64_v4</t>
  </si>
  <si>
    <t>Standard_D2_v5</t>
  </si>
  <si>
    <t>Standard_D4_v5</t>
  </si>
  <si>
    <t>Standard_D8_v5</t>
  </si>
  <si>
    <t>Standard_D16_v5</t>
  </si>
  <si>
    <t>Standard_D32_v5</t>
  </si>
  <si>
    <t>Standard_D48_v5</t>
  </si>
  <si>
    <t>Standard_D64_v5</t>
  </si>
  <si>
    <t>Standard_D96_v5</t>
  </si>
  <si>
    <t>Standard_E2ds_v4</t>
  </si>
  <si>
    <t>Standard_E4-2ds_v4</t>
  </si>
  <si>
    <t>Standard_E4ds_v4</t>
  </si>
  <si>
    <t>Standard_E8-2ds_v4</t>
  </si>
  <si>
    <t>Standard_E8-4ds_v4</t>
  </si>
  <si>
    <t>Standard_E8ds_v4</t>
  </si>
  <si>
    <t>Standard_E16-4ds_v4</t>
  </si>
  <si>
    <t>Standard_E16-8ds_v4</t>
  </si>
  <si>
    <t>Standard_E16ds_v4</t>
  </si>
  <si>
    <t>Standard_E20ds_v4</t>
  </si>
  <si>
    <t>Standard_E32-8ds_v4</t>
  </si>
  <si>
    <t>Standard_E32-16ds_v4</t>
  </si>
  <si>
    <t>Standard_E32ds_v4</t>
  </si>
  <si>
    <t>Standard_E48ds_v4</t>
  </si>
  <si>
    <t>Standard_E64-16ds_v4</t>
  </si>
  <si>
    <t>Standard_E64-32ds_v4</t>
  </si>
  <si>
    <t>Standard_E64ds_v4</t>
  </si>
  <si>
    <t>Standard_E80ids_v4</t>
  </si>
  <si>
    <t>Standard_E2ds_v5</t>
  </si>
  <si>
    <t>Standard_E4-2ds_v5</t>
  </si>
  <si>
    <t>Standard_E4ds_v5</t>
  </si>
  <si>
    <t>Standard_E8-2ds_v5</t>
  </si>
  <si>
    <t>Standard_E8-4ds_v5</t>
  </si>
  <si>
    <t>Standard_E8ds_v5</t>
  </si>
  <si>
    <t>Standard_E16-4ds_v5</t>
  </si>
  <si>
    <t>Standard_E16-8ds_v5</t>
  </si>
  <si>
    <t>Standard_E16ds_v5</t>
  </si>
  <si>
    <t>Standard_E20ds_v5</t>
  </si>
  <si>
    <t>Standard_E32-8ds_v5</t>
  </si>
  <si>
    <t>Standard_E32-16ds_v5</t>
  </si>
  <si>
    <t>Standard_E32ds_v5</t>
  </si>
  <si>
    <t>Standard_E48ds_v5</t>
  </si>
  <si>
    <t>Standard_E64-16ds_v5</t>
  </si>
  <si>
    <t>Standard_E64-32ds_v5</t>
  </si>
  <si>
    <t>Standard_E64ds_v5</t>
  </si>
  <si>
    <t>Standard_E96-24ds_v5</t>
  </si>
  <si>
    <t>Standard_E96-48ds_v5</t>
  </si>
  <si>
    <t>Standard_E96ds_v5</t>
  </si>
  <si>
    <t>Standard_E104ids_v5</t>
  </si>
  <si>
    <t>Standard_E2bds_v5</t>
  </si>
  <si>
    <t>Standard_E4bds_v5</t>
  </si>
  <si>
    <t>Standard_E8bds_v5</t>
  </si>
  <si>
    <t>Standard_E16bds_v5</t>
  </si>
  <si>
    <t>Standard_E32bds_v5</t>
  </si>
  <si>
    <t>Standard_E48bds_v5</t>
  </si>
  <si>
    <t>Standard_E64bds_v5</t>
  </si>
  <si>
    <t>Standard_E2d_v4</t>
  </si>
  <si>
    <t>Standard_E4d_v4</t>
  </si>
  <si>
    <t>Standard_E8d_v4</t>
  </si>
  <si>
    <t>Standard_E16d_v4</t>
  </si>
  <si>
    <t>Standard_E20d_v4</t>
  </si>
  <si>
    <t>Standard_E32d_v4</t>
  </si>
  <si>
    <t>Standard_E48d_v4</t>
  </si>
  <si>
    <t>Standard_E64d_v4</t>
  </si>
  <si>
    <t>Standard_E2d_v5</t>
  </si>
  <si>
    <t>Standard_E4d_v5</t>
  </si>
  <si>
    <t>Standard_E8d_v5</t>
  </si>
  <si>
    <t>Standard_E16d_v5</t>
  </si>
  <si>
    <t>Standard_E20d_v5</t>
  </si>
  <si>
    <t>Standard_E32d_v5</t>
  </si>
  <si>
    <t>Standard_E48d_v5</t>
  </si>
  <si>
    <t>Standard_E64d_v5</t>
  </si>
  <si>
    <t>Standard_E96d_v5</t>
  </si>
  <si>
    <t>Standard_E104id_v5</t>
  </si>
  <si>
    <t>Standard_E2s_v4</t>
  </si>
  <si>
    <t>Standard_E4-2s_v4</t>
  </si>
  <si>
    <t>Standard_E4s_v4</t>
  </si>
  <si>
    <t>Standard_E8-2s_v4</t>
  </si>
  <si>
    <t>Standard_E8-4s_v4</t>
  </si>
  <si>
    <t>Standard_E8s_v4</t>
  </si>
  <si>
    <t>Standard_E16-4s_v4</t>
  </si>
  <si>
    <t>Standard_E16-8s_v4</t>
  </si>
  <si>
    <t>Standard_E16s_v4</t>
  </si>
  <si>
    <t>Standard_E20s_v4</t>
  </si>
  <si>
    <t>Standard_E32-8s_v4</t>
  </si>
  <si>
    <t>Standard_E32-16s_v4</t>
  </si>
  <si>
    <t>Standard_E32s_v4</t>
  </si>
  <si>
    <t>Standard_E48s_v4</t>
  </si>
  <si>
    <t>Standard_E64-16s_v4</t>
  </si>
  <si>
    <t>Standard_E64-32s_v4</t>
  </si>
  <si>
    <t>Standard_E64s_v4</t>
  </si>
  <si>
    <t>Standard_E80is_v4</t>
  </si>
  <si>
    <t>Standard_E2s_v5</t>
  </si>
  <si>
    <t>Standard_E4-2s_v5</t>
  </si>
  <si>
    <t>Standard_E4s_v5</t>
  </si>
  <si>
    <t>Standard_E8-2s_v5</t>
  </si>
  <si>
    <t>Standard_E8-4s_v5</t>
  </si>
  <si>
    <t>Standard_E8s_v5</t>
  </si>
  <si>
    <t>Standard_E16-4s_v5</t>
  </si>
  <si>
    <t>Standard_E16-8s_v5</t>
  </si>
  <si>
    <t>Standard_E16s_v5</t>
  </si>
  <si>
    <t>Standard_E20s_v5</t>
  </si>
  <si>
    <t>Standard_E32-8s_v5</t>
  </si>
  <si>
    <t>Standard_E32-16s_v5</t>
  </si>
  <si>
    <t>Standard_E32s_v5</t>
  </si>
  <si>
    <t>Standard_E48s_v5</t>
  </si>
  <si>
    <t>Standard_E64-16s_v5</t>
  </si>
  <si>
    <t>Standard_E64-32s_v5</t>
  </si>
  <si>
    <t>Standard_E64s_v5</t>
  </si>
  <si>
    <t>Standard_E96-24s_v5</t>
  </si>
  <si>
    <t>Standard_E96-48s_v5</t>
  </si>
  <si>
    <t>Standard_E96s_v5</t>
  </si>
  <si>
    <t>Standard_E104is_v5</t>
  </si>
  <si>
    <t>Standard_E2bs_v5</t>
  </si>
  <si>
    <t>Standard_E4bs_v5</t>
  </si>
  <si>
    <t>Standard_E8bs_v5</t>
  </si>
  <si>
    <t>Standard_E16bs_v5</t>
  </si>
  <si>
    <t>Standard_E32bs_v5</t>
  </si>
  <si>
    <t>Standard_E48bs_v5</t>
  </si>
  <si>
    <t>Standard_E64bs_v5</t>
  </si>
  <si>
    <t>Standard_E2_v4</t>
  </si>
  <si>
    <t>Standard_E4_v4</t>
  </si>
  <si>
    <t>Standard_E8_v4</t>
  </si>
  <si>
    <t>Standard_E16_v4</t>
  </si>
  <si>
    <t>Standard_E20_v4</t>
  </si>
  <si>
    <t>Standard_E32_v4</t>
  </si>
  <si>
    <t>Standard_E48_v4</t>
  </si>
  <si>
    <t>Standard_E64_v4</t>
  </si>
  <si>
    <t>Standard_E2_v5</t>
  </si>
  <si>
    <t>Standard_E4_v5</t>
  </si>
  <si>
    <t>Standard_E8_v5</t>
  </si>
  <si>
    <t>Standard_E16_v5</t>
  </si>
  <si>
    <t>Standard_E20_v5</t>
  </si>
  <si>
    <t>Standard_E32_v5</t>
  </si>
  <si>
    <t>Standard_E48_v5</t>
  </si>
  <si>
    <t>Standard_E64_v5</t>
  </si>
  <si>
    <t>Standard_E96_v5</t>
  </si>
  <si>
    <t>Standard_E104i_v5</t>
  </si>
  <si>
    <t>Standard_E64i_v3</t>
  </si>
  <si>
    <t>Standard_E64is_v3</t>
  </si>
  <si>
    <t>Standard_NC4as_T4_v3</t>
  </si>
  <si>
    <t>Standard_NC8as_T4_v3</t>
  </si>
  <si>
    <t>Standard_NC16as_T4_v3</t>
  </si>
  <si>
    <t>Standard_NC64as_T4_v3</t>
  </si>
  <si>
    <t>Standard_M8-2ms</t>
  </si>
  <si>
    <t>Standard_M8-4ms</t>
  </si>
  <si>
    <t>Standard_M8ms</t>
  </si>
  <si>
    <t>Standard_M16-4ms</t>
  </si>
  <si>
    <t>Standard_M16-8ms</t>
  </si>
  <si>
    <t>Standard_M16ms</t>
  </si>
  <si>
    <t>Standard_M32-8ms</t>
  </si>
  <si>
    <t>Standard_M32-16ms</t>
  </si>
  <si>
    <t>Standard_M32ls</t>
  </si>
  <si>
    <t>Standard_M32ms</t>
  </si>
  <si>
    <t>Standard_M32ts</t>
  </si>
  <si>
    <t>Standard_M64-16ms</t>
  </si>
  <si>
    <t>Standard_M64-32ms</t>
  </si>
  <si>
    <t>Standard_M64ls</t>
  </si>
  <si>
    <t>Standard_M64ms</t>
  </si>
  <si>
    <t>Standard_M64s</t>
  </si>
  <si>
    <t>Standard_M128-32ms</t>
  </si>
  <si>
    <t>Standard_M128-64ms</t>
  </si>
  <si>
    <t>Standard_M128ms</t>
  </si>
  <si>
    <t>Standard_M128s</t>
  </si>
  <si>
    <t>Standard_M64</t>
  </si>
  <si>
    <t>Standard_M64m</t>
  </si>
  <si>
    <t>Standard_M128</t>
  </si>
  <si>
    <t>Standard_M128m</t>
  </si>
  <si>
    <t xml:space="preserve">Resource Group Name </t>
  </si>
  <si>
    <t>Virtual Network (VNET)</t>
  </si>
  <si>
    <t>HostName Prefix</t>
  </si>
  <si>
    <t>Generated FlashGrid VM Name</t>
  </si>
  <si>
    <t>Domain Name</t>
  </si>
  <si>
    <t>DNS Servers List(comma separated)</t>
  </si>
  <si>
    <t>Application Security Group
Name</t>
  </si>
  <si>
    <t>Storage Account Name</t>
  </si>
  <si>
    <t>Blob Storage URL(To copy software)</t>
  </si>
  <si>
    <t>Scan Listener Port</t>
  </si>
  <si>
    <t>Local Listener Port2</t>
  </si>
  <si>
    <t>Alerts Notification Email Address</t>
  </si>
  <si>
    <t>Support Contact name(First Name Last Name)</t>
  </si>
  <si>
    <t>Company Name</t>
  </si>
  <si>
    <t>Email Address</t>
  </si>
  <si>
    <t>Tag Key Value</t>
  </si>
  <si>
    <t>Notes</t>
  </si>
  <si>
    <t>appfbperodb</t>
  </si>
  <si>
    <t>appfbpf2odb01</t>
  </si>
  <si>
    <t>10.98.8.4, 10.98.8.5</t>
  </si>
  <si>
    <t>https://stnppmgtodb002.blob.core.windows.net/dxcdbsoftware/</t>
  </si>
  <si>
    <t>email_to_addrs = ['DL_RedRock_MgdSrv_ADHA@dxc.com']</t>
  </si>
  <si>
    <t>Abigail Tamsi</t>
  </si>
  <si>
    <t>ADHA</t>
  </si>
  <si>
    <t>appfbpf2odb02</t>
  </si>
  <si>
    <t>appfbpf2odb03</t>
  </si>
  <si>
    <t>appfbpf2odb06</t>
  </si>
  <si>
    <t>appfbpf2odb07</t>
  </si>
  <si>
    <t>appfbpf2odb08</t>
  </si>
  <si>
    <t>appfbpf2odb11</t>
  </si>
  <si>
    <t>appfbpf2odb12</t>
  </si>
  <si>
    <t>appfbpf2odb13</t>
  </si>
  <si>
    <t>Selected Network</t>
  </si>
  <si>
    <t>Storage Account 
Resource Groups</t>
  </si>
  <si>
    <t>Storage Account
Name</t>
  </si>
  <si>
    <t>Redundancy</t>
  </si>
  <si>
    <t>Storage Class</t>
  </si>
  <si>
    <t>Virtual Network
Reosurce Group</t>
  </si>
  <si>
    <t>Virtual Network
(CIDR)</t>
  </si>
  <si>
    <t>Subnet
(CIDR)</t>
  </si>
  <si>
    <t>Private EndPoint</t>
  </si>
  <si>
    <t>NPE Shared Storage:</t>
  </si>
  <si>
    <t>Environment: "Prod"
support group: "DXC CloudOps</t>
  </si>
  <si>
    <t>Non-Prod	/t3_nfs_1	8TB	 	 	 		Non-Prod
Non-Prod services	/t3_yum_np	50G	 	 	 		Non-Prod
Non-Prod services	/t4_dlpos_np 	100GB	 	 	 		Non-Prod
Non-Prod	/t4_nfs_1	3.0T 	 	 	 		Non-Prod
Non-Prod services CONFLUENCE and JIRA	/filestorage	200GB	/apps/nfs/filestorage	 	 		Non-Prod</t>
  </si>
  <si>
    <t>ANF Name</t>
  </si>
  <si>
    <t>Capacity Pool</t>
  </si>
  <si>
    <t>CMO Export</t>
  </si>
  <si>
    <t>FMO Volume Name</t>
  </si>
  <si>
    <t>FMO File Path</t>
  </si>
  <si>
    <t>FMO Mount Path Estimated</t>
  </si>
  <si>
    <t>Required Quota (GB)</t>
  </si>
  <si>
    <t>Configured Quota (GB)</t>
  </si>
  <si>
    <t>ThroughputMiBps Override</t>
  </si>
  <si>
    <t>DisableSnapshots</t>
  </si>
  <si>
    <t>FMO Export Clients</t>
  </si>
  <si>
    <t>FMO Export Override</t>
  </si>
  <si>
    <t>FMO Single VM IP</t>
  </si>
  <si>
    <t>FMO Export Vnet IPs</t>
  </si>
  <si>
    <t>FMO Export Subnet IPs</t>
  </si>
  <si>
    <t>FMO Export Service IPs</t>
  </si>
  <si>
    <t>FMO Export Clients Calculated</t>
  </si>
  <si>
    <t>FMO Export Summary</t>
  </si>
  <si>
    <t>Note</t>
  </si>
  <si>
    <t>Status</t>
  </si>
  <si>
    <t>Actual Mount Info</t>
  </si>
  <si>
    <t>Prospective throughput</t>
  </si>
  <si>
    <t>Delta from default</t>
  </si>
  <si>
    <t>anf-npp-mgt-aue-001</t>
  </si>
  <si>
    <t>anfcp-premium-mgt-aue-002</t>
  </si>
  <si>
    <t>10.18.18.1:/export/nonp_stage_vm_nfs_01/common_t3_nfs_1</t>
  </si>
  <si>
    <t>t3_nfs_1</t>
  </si>
  <si>
    <t>/t3_nfs_1</t>
  </si>
  <si>
    <t>All non-prod</t>
  </si>
  <si>
    <t>Shared by all non-prod VMs</t>
  </si>
  <si>
    <t>10.98.89.4:/t3-nfs-1 /t3_nfs_1</t>
  </si>
  <si>
    <t>10.18.16.2:/export/nonp_stage_vm_nfs_02/common_t4_nfs_1</t>
  </si>
  <si>
    <t>t4_nfs_1</t>
  </si>
  <si>
    <t>/t4_nfs_1</t>
  </si>
  <si>
    <t>10.98.89.4:/t4-nfs-1 /t4_nfs_1</t>
  </si>
  <si>
    <t>10.18.16.1:/export/nonp_t1_vm_nfs_01/common_npt1qzone</t>
  </si>
  <si>
    <t>npt1qzone</t>
  </si>
  <si>
    <t>/apps/nfs/npt1qzone</t>
  </si>
  <si>
    <t>NonProd Tier1 OAG, MOB, OCR &amp; FHI</t>
  </si>
  <si>
    <t>10.98.89.4:/npt1qzone /apps/nfs/npt1qzone</t>
  </si>
  <si>
    <t>anfcp-ultra-mgt-aue-001</t>
  </si>
  <si>
    <t>10.18.18.2:/export/nonp_t2_vm_nfs_02/common_npt2qzone</t>
  </si>
  <si>
    <t>npt2qzone_pfb</t>
  </si>
  <si>
    <t>NonProd Tier2 OSB, DCX, DCR &amp; CRP</t>
  </si>
  <si>
    <t>10.18.91.1:/export/perf_t1_vm_nfs_01/common_pft1qzone</t>
  </si>
  <si>
    <t>pft1qzone_pfb</t>
  </si>
  <si>
    <t>Performance Tier 1</t>
  </si>
  <si>
    <t>10.18.93.2:/export/perf_t2_vm_nfs_02/common_pft2qzone</t>
  </si>
  <si>
    <t>pft2qzone_pfb</t>
  </si>
  <si>
    <t>Performance Tier 2</t>
  </si>
  <si>
    <t>10.18.93.2:/export/perf_t2_vm_nfs_02/t2_portal_perf</t>
  </si>
  <si>
    <t>t2_portal_pfb</t>
  </si>
  <si>
    <t>/apps/nfs/t2_portal_pfb</t>
  </si>
  <si>
    <t>Performance AEP Portal</t>
  </si>
  <si>
    <t>10.18.91.2:/export/perf_t2_vm_nfs_02/common_t2_shareq_perf</t>
  </si>
  <si>
    <t>t2_shareq_pfb</t>
  </si>
  <si>
    <t>/apps/nfs/t2_shareq_pfb</t>
  </si>
  <si>
    <t>yes</t>
  </si>
  <si>
    <t>NonProd OSB, DCX, DCR and CRP</t>
  </si>
  <si>
    <t>This volume features a rapid change rate; snapshots will be disabled.</t>
  </si>
  <si>
    <t>capa01:NONP_BACKUP_EXADATA_NFS_01/backup1</t>
  </si>
  <si>
    <t>backup1</t>
  </si>
  <si>
    <t>/backup1</t>
  </si>
  <si>
    <t>db subnets, tba</t>
  </si>
  <si>
    <t>10.96.57.0/26,10.96.56.240</t>
  </si>
  <si>
    <t>10.98.89.5:/backup1 /backup1</t>
  </si>
  <si>
    <t>capa02:NONP_BACKUP_EXADATA_NFS_02/backup2</t>
  </si>
  <si>
    <t>backup2</t>
  </si>
  <si>
    <t>/backup2</t>
  </si>
  <si>
    <t>10.98.89.5:/backup2 /backup2</t>
  </si>
  <si>
    <t>10.18.93.2:/export/perf_t2_vm_nfs_02/ehgpfbasaep01_apps_pcehr</t>
  </si>
  <si>
    <t>vmpfbpf2aep01_apps_pcehr</t>
  </si>
  <si>
    <t>/apps/pcehr</t>
  </si>
  <si>
    <t>Single VM</t>
  </si>
  <si>
    <t>Overarching uplift to 12.8 minimum</t>
  </si>
  <si>
    <t>10.98.89.5:/vmpfbpf2aep01-apps-pcehr /apps/pcehr</t>
  </si>
  <si>
    <t>10.18.93.2:/export/perf_t2_vm_nfs_02/ehgpfbasaep02_apps_pcehr</t>
  </si>
  <si>
    <t>vmpfbpf2aep02_apps_pcehr</t>
  </si>
  <si>
    <t>10.98.89.5:/vmpfbpf2aep02-apps-pcehr /apps/pcehr</t>
  </si>
  <si>
    <t>10.18.93.2:/export/perf_t2_vm_nfs_02/ehgpfbasaep03_apps_pcehr</t>
  </si>
  <si>
    <t>vmpfbpf2aep03_apps_pcehr</t>
  </si>
  <si>
    <t>10.98.89.5:/vmpfbpf2aep03-apps-pcehr /apps/pcehr</t>
  </si>
  <si>
    <t>10.18.93.2:/export/perf_t2_vm_nfs_02/ehgpfbasaep04_apps_pcehr</t>
  </si>
  <si>
    <t>vmpfbpf2aep04_apps_pcehr</t>
  </si>
  <si>
    <t>10.98.89.6:/vmpfbpf2aep04-apps-pcehr /apps/pcehr</t>
  </si>
  <si>
    <t>10.18.93.2:/export/perf_t2_vm_nfs_02/ehgpfbasaep05_apps_pcehr</t>
  </si>
  <si>
    <t>vmpfbpf2aep05_apps_pcehr</t>
  </si>
  <si>
    <t>10.98.89.6:/vmpfbpf2aep05-apps-pcehr /apps/pcehr</t>
  </si>
  <si>
    <t>10.18.93.2:/export/perf_t2_vm_nfs_02/ehgpfbasaep06_apps_pcehr</t>
  </si>
  <si>
    <t>vmpfbpf2aep06_apps_pcehr</t>
  </si>
  <si>
    <t>10.98.89.5:/vmpfbpf2aep06-apps-pcehr /apps/pcehr</t>
  </si>
  <si>
    <t>10.18.91.1:/export/perf_t1_vm_nfs_01/ehgpfbwsaho01_apps_pcehr</t>
  </si>
  <si>
    <t>vmpfbpf2aho01_apps_pcehr</t>
  </si>
  <si>
    <t>10.98.89.5:/vmpfbpf2aho01-apps-pcehr /apps/pcehr</t>
  </si>
  <si>
    <t>10.18.91.1:/export/perf_t1_vm_nfs_01/ehgpfbwsaho02_apps_pcehr</t>
  </si>
  <si>
    <t>vmpfbpf2aho02_apps_pcehr</t>
  </si>
  <si>
    <t>10.98.89.5:/vmpfbpf2aho02-apps-pcehr /apps/pcehr</t>
  </si>
  <si>
    <t>10.18.91.1:/export/perf_t1_vm_nfs_01/ehgpfbwsaho03_apps_pcehr</t>
  </si>
  <si>
    <t>vmpfbpf2aho03_apps_pcehr</t>
  </si>
  <si>
    <t>10.98.89.5:/vmpfbpf2aho03-apps-pcehr /apps/pcehr</t>
  </si>
  <si>
    <t>10.18.91.1:/export/perf_t1_vm_nfs_01/ehgpfbwsaho04_apps_pcehr</t>
  </si>
  <si>
    <t>vmpfbpf2aho04_apps_pcehr</t>
  </si>
  <si>
    <t>10.98.89.6:/vmpfbpf2aho04-apps-pcehr /apps/pcehr</t>
  </si>
  <si>
    <t>10.18.93.2:/export/perf_t2_vm_nfs_02/ehgpfbascrp01_apps_pcehr</t>
  </si>
  <si>
    <t>vmpfbpf2crp01_apps_pcehr</t>
  </si>
  <si>
    <t>Uplifted for deployment performance</t>
  </si>
  <si>
    <t>10.98.89.5:/vmpfbpf2crp01-apps-pcehr /apps/pcehr</t>
  </si>
  <si>
    <t>10.18.93.2:/export/perf_t2_vm_nfs_02/ehgpfbascrp02_apps_pcehr</t>
  </si>
  <si>
    <t>vmpfbpf2crp02_apps_pcehr</t>
  </si>
  <si>
    <t>10.98.89.5:/vmpfbpf2crp02-apps-pcehr /apps/pcehr</t>
  </si>
  <si>
    <t>10.18.93.2:/export/perf_t2_vm_nfs_02/ehgpfbascrp03_apps_pcehr</t>
  </si>
  <si>
    <t>vmpfbpf2crp03_apps_pcehr</t>
  </si>
  <si>
    <t>10.98.89.5:/vmpfbpf2crp03-apps-pcehr /apps/pcehr</t>
  </si>
  <si>
    <t>10.18.93.2:/export/perf_t2_vm_nfs_02/ehgpfbascrp04_apps_pcehr</t>
  </si>
  <si>
    <t>vmpfbpf2crp04_apps_pcehr</t>
  </si>
  <si>
    <t>10.98.89.5:/vmpfbpf2crp04-apps-pcehr /apps/pcehr</t>
  </si>
  <si>
    <t>10.18.93.2:/export/perf_t2_vm_nfs_02/ehgpfbascrp05_apps_pcehr</t>
  </si>
  <si>
    <t>vmpfbpf2crp05_apps_pcehr</t>
  </si>
  <si>
    <t>10.98.89.5:/vmpfbpf2crp05-apps-pcehr /apps/pcehr</t>
  </si>
  <si>
    <t>10.18.93.2:/export/perf_t2_vm_nfs_02/ehgpfbascrp06_apps_pcehr</t>
  </si>
  <si>
    <t>vmpfbpf2crp06_apps_pcehr</t>
  </si>
  <si>
    <t>10.98.89.5:/vmpfbpf2crp06-apps-pcehr /apps/pcehr</t>
  </si>
  <si>
    <t>10.18.93.2:/export/perf_t2_vm_nfs_02/ehgpfbascrp07_apps_pcehr</t>
  </si>
  <si>
    <t>vmpfbpf2crp07_apps_pcehr</t>
  </si>
  <si>
    <t>10.98.89.5:/vmpfbpf2crp07-apps-pcehr /apps/pcehr</t>
  </si>
  <si>
    <t>10.18.93.2:/export/perf_t2_vm_nfs_02/ehgpfbascrp08_apps_pcehr</t>
  </si>
  <si>
    <t>vmpfbpf2crp08_apps_pcehr</t>
  </si>
  <si>
    <t>10.98.89.5:/vmpfbpf2crp08-apps-pcehr /apps/pcehr</t>
  </si>
  <si>
    <t>10.18.93.2:/export/perf_t2_vm_nfs_02/ehgpfbasdcr01_apps_pcehr</t>
  </si>
  <si>
    <t>vmpfbpf2dcr01_apps_pcehr</t>
  </si>
  <si>
    <t>10.98.89.5:/vmpfbpf2dcr01-apps-pcehr /apps/pcehr</t>
  </si>
  <si>
    <t>10.18.93.2:/export/perf_t2_vm_nfs_02/ehgpfbasdcr02_apps_pcehr</t>
  </si>
  <si>
    <t>vmpfbpf2dcr02_apps_pcehr</t>
  </si>
  <si>
    <t>Uplifted to smooth hourly spikes</t>
  </si>
  <si>
    <t>10.98.89.5:/vmpfbpf2dcr02-apps-pcehr /apps/pcehr</t>
  </si>
  <si>
    <t>10.18.93.2:/export/perf_t2_vm_nfs_02/ehgpfbasdcr03_apps_pcehr</t>
  </si>
  <si>
    <t>vmpfbpf2dcr03_apps_pcehr</t>
  </si>
  <si>
    <t>10.98.89.5:/vmpfbpf2dcr03-apps-pcehr /apps/pcehr</t>
  </si>
  <si>
    <t>10.18.93.2:/export/perf_t2_vm_nfs_02/ehgpfbasdcx01_apps_pcehr</t>
  </si>
  <si>
    <t>vmpfbpf2dcx01_apps_pcehr</t>
  </si>
  <si>
    <t>10.98.89.5:/vmpfbpf2dcx01-apps-pcehr /apps/pcehr</t>
  </si>
  <si>
    <t>10.18.93.2:/export/perf_t2_vm_nfs_02/ehgpfbasdcx02_apps_pcehr</t>
  </si>
  <si>
    <t>vmpfbpf2dcx02_apps_pcehr</t>
  </si>
  <si>
    <t>10.98.89.5:/vmpfbpf2dcx02-apps-pcehr /apps/pcehr</t>
  </si>
  <si>
    <t>10.18.93.2:/export/perf_t2_vm_nfs_02/ehgpfbasdcx03_apps_pcehr</t>
  </si>
  <si>
    <t>vmpfbpf2dcx03_apps_pcehr</t>
  </si>
  <si>
    <t>10.98.89.5:/vmpfbpf2dcx03-apps-pcehr /apps/pcehr</t>
  </si>
  <si>
    <t>10.18.93.2:/export/perf_t2_vm_nfs_02/ehgpfbasdcx04_apps_pcehr</t>
  </si>
  <si>
    <t>vmpfbpf2dcx04_apps_pcehr</t>
  </si>
  <si>
    <t>10.98.89.5:/vmpfbpf2dcx04-apps-pcehr /apps/pcehr</t>
  </si>
  <si>
    <t>10.18.93.2:/export/perf_t2_vm_nfs_02/ehgpfbasdcx05_apps_pcehr</t>
  </si>
  <si>
    <t>vmpfbpf2dcx05_apps_pcehr</t>
  </si>
  <si>
    <t>10.98.89.5:/vmpfbpf2dcx05-apps-pcehr /apps/pcehr</t>
  </si>
  <si>
    <t>10.18.93.2:/export/perf_t2_vm_nfs_02/ehgpfbasdcx06_apps_pcehr</t>
  </si>
  <si>
    <t>vmpfbpf2dcx06_apps_pcehr</t>
  </si>
  <si>
    <t>10.98.89.5:/vmpfbpf2dcx06-apps-pcehr /apps/pcehr</t>
  </si>
  <si>
    <t>10.18.93.2:/export/perf_t2_vm_nfs_02/ehgpfbasdcx07_apps_pcehr</t>
  </si>
  <si>
    <t>vmpfbpf2dcx07_apps_pcehr</t>
  </si>
  <si>
    <t>10.98.89.5:/vmpfbpf2dcx07-apps-pcehr /apps/pcehr</t>
  </si>
  <si>
    <t>10.18.93.2:/export/perf_t2_vm_nfs_02/ehgpfbasdcx08_apps_pcehr</t>
  </si>
  <si>
    <t>vmpfbpf2dcx08_apps_pcehr</t>
  </si>
  <si>
    <t>10.98.89.5:/vmpfbpf2dcx08-apps-pcehr /apps/pcehr</t>
  </si>
  <si>
    <t>10.18.93.2:/export/perf_t2_vm_nfs_02/ehgpfbasdcx09_apps_pcehr</t>
  </si>
  <si>
    <t>vmpfbpf2dcx09_apps_pcehr</t>
  </si>
  <si>
    <t>10.98.89.5:/vmpfbpf2dcx09-apps-pcehr /apps/pcehr</t>
  </si>
  <si>
    <t>10.18.93.2:/export/perf_t2_vm_nfs_02/ehgpfbasdcx10_apps_pcehr</t>
  </si>
  <si>
    <t>vmpfbpf2dcx10_apps_pcehr</t>
  </si>
  <si>
    <t>10.98.89.5:/vmpfbpf2dcx10-apps-pcehr /apps/pcehr</t>
  </si>
  <si>
    <t>10.18.93.2:/export/perf_t2_vm_nfs_02/ehgpfbasdsm01_apps_pcehr</t>
  </si>
  <si>
    <t>vmpfbpf2dsm01_apps_pcehr</t>
  </si>
  <si>
    <t>10.98.89.6:/vmpfbpf2dsm01-apps-pcehr /apps/pcehr</t>
  </si>
  <si>
    <t>10.18.91.1:/export/perf_t1_vm_nfs_01/ehgpfbwsfhi01_apps_pcehr</t>
  </si>
  <si>
    <t>vmpfbpf2fhi01_apps_pcehr</t>
  </si>
  <si>
    <t>Uplifted due to observed throughput requirement in perf load testing</t>
  </si>
  <si>
    <t>10.98.89.5:/vmpfbpf2hi01-apps-pcehr /apps/pcehr</t>
  </si>
  <si>
    <t>10.18.91.1:/export/perf_t1_vm_nfs_01/ehgpfbwsfhi02_apps_pcehr</t>
  </si>
  <si>
    <t>vmpfbpf2fhi02_apps_pcehr</t>
  </si>
  <si>
    <t>10.98.89.5:/vmpfbpf2hi02-apps-pcehr /apps/pcehr</t>
  </si>
  <si>
    <t>10.18.91.1:/export/perf_t1_vm_nfs_01/ehgpfbwsfhi03_apps_pcehr</t>
  </si>
  <si>
    <t>vmpfbpf2fhi03_apps_pcehr</t>
  </si>
  <si>
    <t>10.98.89.5:/vmpfbpf2hi03-apps-pcehr /apps/pcehr</t>
  </si>
  <si>
    <t>10.18.91.1:/export/perf_t1_vm_nfs_01/ehgpfbwsfhi04_apps_pcehr</t>
  </si>
  <si>
    <t>vmpfbpf2fhi04_apps_pcehr</t>
  </si>
  <si>
    <t>10.98.89.5:/vmpfbpf2hi04-apps-pcehr /apps/pcehr</t>
  </si>
  <si>
    <t>10.18.93.2:/export/perf_t2_vm_nfs_02/ehgpfbashdr01_apps_pcehr</t>
  </si>
  <si>
    <t>vmpfbpf2hdr01_apps_pcehr</t>
  </si>
  <si>
    <t>Uplifted for deployment performance and to smooth spikes in GetDocument</t>
  </si>
  <si>
    <t>10.98.89.5:/vmpfbpf2hdr01-apps-pcehr /apps/pcehr</t>
  </si>
  <si>
    <t>10.18.93.2:/export/perf_t2_vm_nfs_02/ehgpfbashdr02_apps_pcehr</t>
  </si>
  <si>
    <t>vmpfbpf2hdr02_apps_pcehr</t>
  </si>
  <si>
    <t>Uplifted to smooth spikes in GetDocument</t>
  </si>
  <si>
    <t>10.98.89.5:/vmpfbpf2hdr02-apps-pcehr /apps/pcehr</t>
  </si>
  <si>
    <t>10.18.93.2:/export/perf_t2_vm_nfs_02/ehgpfbashdr03_apps_pcehr</t>
  </si>
  <si>
    <t>vmpfbpf2hdr03_apps_pcehr</t>
  </si>
  <si>
    <t>10.98.89.6:/vmpfbpf2hdr03-apps-pcehr /apps/pcehr</t>
  </si>
  <si>
    <t>10.18.93.2:/export/perf_t2_vm_nfs_02/ehgpfbashdr04_apps_pcehr</t>
  </si>
  <si>
    <t>vmpfbpf2hdr04_apps_pcehr</t>
  </si>
  <si>
    <t>10.98.89.5:/vmpfbpf2hdr04-apps-pcehr /apps/pcehr</t>
  </si>
  <si>
    <t>10.18.93.2:/export/perf_t2_vm_nfs_02/ehgpfbashdr05_apps_pcehr</t>
  </si>
  <si>
    <t>vmpfbpf2hdr05_apps_pcehr</t>
  </si>
  <si>
    <t>10.98.89.5:/vmpfbpf2hdr05-apps-pcehr /apps/pcehr</t>
  </si>
  <si>
    <t>10.18.93.2:/export/perf_t2_vm_nfs_02/ehgpfbashdr06_apps_pcehr</t>
  </si>
  <si>
    <t>vmpfbpf2hdr06_apps_pcehr</t>
  </si>
  <si>
    <t>10.98.89.6:/vmpfbpf2hdr06-apps-pcehr /apps/pcehr</t>
  </si>
  <si>
    <t>10.18.93.2:/export/perf_t2_vm_nfs_02/ehgpfbashdr07_apps_pcehr</t>
  </si>
  <si>
    <t>vmpfbpf2hdr07_apps_pcehr</t>
  </si>
  <si>
    <t>10.98.89.5:/vmpfbpf2hdr07-apps-pcehr /apps/pcehr</t>
  </si>
  <si>
    <t>10.18.93.2:/export/perf_t2_vm_nfs_02/ehgpfbashdr08_apps_pcehr</t>
  </si>
  <si>
    <t>vmpfbpf2hdr08_apps_pcehr</t>
  </si>
  <si>
    <t>10.98.89.5:/vmpfbpf2hdr08-apps-pcehr /apps/pcehr</t>
  </si>
  <si>
    <t>10.18.93.2:/export/perf_t2_vm_nfs_02/ehgpfbashdr09_apps_pcehr</t>
  </si>
  <si>
    <t>vmpfbpf2hdr09_apps_pcehr</t>
  </si>
  <si>
    <t>10.98.89.5:/vmpfbpf2hdr09-apps-pcehr /apps/pcehr</t>
  </si>
  <si>
    <t>10.18.93.2:/export/perf_t2_vm_nfs_02/ehgpfbashdr10_apps_pcehr</t>
  </si>
  <si>
    <t>vmpfbpf2hdr10_apps_pcehr</t>
  </si>
  <si>
    <t>10.98.89.5:/vmpfbpf2hdr10-apps-pcehr /apps/pcehr</t>
  </si>
  <si>
    <t>10.18.93.2:/export/perf_t2_vm_nfs_02/ehgpfbashdr11_apps_pcehr</t>
  </si>
  <si>
    <t>vmpfbpf2hdr11_apps_pcehr</t>
  </si>
  <si>
    <t>10.98.89.5:/vmpfbpf2hdr11-apps-pcehr /apps/pcehr</t>
  </si>
  <si>
    <t>10.18.93.2:/export/perf_t2_vm_nfs_02/ehgpfbashdr12_apps_pcehr</t>
  </si>
  <si>
    <t>vmpfbpf2hdr12_apps_pcehr</t>
  </si>
  <si>
    <t>10.98.89.5:/vmpfbpf2hdr12-apps-pcehr /apps/pcehr</t>
  </si>
  <si>
    <t>10.18.93.2:/export/perf_t2_vm_nfs_02/ehgpfbashdr13_apps_pcehr</t>
  </si>
  <si>
    <t>vmpfbpf2hdr13_apps_pcehr</t>
  </si>
  <si>
    <t>10.98.89.5:/vmpfbpf2hdr13-apps-pcehr /apps/pcehr</t>
  </si>
  <si>
    <t>10.18.93.2:/export/perf_t2_vm_nfs_02/ehgpfbashdr14_apps_pcehr</t>
  </si>
  <si>
    <t>vmpfbpf2hdr14_apps_pcehr</t>
  </si>
  <si>
    <t>10.98.89.5:/vmpfbpf2hdr14-apps-pcehr /apps/pcehr</t>
  </si>
  <si>
    <t>10.18.93.2:/export/perf_t2_vm_nfs_02/ehgpfbashdr15_apps_pcehr</t>
  </si>
  <si>
    <t>vmpfbpf2hdr15_apps_pcehr</t>
  </si>
  <si>
    <t>10.98.89.5:/vmpfbpf2hdr15-apps-pcehr /apps/pcehr</t>
  </si>
  <si>
    <t>10.18.93.2:/export/perf_t2_vm_nfs_02/ehgpfbashdr16_apps_pcehr</t>
  </si>
  <si>
    <t>vmpfbpf2hdr16_apps_pcehr</t>
  </si>
  <si>
    <t>10.98.89.5:/vmpfbpf2hdr16-apps-pcehr /apps/pcehr</t>
  </si>
  <si>
    <t>10.18.93.2:/export/perf_t2_vm_nfs_02/ehgpfbashdr17_apps_pcehr</t>
  </si>
  <si>
    <t>vmpfbpf2hdr17_apps_pcehr</t>
  </si>
  <si>
    <t>10.98.89.5:/vmpfbpf2hdr17-apps-pcehr /apps/pcehr</t>
  </si>
  <si>
    <t>10.18.93.2:/export/perf_t2_vm_nfs_02/ehgpfbashdr18_apps_pcehr</t>
  </si>
  <si>
    <t>vmpfbpf2hdr18_apps_pcehr</t>
  </si>
  <si>
    <t>10.98.89.5:/vmpfbpf2hdr18-apps-pcehr /apps/pcehr</t>
  </si>
  <si>
    <t>10.18.93.2:/export/perf_t2_vm_nfs_02/ehgpfbashdr19_apps_pcehr</t>
  </si>
  <si>
    <t>vmpfbpf2hdr19_apps_pcehr</t>
  </si>
  <si>
    <t>10.98.89.5:/vmpfbpf2hdr19-apps-pcehr /apps/pcehr</t>
  </si>
  <si>
    <t>10.18.93.2:/export/perf_t2_vm_nfs_02/ehgpfbashdr20_apps_pcehr</t>
  </si>
  <si>
    <t>vmpfbpf2hdr20_apps_pcehr</t>
  </si>
  <si>
    <t>10.98.89.5:/vmpfbpf2hdr20-apps-pcehr /apps/pcehr</t>
  </si>
  <si>
    <t>10.18.93.2:/export/perf_t2_vm_nfs_02/ehgpfbashdr21_apps_pcehr</t>
  </si>
  <si>
    <t>vmpfbpf2hdr21_apps_pcehr</t>
  </si>
  <si>
    <t>10.98.89.5:/vmpfbpf2hdr21-apps-pcehr /apps/pcehr</t>
  </si>
  <si>
    <t>10.18.93.2:/export/perf_t2_vm_nfs_02/ehgpfbashdr22_apps_pcehr</t>
  </si>
  <si>
    <t>vmpfbpf2hdr22_apps_pcehr</t>
  </si>
  <si>
    <t>10.98.89.5:/vmpfbpf2hdr22-apps-pcehr /apps/pcehr</t>
  </si>
  <si>
    <t>10.18.93.2:/export/perf_t2_vm_nfs_02/ehgpfbashmr01_apps_pcehr</t>
  </si>
  <si>
    <t>vmpfbpf2hmr01_apps_pcehr</t>
  </si>
  <si>
    <t>10.98.89.5:/vmpfbpf2hmr01-apps-pcehr /apps/pcehr</t>
  </si>
  <si>
    <t>10.18.93.2:/export/perf_t2_vm_nfs_02/ehgpfbashmr02_apps_pcehr</t>
  </si>
  <si>
    <t>vmpfbpf2hmr02_apps_pcehr</t>
  </si>
  <si>
    <t>10.98.89.5:/vmpfbpf2hmr02-apps-pcehr /apps/pcehr</t>
  </si>
  <si>
    <t>10.18.93.2:/export/perf_t2_vm_nfs_02/ehgpfbashmr03_apps_pcehr</t>
  </si>
  <si>
    <t>vmpfbpf2hmr03_apps_pcehr</t>
  </si>
  <si>
    <t>10.98.89.5:/vmpfbpf2hmr03-apps-pcehr /apps/pcehr</t>
  </si>
  <si>
    <t>10.18.93.2:/export/perf_t2_vm_nfs_02/ehgpfbashmr04_apps_pcehr</t>
  </si>
  <si>
    <t>vmpfbpf2hmr04_apps_pcehr</t>
  </si>
  <si>
    <t>10.98.89.5:/vmpfbpf2hmr04-apps-pcehr /apps/pcehr</t>
  </si>
  <si>
    <t>10.18.93.2:/export/perf_t2_vm_nfs_02/ehgpfbashmr05_apps_pcehr</t>
  </si>
  <si>
    <t>vmpfbpf2hmr05_apps_pcehr</t>
  </si>
  <si>
    <t>10.98.89.5:/vmpfbpf2hmr05-apps-pcehr /apps/pcehr</t>
  </si>
  <si>
    <t>10.18.93.2:/export/perf_t2_vm_nfs_02/ehgpfbashmr06_apps_pcehr</t>
  </si>
  <si>
    <t>vmpfbpf2hmr06_apps_pcehr</t>
  </si>
  <si>
    <t>10.98.89.6:/vmpfbpf2hmr06-apps-pcehr /apps/pcehr</t>
  </si>
  <si>
    <t>10.18.93.2:/export/perf_t2_vm_nfs_02/ehgpfbashmr07_apps_pcehr</t>
  </si>
  <si>
    <t>vmpfbpf2hmr07_apps_pcehr</t>
  </si>
  <si>
    <t>10.98.89.5:/vmpfbpf2hmr07-apps-pcehr /apps/pcehr</t>
  </si>
  <si>
    <t>10.18.93.2:/export/perf_t2_vm_nfs_02/ehgpfbashmr08_apps_pcehr</t>
  </si>
  <si>
    <t>vmpfbpf2hmr08_apps_pcehr</t>
  </si>
  <si>
    <t>10.98.89.5:/vmpfbpf2hmr08-apps-pcehr /apps/pcehr</t>
  </si>
  <si>
    <t>10.18.93.2:/export/perf_t2_vm_nfs_02/ehgpfbashmr09_apps_pcehr</t>
  </si>
  <si>
    <t>vmpfbpf2hmr09_apps_pcehr</t>
  </si>
  <si>
    <t>10.98.89.5:/vmpfbpf2hmr09-apps-pcehr /apps/pcehr</t>
  </si>
  <si>
    <t>10.18.93.2:/export/perf_t2_vm_nfs_02/ehgpfbashmr10_apps_pcehr</t>
  </si>
  <si>
    <t>vmpfbpf2hmr10_apps_pcehr</t>
  </si>
  <si>
    <t>10.98.89.5:/vmpfbpf2hmr10-apps-pcehr /apps/pcehr</t>
  </si>
  <si>
    <t>10.18.91.1:/export/perf_t1_vm_nfs_01/ehgpfbwsoag01_apps_pcehr</t>
  </si>
  <si>
    <t>vmpfbpf2oag01_apps_pcehr</t>
  </si>
  <si>
    <t>10.98.89.5:/vmpfbpf2oag01-apps-pcehr /apps/pcehr</t>
  </si>
  <si>
    <t>10.18.91.1:/export/perf_t1_vm_nfs_01/ehgpfbwsoag02_apps_pcehr</t>
  </si>
  <si>
    <t>vmpfbpf2oag02_apps_pcehr</t>
  </si>
  <si>
    <t>10.98.89.5:/vmpfbpf2oag02-apps-pcehr /apps/pcehr</t>
  </si>
  <si>
    <t>10.18.91.1:/export/perf_t1_vm_nfs_01/ehgpfbwsoag03_apps_pcehr</t>
  </si>
  <si>
    <t>vmpfbpf2oag03_apps_pcehr</t>
  </si>
  <si>
    <t>10.98.89.5:/vmpfbpf2oag03-apps-pcehr /apps/pcehr</t>
  </si>
  <si>
    <t>10.18.91.1:/export/perf_t1_vm_nfs_01/ehgpfbwsoag04_apps_pcehr</t>
  </si>
  <si>
    <t>vmpfbpf2oag04_apps_pcehr</t>
  </si>
  <si>
    <t>10.98.89.5:/vmpfbpf2oag04-apps-pcehr /apps/pcehr</t>
  </si>
  <si>
    <t>10.18.91.1:/export/perf_t1_vm_nfs_01/ehgpfbwsoag05_apps_pcehr</t>
  </si>
  <si>
    <t>vmpfbpf2oag05_apps_pcehr</t>
  </si>
  <si>
    <t>10.98.89.5:/vmpfbpf2oag05-apps-pcehr /apps/pcehr</t>
  </si>
  <si>
    <t>10.18.91.1:/export/perf_t1_vm_nfs_01/ehgpfbwsoag06_apps_pcehr</t>
  </si>
  <si>
    <t>vmpfbpf2oag06_apps_pcehr</t>
  </si>
  <si>
    <t>10.98.89.5:/vmpfbpf2oag06-apps-pcehr /apps/pcehr</t>
  </si>
  <si>
    <t>10.18.93.2:/export/perf_t2_vm_nfs_02/ehgpfbasoam01_apps_pcehr</t>
  </si>
  <si>
    <t>vmpfbpf2oam01_apps_pcehr</t>
  </si>
  <si>
    <t>10.98.89.5:/vmpfbpf2oam01-apps-pcehr /apps/pcehr</t>
  </si>
  <si>
    <t>10.18.93.2:/export/perf_t2_vm_nfs_02/ehgpfbasoam02_apps_pcehr</t>
  </si>
  <si>
    <t>vmpfbpf2oam02_apps_pcehr</t>
  </si>
  <si>
    <t>10.98.89.5:/vmpfbpf2oam02-apps-pcehr /apps/pcehr</t>
  </si>
  <si>
    <t>10.18.93.2:/export/perf_t2_vm_nfs_02/ehgpfbasoam03_apps_pcehr</t>
  </si>
  <si>
    <t>vmpfbpf2oam03_apps_pcehr</t>
  </si>
  <si>
    <t>10.98.89.5:/vmpfbpf2oam03-apps-pcehr /apps/pcehr</t>
  </si>
  <si>
    <t>10.18.93.2:/export/perf_t2_vm_nfs_02/ehgpfbasoam04_apps_pcehr</t>
  </si>
  <si>
    <t>vmpfbpf2oam04_apps_pcehr</t>
  </si>
  <si>
    <t>10.98.89.5:/vmpfbpf2oam04-apps-pcehr /apps/pcehr</t>
  </si>
  <si>
    <t>10.18.93.2:/export/perf_t2_vm_nfs_02/ehgpfbasoam05_apps_pcehr</t>
  </si>
  <si>
    <t>vmpfbpf2oam05_apps_pcehr</t>
  </si>
  <si>
    <t>10.98.89.5:/vmpfbpf2oam05-apps-pcehr /apps/pcehr</t>
  </si>
  <si>
    <t>10.18.93.2:/export/perf_t2_vm_nfs_02/ehgpfbasoam06_apps_pcehr</t>
  </si>
  <si>
    <t>vmpfbpf2oam06_apps_pcehr</t>
  </si>
  <si>
    <t>10.98.89.5:/vmpfbpf2oam06-apps-pcehr /apps/pcehr</t>
  </si>
  <si>
    <t>10.18.91.1:/export/perf_t1_vm_nfs_01/ehgpfbwsocr01_apps_pcehr</t>
  </si>
  <si>
    <t>vmpfbpf2ocr01_apps_pcehr</t>
  </si>
  <si>
    <t>10.98.89.5:/vmpfbpf2ocr01-apps-pcehr /apps/pcehr</t>
  </si>
  <si>
    <t>10.18.91.1:/export/perf_t1_vm_nfs_01/ehgpfbwsocr02_apps_pcehr</t>
  </si>
  <si>
    <t>vmpfbpf2ocr02_apps_pcehr</t>
  </si>
  <si>
    <t>10.98.89.5:/vmpfbpf2ocr02-apps-pcehr /apps/pcehr</t>
  </si>
  <si>
    <t>10.18.91.1:/export/perf_t1_vm_nfs_01/ehgpfbwsocr03_apps_pcehr</t>
  </si>
  <si>
    <t>vmpfbpf2ocr03_apps_pcehr</t>
  </si>
  <si>
    <t>10.98.89.5:/vmpfbpf2ocr03-apps-pcehr /apps/pcehr</t>
  </si>
  <si>
    <t>10.18.91.1:/export/perf_t1_vm_nfs_01/ehgpfbwsocr04_apps_pcehr</t>
  </si>
  <si>
    <t>vmpfbpf2ocr04_apps_pcehr</t>
  </si>
  <si>
    <t>10.98.89.5:/vmpfbpf2ocr04-apps-pcehr /apps/pcehr</t>
  </si>
  <si>
    <t>10.18.91.1:/export/perf_t1_vm_nfs_01/ehgpfbwsocr05_apps_pcehr</t>
  </si>
  <si>
    <t>vmpfbpf2ocr05_apps_pcehr</t>
  </si>
  <si>
    <t>10.98.89.5:/vmpfbpf2ocr05-apps-pcehr /apps/pcehr</t>
  </si>
  <si>
    <t>10.18.91.1:/export/perf_t1_vm_nfs_01/ehgpfbwsocr06_apps_pcehr</t>
  </si>
  <si>
    <t>vmpfbpf2ocr06_apps_pcehr</t>
  </si>
  <si>
    <t>10.98.89.5:/vmpfbpf2ocr06-apps-pcehr /apps/pcehr</t>
  </si>
  <si>
    <t>10.18.93.2:/export/perf_t2_vm_nfs_02/ehgpfbasoes01_apps_pcehr</t>
  </si>
  <si>
    <t>vmpfbpf2oes01_apps_pcehr</t>
  </si>
  <si>
    <t>Throughput only needed for deployment purposes</t>
  </si>
  <si>
    <t>10.98.89.5:/vmpfbpf2oes01-apps-pcehr /apps/pcehr</t>
  </si>
  <si>
    <t>10.18.93.2:/export/perf_t2_vm_nfs_02/ehgpfbasoes02_apps_pcehr</t>
  </si>
  <si>
    <t>vmpfbpf2oes02_apps_pcehr</t>
  </si>
  <si>
    <t>10.98.89.5:/vmpfbpf2oes02-apps-pcehr /apps/pcehr</t>
  </si>
  <si>
    <t>10.18.93.2:/export/perf_t2_vm_nfs_02/ehgpfbasoes03_apps_pcehr</t>
  </si>
  <si>
    <t>vmpfbpf2oes03_apps_pcehr</t>
  </si>
  <si>
    <t>10.98.89.5:/vmpfbpf2oes03-apps-pcehr /apps/pcehr</t>
  </si>
  <si>
    <t>10.18.93.2:/export/perf_t2_vm_nfs_02/ehgpfbasoes04_apps_pcehr</t>
  </si>
  <si>
    <t>vmpfbpf2oes04_apps_pcehr</t>
  </si>
  <si>
    <t>10.98.89.5:/vmpfbpf2oes04-apps-pcehr /apps/pcehr</t>
  </si>
  <si>
    <t>10.18.93.2:/export/perf_t2_vm_nfs_02/ehgpfbasoes05_apps_pcehr</t>
  </si>
  <si>
    <t>vmpfbpf2oes05_apps_pcehr</t>
  </si>
  <si>
    <t>10.98.89.6:/vmpfbpf2oes05-apps-pcehr /apps/pcehr</t>
  </si>
  <si>
    <t>10.18.93.2:/export/perf_t2_vm_nfs_02/ehgpfbasoes06_apps_pcehr</t>
  </si>
  <si>
    <t>vmpfbpf2oes06_apps_pcehr</t>
  </si>
  <si>
    <t>10.98.89.5:/vmpfbpf2oes06-apps-pcehr /apps/pcehr</t>
  </si>
  <si>
    <t>10.18.93.2:/export/perf_t2_vm_nfs_02/ehgpfbasoes07_apps_pcehr</t>
  </si>
  <si>
    <t>vmpfbpf2oes07_apps_pcehr</t>
  </si>
  <si>
    <t>10.98.89.5:/vmpfbpf2oes07-apps-pcehr /apps/pcehr</t>
  </si>
  <si>
    <t>10.18.93.2:/export/perf_t2_vm_nfs_02/ehgpfbasoes08_apps_pcehr</t>
  </si>
  <si>
    <t>vmpfbpf2oes08_apps_pcehr</t>
  </si>
  <si>
    <t>10.98.89.5:/vmpfbpf2oes08-apps-pcehr /apps/pcehr</t>
  </si>
  <si>
    <t>10.18.93.2:/export/perf_t2_vm_nfs_02/ehgpfbasoes09_apps_pcehr</t>
  </si>
  <si>
    <t>vmpfbpf2oes09_apps_pcehr</t>
  </si>
  <si>
    <t>10.98.89.5:/vmpfbpf2oes09-apps-pcehr /apps/pcehr</t>
  </si>
  <si>
    <t>10.18.91.1:/export/perf_t1_vm_nfs_01/ehgpfbwsoha01_apps_pcehr</t>
  </si>
  <si>
    <t>vmpfbpf2oha01_apps_pcehr</t>
  </si>
  <si>
    <t>10.98.89.5:/vmpfbpf2oha01-apps-pcehr /apps/pcehr</t>
  </si>
  <si>
    <t>10.18.91.1:/export/perf_t1_vm_nfs_01/ehgpfbwsoha02_apps_pcehr</t>
  </si>
  <si>
    <t>vmpfbpf2oha02_apps_pcehr</t>
  </si>
  <si>
    <t>10.98.89.5:/vmpfbpf2oha02-apps-pcehr /apps/pcehr</t>
  </si>
  <si>
    <t>10.18.91.1:/export/perf_t1_vm_nfs_01/ehgpfbwsohb01_apps_pcehr</t>
  </si>
  <si>
    <t>vmpfbpf2ohb01_apps_pcehr</t>
  </si>
  <si>
    <t>10.98.89.5:/vmpfbpf2ohb01-apps-pcehr /apps/pcehr</t>
  </si>
  <si>
    <t>10.18.91.1:/export/perf_t1_vm_nfs_01/ehgpfbwsohb02_apps_pcehr</t>
  </si>
  <si>
    <t>vmpfbpf2ohb02_apps_pcehr</t>
  </si>
  <si>
    <t>10.98.89.6:/vmpfbpf2ohb02-apps-pcehr /apps/pcehr</t>
  </si>
  <si>
    <t>10.18.91.1:/export/perf_t1_vm_nfs_01/ehgpfbwsohb03_apps_pcehr</t>
  </si>
  <si>
    <t>vmpfbpf2ohb03_apps_pcehr</t>
  </si>
  <si>
    <t>10.98.89.5:/vmpfbpf2ohb03-apps-pcehr /apps/pcehr</t>
  </si>
  <si>
    <t>10.18.91.1:/export/perf_t1_vm_nfs_01/ehgpfbwsohb04_apps_pcehr</t>
  </si>
  <si>
    <t>vmpfbpf2ohb04_apps_pcehr</t>
  </si>
  <si>
    <t>10.98.89.5:/vmpfbpf2ohb04-apps-pcehr /apps/pcehr</t>
  </si>
  <si>
    <t>10.18.91.1:/export/perf_t1_vm_nfs_01/ehgpfbwsohb05_apps_pcehr</t>
  </si>
  <si>
    <t>vmpfbpf2ohb05_apps_pcehr</t>
  </si>
  <si>
    <t>10.98.89.5:/vmpfbpf2ohb05-apps-pcehr /apps/pcehr</t>
  </si>
  <si>
    <t>10.18.91.1:/export/perf_t1_vm_nfs_01/ehgpfbwsohb06_apps_pcehr</t>
  </si>
  <si>
    <t>vmpfbpf2ohb06_apps_pcehr</t>
  </si>
  <si>
    <t>10.98.89.5:/vmpfbpf2ohb06-apps-pcehr /apps/pcehr</t>
  </si>
  <si>
    <t>10.18.91.1:/export/perf_t1_vm_nfs_01/ehgpfbwsohc01_apps_pcehr</t>
  </si>
  <si>
    <t>vmpfbpf2ohc01_apps_pcehr</t>
  </si>
  <si>
    <t>10.98.89.5:/vmpfbpf2ohc01-apps-pcehr /apps/pcehr</t>
  </si>
  <si>
    <t>10.18.91.1:/export/perf_t1_vm_nfs_01/ehgpfbwsohc02_apps_pcehr</t>
  </si>
  <si>
    <t>vmpfbpf2ohc02_apps_pcehr</t>
  </si>
  <si>
    <t>10.98.89.5:/vmpfbpf2ohc02-apps-pcehr /apps/pcehr</t>
  </si>
  <si>
    <t>10.18.91.1:/export/perf_t1_vm_nfs_01/ehgpfbwsohc03_apps_pcehr</t>
  </si>
  <si>
    <t>vmpfbpf2ohc03_apps_pcehr</t>
  </si>
  <si>
    <t>10.98.89.5:/vmpfbpf2ohc03-apps-pcehr /apps/pcehr</t>
  </si>
  <si>
    <t>10.18.91.1:/export/perf_t1_vm_nfs_01/ehgpfbwsohc04_apps_pcehr</t>
  </si>
  <si>
    <t>vmpfbpf2ohc04_apps_pcehr</t>
  </si>
  <si>
    <t>10.98.89.5:/vmpfbpf2ohc04-apps-pcehr /apps/pcehr</t>
  </si>
  <si>
    <t>10.18.91.1:/export/perf_t1_vm_nfs_01/ehgpfbwsohc05_apps_pcehr</t>
  </si>
  <si>
    <t>vmpfbpf2ohc05_apps_pcehr</t>
  </si>
  <si>
    <t>10.98.89.5:/vmpfbpf2ohc05-apps-pcehr /apps/pcehr</t>
  </si>
  <si>
    <t>10.18.91.1:/export/perf_t1_vm_nfs_01/ehgpfbwsohc06_apps_pcehr</t>
  </si>
  <si>
    <t>vmpfbpf2ohc06_apps_pcehr</t>
  </si>
  <si>
    <t>10.98.89.6:/vmpfbpf2ohc06-apps-pcehr /apps/pcehr</t>
  </si>
  <si>
    <t>10.18.91.1:/export/perf_t1_vm_nfs_01/ehgpfbwsohc07_apps_pcehr</t>
  </si>
  <si>
    <t>vmpfbpf2ohc07_apps_pcehr</t>
  </si>
  <si>
    <t>10.98.89.6:/vmpfbpf2ohc07-apps-pcehr /apps/pcehr</t>
  </si>
  <si>
    <t>10.18.91.1:/export/perf_t1_vm_nfs_01/ehgpfbwsohc08_apps_pcehr</t>
  </si>
  <si>
    <t>vmpfbpf2ohc08_apps_pcehr</t>
  </si>
  <si>
    <t>10.98.89.5:/vmpfbpf2ohc08-apps-pcehr /apps/pcehr</t>
  </si>
  <si>
    <t>10.18.91.1:/export/perf_t1_vm_nfs_01/ehgpfbwsohm01_apps_pcehr</t>
  </si>
  <si>
    <t>vmpfbpf2ohm01_apps_pcehr</t>
  </si>
  <si>
    <t>10.98.89.5:/vmpfbpf2ohm01-apps-pcehr /apps/pcehr</t>
  </si>
  <si>
    <t>10.18.91.1:/export/perf_t1_vm_nfs_01/ehgpfbwsohm02_apps_pcehr</t>
  </si>
  <si>
    <t>vmpfbpf2ohm02_apps_pcehr</t>
  </si>
  <si>
    <t>10.98.89.5:/vmpfbpf2ohm02-apps-pcehr /apps/pcehr</t>
  </si>
  <si>
    <t>10.18.91.1:/export/perf_t1_vm_nfs_01/ehgpfbwsohm03_apps_pcehr</t>
  </si>
  <si>
    <t>vmpfbpf2ohm03_apps_pcehr</t>
  </si>
  <si>
    <t>10.98.89.5:/vmpfbpf2ohm03-apps-pcehr /apps/pcehr</t>
  </si>
  <si>
    <t>10.18.91.1:/export/perf_t1_vm_nfs_01/ehgpfbwsohm04_apps_pcehr</t>
  </si>
  <si>
    <t>vmpfbpf2ohm04_apps_pcehr</t>
  </si>
  <si>
    <t>10.98.89.5:/vmpfbpf2ohm04-apps-pcehr /apps/pcehr</t>
  </si>
  <si>
    <t>10.18.93.2:/export/perf_t2_vm_nfs_02/ehgpfbasoid01_apps_pcehr</t>
  </si>
  <si>
    <t>vmpfbpf2oid01_apps_pcehr</t>
  </si>
  <si>
    <t>10.98.89.5:/vmpfbpf2oid01-apps-pcehr /apps/pcehr</t>
  </si>
  <si>
    <t>10.18.93.2:/export/perf_t2_vm_nfs_02/ehgpfbasoid02_apps_pcehr</t>
  </si>
  <si>
    <t>vmpfbpf2oid02_apps_pcehr</t>
  </si>
  <si>
    <t>10.98.89.5:/vmpfbpf2oid02-apps-pcehr /apps/pcehr</t>
  </si>
  <si>
    <t>10.18.93.2:/export/perf_t2_vm_nfs_02/ehgpfbasoid03_apps_pcehr</t>
  </si>
  <si>
    <t>vmpfbpf2oid03_apps_pcehr</t>
  </si>
  <si>
    <t>10.98.89.5:/vmpfbpf2oid03-apps-pcehr /apps/pcehr</t>
  </si>
  <si>
    <t>10.18.93.2:/export/perf_t2_vm_nfs_02/ehgpfbasoid04_apps_pcehr</t>
  </si>
  <si>
    <t>vmpfbpf2oid04_apps_pcehr</t>
  </si>
  <si>
    <t>10.98.89.5:/vmpfbpf2oid04-apps-pcehr /apps/pcehr</t>
  </si>
  <si>
    <t>10.18.93.2:/export/perf_t2_vm_nfs_02/ehgpfbasoid05_apps_pcehr</t>
  </si>
  <si>
    <t>vmpfbpf2oid05_apps_pcehr</t>
  </si>
  <si>
    <t>10.98.89.5:/vmpfbpf2oid05-apps-pcehr /apps/pcehr</t>
  </si>
  <si>
    <t>10.18.93.2:/export/perf_t2_vm_nfs_02/ehgpfbasoid06_apps_pcehr</t>
  </si>
  <si>
    <t>vmpfbpf2oid06_apps_pcehr</t>
  </si>
  <si>
    <t>10.98.89.5:/vmpfbpf2oid06-apps-pcehr /apps/pcehr</t>
  </si>
  <si>
    <t>10.18.93.2:/export/perf_t2_vm_nfs_02/ehgpfbasoid07_apps_pcehr</t>
  </si>
  <si>
    <t>vmpfbpf2oid07_apps_pcehr</t>
  </si>
  <si>
    <t>10.98.89.5:/vmpfbpf2oid07-apps-pcehr /apps/pcehr</t>
  </si>
  <si>
    <t>10.18.93.2:/export/perf_t2_vm_nfs_02/ehgpfbasoid08_apps_pcehr</t>
  </si>
  <si>
    <t>vmpfbpf2oid08_apps_pcehr</t>
  </si>
  <si>
    <t>10.98.89.5:/vmpfbpf2oid08-apps-pcehr /apps/pcehr</t>
  </si>
  <si>
    <t>10.18.93.2:/export/perf_t2_vm_nfs_02/ehgpfbasoid09_apps_pcehr</t>
  </si>
  <si>
    <t>vmpfbpf2oid09_apps_pcehr</t>
  </si>
  <si>
    <t>10.98.89.5:/vmpfbpf2oid09-apps-pcehr /apps/pcehr</t>
  </si>
  <si>
    <t>10.18.93.2:/export/perf_t2_vm_nfs_02/ehgpfbasoid10_apps_pcehr</t>
  </si>
  <si>
    <t>vmpfbpf2oid10_apps_pcehr</t>
  </si>
  <si>
    <t>10.98.89.5:/vmpfbpf2oid10-apps-pcehr /apps/pcehr</t>
  </si>
  <si>
    <t>10.18.93.2:/export/perf_t2_vm_nfs_02/ehgpfbasolg01_apps_pcehr</t>
  </si>
  <si>
    <t>vmpfbpf2olg01_apps_pcehr</t>
  </si>
  <si>
    <t>Uplifted due to observed throughput requirement in perf load testing; further uploaded for deployment purposes</t>
  </si>
  <si>
    <t>10.98.89.5:/vmpfbpf2olg01-apps-pcehr /apps/pcehr</t>
  </si>
  <si>
    <t>10.18.93.2:/export/perf_t2_vm_nfs_02/ehgpfbasolg02_apps_pcehr</t>
  </si>
  <si>
    <t>vmpfbpf2olg02_apps_pcehr</t>
  </si>
  <si>
    <t>10.98.89.5:/vmpfbpf2olg02-apps-pcehr /apps/pcehr</t>
  </si>
  <si>
    <t>10.18.93.2:/export/perf_t2_vm_nfs_02/ehgpfbasolg03_apps_pcehr</t>
  </si>
  <si>
    <t>vmpfbpf2olg03_apps_pcehr</t>
  </si>
  <si>
    <t>10.98.89.5:/vmpfbpf2olg03-apps-pcehr /apps/pcehr</t>
  </si>
  <si>
    <t>10.18.93.2:/export/perf_t2_vm_nfs_02/ehgpfbasolg04_apps_pcehr</t>
  </si>
  <si>
    <t>vmpfbpf2olg04_apps_pcehr</t>
  </si>
  <si>
    <t>10.98.89.5:/vmpfbpf2olg04-apps-pcehr /apps/pcehr</t>
  </si>
  <si>
    <t>10.18.93.2:/export/perf_t2_vm_nfs_02/ehgpfbasolg05_apps_pcehr</t>
  </si>
  <si>
    <t>vmpfbpf2olg05_apps_pcehr</t>
  </si>
  <si>
    <t>10.98.89.5:/vmpfbpf2olg05-apps-pcehr /apps/pcehr</t>
  </si>
  <si>
    <t>10.18.93.2:/export/perf_t2_vm_nfs_02/ehgpfbasolg06_apps_pcehr</t>
  </si>
  <si>
    <t>vmpfbpf2olg06_apps_pcehr</t>
  </si>
  <si>
    <t>10.98.89.5:/vmpfbpf2olg06-apps-pcehr /apps/pcehr</t>
  </si>
  <si>
    <t>10.18.93.2:/export/perf_t2_vm_nfs_02/ehgpfbasolg07_apps_pcehr</t>
  </si>
  <si>
    <t>vmpfbpf2olg07_apps_pcehr</t>
  </si>
  <si>
    <t>10.98.89.5:/vmpfbpf2olg07-apps-pcehr /apps/pcehr</t>
  </si>
  <si>
    <t>10.18.93.2:/export/perf_t2_vm_nfs_02/ehgpfbasolg08_apps_pcehr</t>
  </si>
  <si>
    <t>vmpfbpf2olg08_apps_pcehr</t>
  </si>
  <si>
    <t>10.98.89.5:/vmpfbpf2olg08-apps-pcehr /apps/pcehr</t>
  </si>
  <si>
    <t>10.18.93.2:/export/perf_t2_vm_nfs_02/ehgpfbasolg09_apps_pcehr</t>
  </si>
  <si>
    <t>vmpfbpf2olg09_apps_pcehr</t>
  </si>
  <si>
    <t>10.98.89.5:/vmpfbpf2olg09-apps-pcehr /apps/pcehr</t>
  </si>
  <si>
    <t>10.18.93.2:/export/perf_t2_vm_nfs_02/ehgpfbasolg10_apps_pcehr</t>
  </si>
  <si>
    <t>vmpfbpf2olg10_apps_pcehr</t>
  </si>
  <si>
    <t>10.98.89.5:/vmpfbpf2olg10-apps-pcehr /apps/pcehr</t>
  </si>
  <si>
    <t>10.18.93.2:/export/perf_t2_vm_nfs_02/ehgpfbasosb01_apps_pcehr</t>
  </si>
  <si>
    <t>vmpfbpf2osb01_apps_pcehr</t>
  </si>
  <si>
    <t>10.98.89.5:/vmpfbpf2osb01-apps-pcehr /apps/pcehr</t>
  </si>
  <si>
    <t>10.18.93.2:/export/perf_t2_vm_nfs_02/ehgpfbasosb02_apps_pcehr</t>
  </si>
  <si>
    <t>vmpfbpf2osb02_apps_pcehr</t>
  </si>
  <si>
    <t>10.98.89.5:/vmpfbpf2osb02-apps-pcehr /apps/pcehr</t>
  </si>
  <si>
    <t>10.18.93.2:/export/perf_t2_vm_nfs_02/ehgpfbasosb03_apps_pcehr</t>
  </si>
  <si>
    <t>vmpfbpf2osb03_apps_pcehr</t>
  </si>
  <si>
    <t>10.98.89.5:/vmpfbpf2osb03-apps-pcehr /apps/pcehr</t>
  </si>
  <si>
    <t>10.18.93.2:/export/perf_t2_vm_nfs_02/ehgpfbasosb04_apps_pcehr</t>
  </si>
  <si>
    <t>vmpfbpf2osb04_apps_pcehr</t>
  </si>
  <si>
    <t>10.98.89.5:/vmpfbpf2osb04-apps-pcehr /apps/pcehr</t>
  </si>
  <si>
    <t>10.18.93.2:/export/perf_t2_vm_nfs_02/ehgpfbasosb05_apps_pcehr</t>
  </si>
  <si>
    <t>vmpfbpf2osb05_apps_pcehr</t>
  </si>
  <si>
    <t>10.98.89.5:/vmpfbpf2osb05-apps-pcehr /apps/pcehr</t>
  </si>
  <si>
    <t>10.18.93.2:/export/perf_t2_vm_nfs_02/ehgpfbasosb06_apps_pcehr</t>
  </si>
  <si>
    <t>vmpfbpf2osb06_apps_pcehr</t>
  </si>
  <si>
    <t>10.98.89.5:/vmpfbpf2osb06-apps-pcehr /apps/pcehr</t>
  </si>
  <si>
    <t>10.18.93.2:/export/perf_t2_vm_nfs_02/ehgpfbasosb07_apps_pcehr</t>
  </si>
  <si>
    <t>vmpfbpf2osb07_apps_pcehr</t>
  </si>
  <si>
    <t>10.98.89.6:/vmpfbpf2osb07-apps-pcehr /apps/pcehr</t>
  </si>
  <si>
    <t>10.18.93.2:/export/perf_t2_vm_nfs_02/ehgpfbasosb08_apps_pcehr</t>
  </si>
  <si>
    <t>vmpfbpf2osb08_apps_pcehr</t>
  </si>
  <si>
    <t>10.98.89.5:/vmpfbpf2osb08-apps-pcehr /apps/pcehr</t>
  </si>
  <si>
    <t>10.18.91.1:/export/perf_t1_vm_nfs_01/ehgpfbwsrho01_apps_pcehr</t>
  </si>
  <si>
    <t>vmpfbpf2rho01_apps_pcehr</t>
  </si>
  <si>
    <t>10.98.89.5:/vmpfbpf2rho01-apps-pcehr /apps/pcehr</t>
  </si>
  <si>
    <t>10.18.91.1:/export/perf_t1_vm_nfs_01/ehgpfbwsrho02_apps_pcehr</t>
  </si>
  <si>
    <t>vmpfbpf2rho02_apps_pcehr</t>
  </si>
  <si>
    <t>10.98.89.5:/vmpfbpf2rho02-apps-pcehr /apps/pcehr</t>
  </si>
  <si>
    <t>10.18.91.1:/export/perf_t1_vm_nfs_01/ehgpfbwsrho03_apps_pcehr</t>
  </si>
  <si>
    <t>vmpfbpf2rho03_apps_pcehr</t>
  </si>
  <si>
    <t>10.98.89.5:/vmpfbpf2rho03-apps-pcehr /apps/pcehr</t>
  </si>
  <si>
    <t>10.18.93.2:/export/perf_t2_vm_nfs_02/ehgpfbaswbc01_apps_pcehr</t>
  </si>
  <si>
    <t>vmpfbpf2wbc01_apps_pcehr</t>
  </si>
  <si>
    <t>10.98.89.5:/vmpfbpf2wbc01-apps-pcehr /apps/pcehr</t>
  </si>
  <si>
    <t>10.18.93.2:/export/perf_t2_vm_nfs_02/ehgpfbaswbc01_templatepackage</t>
  </si>
  <si>
    <t>vmpfbpf2wbc01_templatepackage</t>
  </si>
  <si>
    <t>/TemplatePackage</t>
  </si>
  <si>
    <t>10.98.89.5:/vmpfbpf2wbc01-templatepackage /TemplatePackage</t>
  </si>
  <si>
    <t>10.18.93.2:/export/perf_t2_vm_nfs_02/ehgpfbaswbc02_apps_pcehr</t>
  </si>
  <si>
    <t>vmpfbpf2wbc02_apps_pcehr</t>
  </si>
  <si>
    <t>10.98.89.5:/vmpfbpf2wbc02-apps-pcehr /apps/pcehr</t>
  </si>
  <si>
    <t>10.18.93.2:/export/perf_t2_vm_nfs_02/ehgpfbaswbc02_templatepackage</t>
  </si>
  <si>
    <t>vmpfbpf2wbc02_templatepackage</t>
  </si>
  <si>
    <t>10.98.89.5:/vmpfbpf2wbc02-templatepackage /TemplatePackage</t>
  </si>
  <si>
    <t>10.18.93.2:/export/perf_t2_vm_nfs_02/ehgpfbaswbc03_apps_pcehr</t>
  </si>
  <si>
    <t>vmpfbpf2wbc03_apps_pcehr</t>
  </si>
  <si>
    <t>10.98.89.5:/vmpfbpf2wbc03-apps-pcehr /apps/pcehr</t>
  </si>
  <si>
    <t>10.18.93.2:/export/perf_t2_vm_nfs_02/ehgpfbaswbc03_templatepackage</t>
  </si>
  <si>
    <t>vmpfbpf2wbc03_templatepackage</t>
  </si>
  <si>
    <t>10.98.89.5:/vmpfbpf2wbc03-templatepackage /TemplatePackage</t>
  </si>
  <si>
    <t>10.18.93.2:/export/perf_t2_vm_nfs_02/ehgpfbaswbc04_apps_pcehr</t>
  </si>
  <si>
    <t>vmpfbpf2wbc04_apps_pcehr</t>
  </si>
  <si>
    <t>10.98.89.5:/vmpfbpf2wbc04-apps-pcehr /apps/pcehr</t>
  </si>
  <si>
    <t>10.18.93.2:/export/perf_t2_vm_nfs_02/ehgpfbaswbc04_templatepackage</t>
  </si>
  <si>
    <t>vmpfbpf2wbc04_templatepackage</t>
  </si>
  <si>
    <t>10.98.89.5:/vmpfbpf2wbc04-templatepackage /TemplatePackage</t>
  </si>
  <si>
    <t>10.18.93.2:/export/perf_t2_vm_nfs_02/ehgpfbaswbc05_apps_pcehr</t>
  </si>
  <si>
    <t>vmpfbpf2wbc05_apps_pcehr</t>
  </si>
  <si>
    <t>10.98.89.6:/vmpfbpf2wbc05-apps-pcehr /apps/pcehr</t>
  </si>
  <si>
    <t>10.18.93.2:/export/perf_t2_vm_nfs_02/ehgpfbaswbc05_templatepackage</t>
  </si>
  <si>
    <t>vmpfbpf2wbc05_templatepackage</t>
  </si>
  <si>
    <t>10.98.89.5:/vmpfbpf2wbc05-templatepackage /TemplatePackage</t>
  </si>
  <si>
    <t>10.18.93.2:/export/perf_t2_vm_nfs_02/ehgpfbaswbc06_apps_pcehr</t>
  </si>
  <si>
    <t>vmpfbpf2wbc06_apps_pcehr</t>
  </si>
  <si>
    <t>10.98.89.5:/vmpfbpf2wbc06-apps-pcehr /apps/pcehr</t>
  </si>
  <si>
    <t>10.18.93.2:/export/perf_t2_vm_nfs_02/ehgpfbaswbc06_templatepackage</t>
  </si>
  <si>
    <t>vmpfbpf2wbc06_templatepackage</t>
  </si>
  <si>
    <t>10.98.89.5:/vmpfbpf2wbc06-templatepackage /TemplatePackage</t>
  </si>
  <si>
    <t>10.18.93.2:/export/perf_t2_vm_nfs_02/ehgpfbaswbc07_apps_pcehr</t>
  </si>
  <si>
    <t>vmpfbpf2wbc07_apps_pcehr</t>
  </si>
  <si>
    <t>10.98.89.5:/vmpfbpf2wbc07-apps-pcehr /apps/pcehr</t>
  </si>
  <si>
    <t>10.18.93.2:/export/perf_t2_vm_nfs_02/ehgpfbaswbc07_templatepackage</t>
  </si>
  <si>
    <t>vmpfbpf2wbc07_templatepackage</t>
  </si>
  <si>
    <t>10.98.89.5:/vmpfbpf2wbc07-templatepackage /TemplatePackage</t>
  </si>
  <si>
    <t>10.18.93.2:/export/perf_t2_vm_nfs_02/ehgpfbaswbc08_apps_pcehr</t>
  </si>
  <si>
    <t>vmpfbpf2wbc08_apps_pcehr</t>
  </si>
  <si>
    <t>10.98.89.5:/vmpfbpf2wbc08-apps-pcehr /apps/pcehr</t>
  </si>
  <si>
    <t>10.18.93.2:/export/perf_t2_vm_nfs_02/ehgpfbaswbc08_templatepackage</t>
  </si>
  <si>
    <t>vmpfbpf2wbc08_templatepackage</t>
  </si>
  <si>
    <t>10.98.89.5:/vmpfbpf2wbc08-templatepackage /TemplatePackage</t>
  </si>
  <si>
    <t>10.18.91.1:/export/perf_t1_vm_nfs_01/ehgpfbwsxho01_apps_pcehr</t>
  </si>
  <si>
    <t>vmpfbpf2xho01_apps_pcehr</t>
  </si>
  <si>
    <t>10.98.89.6:/vmpfbpf2xho01-apps-pcehr /apps/pcehr</t>
  </si>
  <si>
    <t>10.18.91.1:/export/perf_t1_vm_nfs_01/ehgpfbwsxho02_apps_pcehr</t>
  </si>
  <si>
    <t>vmpfbpf2xho02_apps_pcehr</t>
  </si>
  <si>
    <t>10.98.89.5:/vmpfbpf2xho02-apps-pcehr /apps/pcehr</t>
  </si>
  <si>
    <t>10.18.91.1:/export/perf_t1_vm_nfs_01/ehgpfbwsxho03_apps_pcehr</t>
  </si>
  <si>
    <t>vmpfbpf2xho03_apps_pcehr</t>
  </si>
  <si>
    <t>10.98.89.5:/vmpfbpf2xho03-apps-pcehr /apps/pcehr</t>
  </si>
  <si>
    <t>10.18.91.1:/export/perf_t1_vm_nfs_01/ehgpfbwsxho04_apps_pcehr</t>
  </si>
  <si>
    <t>vmpfbpf2xho04_apps_pcehr</t>
  </si>
  <si>
    <t>10.98.89.5:/vmpfbpf2xho04-apps-pcehr /apps/pcehr</t>
  </si>
  <si>
    <t>10.18.91.1:/export/perf_t1_vm_nfs_01/ehgpfbwscho01_apps_pcehr</t>
  </si>
  <si>
    <t>vmpfbpf2cho01_apps_pcehr</t>
  </si>
  <si>
    <t>10.98.89.5:/vmpfbpf2cho01-apps-pcehr /apps/pcehr</t>
  </si>
  <si>
    <t>10.18.91.1:/export/perf_t1_vm_nfs_01/ehgpfbwscho02_apps_pcehr</t>
  </si>
  <si>
    <t>vmpfbpf2cho02_apps_pcehr</t>
  </si>
  <si>
    <t>10.98.89.5:/vmpfbpf2cho02-apps-pcehr /apps/pcehr</t>
  </si>
  <si>
    <t>10.18.91.1:/export/perf_t1_vm_nfs_01/ehgpfbwscho03_apps_pcehr</t>
  </si>
  <si>
    <t>vmpfbpf2cho03_apps_pcehr</t>
  </si>
  <si>
    <t>10.98.89.5:/vmpfbpf2cho03-apps-pcehr /apps/pcehr</t>
  </si>
  <si>
    <t>10.18.18.2:/export/perf_t1_vm_nfs_01/ehgpfbwsnes01_apps_pcehr</t>
  </si>
  <si>
    <t>vmpfbpf2nes01_apps_pcehr</t>
  </si>
  <si>
    <t>10.98.89.5:/vmpfbpf2nes01-apps-pcehr /apps/pcehr</t>
  </si>
  <si>
    <t>10.18.18.2:/export/perf_t1_vm_nfs_01/ehgpfawsnes01_opt</t>
  </si>
  <si>
    <t>vmpfbpf2nes01_opt</t>
  </si>
  <si>
    <t>/opt</t>
  </si>
  <si>
    <t>10.98.89.5:/vmpfbpf2nes01-opt /opt</t>
  </si>
  <si>
    <t>10.18.18.2:/export/perf_t2_vm_nfs_01/ehgpfaasnes01_opt</t>
  </si>
  <si>
    <t>vmpfbpf2nes02_opt</t>
  </si>
  <si>
    <t>10.98.89.5:/vmpfbpf2nes02-opt /opt</t>
  </si>
  <si>
    <t>10.18.93.2:/export/perf_t2_vm_nfs_02/ehgpfbasoam07_apps_pcehr</t>
  </si>
  <si>
    <t>vmpfbpf2oam07_apps_pcehr</t>
  </si>
  <si>
    <t>10.98.89.5:/vmpfbpf2oam07-apps-pcehr /apps/pcehr</t>
  </si>
  <si>
    <t>10.18.93.2:/export/perf_t2_vm_nfs_02/ehgpfbasoam08_apps_pcehr</t>
  </si>
  <si>
    <t>vmpfbpf2oam08_apps_pcehr</t>
  </si>
  <si>
    <t>10.98.89.5:/vmpfbpf2oam08-apps-pcehr /apps/pcehr</t>
  </si>
  <si>
    <t>10.18.93.2:/export/perf_t2_vm_nfs_02/ehgpfbasdcr04_apps_pcehr</t>
  </si>
  <si>
    <t>vmpfbpf2dcr04_apps_pcehr</t>
  </si>
  <si>
    <t>10.98.89.5:/vmpfbpf2dcr04-apps-pcehr /apps/pcehr</t>
  </si>
  <si>
    <t>10.18.93.2:/export/perf_t2_vm_nfs_02/ehgpfbasdcx11_apps_pcehr</t>
  </si>
  <si>
    <t>vmpfbpf2dcx11_apps_pcehr</t>
  </si>
  <si>
    <t>10.98.89.5:/vmpfbpf2dcx11-apps-pcehr /apps/pcehr</t>
  </si>
  <si>
    <t>10.18.93.2:/export/perf_t2_vm_nfs_02/ehgpfbasdcx12_apps_pcehr</t>
  </si>
  <si>
    <t>vmpfbpf2dcx12_apps_pcehr</t>
  </si>
  <si>
    <t>10.98.89.5:/vmpfbpf2dcx12-apps-pcehr /apps/pcehr</t>
  </si>
  <si>
    <t>10.18.93.2:/export/perf_t2_vm_nfs_02/ehgpfbasdcx13_apps_pcehr</t>
  </si>
  <si>
    <t>vmpfbpf2dcx13_apps_pcehr</t>
  </si>
  <si>
    <t>10.98.89.5:/vmpfbpf2dcx13-apps-pcehr /apps/pcehr</t>
  </si>
  <si>
    <t>10.18.93.2:/export/perf_t2_vm_nfs_02/ehgpfbasdcx14_apps_pcehr</t>
  </si>
  <si>
    <t>vmpfbpf2dcx14_apps_pcehr</t>
  </si>
  <si>
    <t>10.98.89.5:/vmpfbpf2dcx14-apps-pcehr /apps/pcehr</t>
  </si>
  <si>
    <t>10.18.93.2:/export/perf_t2_vm_nfs_02/ehgpfbasdcx15_apps_pcehr</t>
  </si>
  <si>
    <t>vmpfbpf2dcx15_apps_pcehr</t>
  </si>
  <si>
    <t>10.98.89.6:/vmpfbpf2dcx15-apps-pcehr /apps/pcehr</t>
  </si>
  <si>
    <t>10.18.93.2:/export/perf_t2_vm_nfs_02/ehgpfbasdcx16_apps_pcehr</t>
  </si>
  <si>
    <t>vmpfbpf2dcx16_apps_pcehr</t>
  </si>
  <si>
    <t>10.98.89.6:/vmpfbpf2dcx16-apps-pcehr /apps/pcehr</t>
  </si>
  <si>
    <t>10.18.93.2:/export/perf_t2_vm_nfs_02/ehgpfbasdcx17_apps_pcehr</t>
  </si>
  <si>
    <t>vmpfbpf2dcx17_apps_pcehr</t>
  </si>
  <si>
    <t>10.98.89.5:/vmpfbpf2dcx17-apps-pcehr /apps/pcehr</t>
  </si>
  <si>
    <t>10.18.93.2:/export/perf_t2_vm_nfs_02/ehgpfbasdcx18_apps_pcehr</t>
  </si>
  <si>
    <t>vmpfbpf2dcx18_apps_pcehr</t>
  </si>
  <si>
    <t>10.98.89.5:/vmpfbpf2dcx18-apps-pcehr /apps/pcehr</t>
  </si>
  <si>
    <t>10.18.93.2:/export/perf_t2_vm_nfs_02/ehgpfbasdcx19_apps_pcehr</t>
  </si>
  <si>
    <t>vmpfbpf2dcx19_apps_pcehr</t>
  </si>
  <si>
    <t>10.98.89.6:/vmpfbpf2dcx19-apps-pcehr /apps/pcehr</t>
  </si>
  <si>
    <t>10.18.93.2:/export/perf_t2_vm_nfs_02/ehgpfbasdcx20_apps_pcehr</t>
  </si>
  <si>
    <t>vmpfbpf2dcx20_apps_pcehr</t>
  </si>
  <si>
    <t>10.98.89.5:/vmpfbpf2dcx20-apps-pcehr /apps/pcehr</t>
  </si>
  <si>
    <t>10.18.93.2:/export/perf_t2_vm_nfs_02/ehgpfbasdcx21_apps_pcehr</t>
  </si>
  <si>
    <t>vmpfbpf2dcx21_apps_pcehr</t>
  </si>
  <si>
    <t>10.98.89.5:/vmpfbpf2dcx21-apps-pcehr /apps/pcehr</t>
  </si>
  <si>
    <t>10.18.93.2:/export/perf_t2_vm_nfs_02/ehgpfbasdcx22_apps_pcehr</t>
  </si>
  <si>
    <t>vmpfbpf2dcx22_apps_pcehr</t>
  </si>
  <si>
    <t>10.98.89.5:/vmpfbpf2dcx22-apps-pcehr /apps/pcehr</t>
  </si>
  <si>
    <t>10.18.93.2:/export/perf_t2_vm_nfs_02/ehgpfbasdcx23_apps_pcehr</t>
  </si>
  <si>
    <t>vmpfbpf2dcx23_apps_pcehr</t>
  </si>
  <si>
    <t>10.98.89.6:/vmpfbpf2dcx23-apps-pcehr /apps/pcehr</t>
  </si>
  <si>
    <t>10.18.93.2:/export/perf_t2_vm_nfs_02/ehgpfbasdcx24_apps_pcehr</t>
  </si>
  <si>
    <t>vmpfbpf2dcx24_apps_pcehr</t>
  </si>
  <si>
    <t>10.98.89.5:/vmpfbpf2dcx24-apps-pcehr /apps/pcehr</t>
  </si>
  <si>
    <t>10.18.93.2:/export/perf_t2_vm_nfs_02/ehgpfbashdr23_apps_pcehr</t>
  </si>
  <si>
    <t>vmpfbpf2hdr23_apps_pcehr</t>
  </si>
  <si>
    <t>10.98.89.5:/vmpfbpf2hdr23-apps-pcehr /apps/pcehr</t>
  </si>
  <si>
    <t>10.18.93.2:/export/perf_t2_vm_nfs_02/ehgpfbashdr24_apps_pcehr</t>
  </si>
  <si>
    <t>vmpfbpf2hdr24_apps_pcehr</t>
  </si>
  <si>
    <t>10.98.89.6:/vmpfbpf2hdr24-apps-pcehr /apps/pcehr</t>
  </si>
  <si>
    <t>10.18.93.2:/export/perf_t2_vm_nfs_02/ehgpfbashdr25_apps_pcehr</t>
  </si>
  <si>
    <t>vmpfbpf2hdr25_apps_pcehr</t>
  </si>
  <si>
    <t>10.98.89.5:/vmpfbpf2hdr25-apps-pcehr /apps/pcehr</t>
  </si>
  <si>
    <t>10.18.93.2:/export/perf_t2_vm_nfs_02/ehgpfbashdr26_apps_pcehr</t>
  </si>
  <si>
    <t>vmpfbpf2hdr26_apps_pcehr</t>
  </si>
  <si>
    <t>10.98.89.6:/vmpfbpf2hdr26-apps-pcehr /apps/pcehr</t>
  </si>
  <si>
    <t>10.18.93.2:/export/perf_t2_vm_nfs_02/ehgpfbashdr27_apps_pcehr</t>
  </si>
  <si>
    <t>vmpfbpf2hdr27_apps_pcehr</t>
  </si>
  <si>
    <t>10.98.89.5:/vmpfbpf2hdr27-apps-pcehr /apps/pcehr</t>
  </si>
  <si>
    <t>10.18.93.2:/export/perf_t2_vm_nfs_02/ehgpfbashdr28_apps_pcehr</t>
  </si>
  <si>
    <t>vmpfbpf2hdr28_apps_pcehr</t>
  </si>
  <si>
    <t>10.98.89.5:/vmpfbpf2hdr28-apps-pcehr /apps/pcehr</t>
  </si>
  <si>
    <t>10.18.93.2:/export/perf_t2_vm_nfs_02/ehgpfbashdr29_apps_pcehr</t>
  </si>
  <si>
    <t>vmpfbpf2hdr29_apps_pcehr</t>
  </si>
  <si>
    <t>10.98.89.5:/vmpfbpf2hdr29-apps-pcehr /apps/pcehr</t>
  </si>
  <si>
    <t>10.18.93.2:/export/perf_t2_vm_nfs_02/ehgpfbashdr30_apps_pcehr</t>
  </si>
  <si>
    <t>vmpfbpf2hdr30_apps_pcehr</t>
  </si>
  <si>
    <t>10.98.89.6:/vmpfbpf2hdr30-apps-pcehr /apps/pcehr</t>
  </si>
  <si>
    <t>10.18.93.2:/export/perf_t2_vm_nfs_02/ehgpfbashdr31_apps_pcehr</t>
  </si>
  <si>
    <t>vmpfbpf2hdr31_apps_pcehr</t>
  </si>
  <si>
    <t>10.98.89.5:/vmpfbpf2hdr31-apps-pcehr /apps/pcehr</t>
  </si>
  <si>
    <t>10.18.93.2:/export/perf_t2_vm_nfs_02/ehgpfbashdr32_apps_pcehr</t>
  </si>
  <si>
    <t>vmpfbpf2hdr32_apps_pcehr</t>
  </si>
  <si>
    <t>10.98.89.5:/vmpfbpf2hdr32-apps-pcehr /apps/pcehr</t>
  </si>
  <si>
    <t>10.18.93.2:/export/perf_t2_vm_nfs_02/ehgpfbashdr33_apps_pcehr</t>
  </si>
  <si>
    <t>vmpfbpf2hdr33_apps_pcehr</t>
  </si>
  <si>
    <t>10.98.89.5:/vmpfbpf2hdr33-apps-pcehr /apps/pcehr</t>
  </si>
  <si>
    <t>10.18.93.2:/export/perf_t2_vm_nfs_02/ehgpfbashdr34_apps_pcehr</t>
  </si>
  <si>
    <t>vmpfbpf2hdr34_apps_pcehr</t>
  </si>
  <si>
    <t>10.98.89.5:/vmpfbpf2hdr34-apps-pcehr /apps/pcehr</t>
  </si>
  <si>
    <t>10.18.93.2:/export/perf_t2_vm_nfs_02/ehgpfbashdr35_apps_pcehr</t>
  </si>
  <si>
    <t>vmpfbpf2hdr35_apps_pcehr</t>
  </si>
  <si>
    <t>10.98.89.5:/vmpfbpf2hdr35-apps-pcehr /apps/pcehr</t>
  </si>
  <si>
    <t>10.18.93.2:/export/perf_t2_vm_nfs_02/ehgpfbashmr11_apps_pcehr</t>
  </si>
  <si>
    <t>vmpfbpf2hmr11_apps_pcehr</t>
  </si>
  <si>
    <t>10.98.89.5:/vmpfbpf2hmr11-apps-pcehr /apps/pcehr</t>
  </si>
  <si>
    <t>10.18.93.2:/export/perf_t2_vm_nfs_02/ehgpfbashmr12_apps_pcehr</t>
  </si>
  <si>
    <t>vmpfbpf2hmr12_apps_pcehr</t>
  </si>
  <si>
    <t>10.98.89.5:/vmpfbpf2hmr12-apps-pcehr /apps/pcehr</t>
  </si>
  <si>
    <t>10.18.93.2:/export/perf_t2_vm_nfs_02/ehgpfbasoes19_apps_pcehr</t>
  </si>
  <si>
    <t>vmpfbpf2oes19_apps_pcehr</t>
  </si>
  <si>
    <t>10.98.89.5:/vmpfbpf2oes19-apps-pcehr /apps/pcehr</t>
  </si>
  <si>
    <t>10.18.93.2:/export/perf_t2_vm_nfs_02/ehgpfbasoes10_apps_pcehr</t>
  </si>
  <si>
    <t>vmpfbpf2oes10_apps_pcehr</t>
  </si>
  <si>
    <t>10.98.89.5:/vmpfbpf2oes10-apps-pcehr /apps/pcehr</t>
  </si>
  <si>
    <t>10.18.93.2:/export/perf_t2_vm_nfs_02/ehgpfbasoes11_apps_pcehr</t>
  </si>
  <si>
    <t>vmpfbpf2oes11_apps_pcehr</t>
  </si>
  <si>
    <t>10.98.89.5:/vmpfbpf2oes11-apps-pcehr /apps/pcehr</t>
  </si>
  <si>
    <t>10.18.93.2:/export/perf_t2_vm_nfs_02/ehgpfbasoes12_apps_pcehr</t>
  </si>
  <si>
    <t>vmpfbpf2oes12_apps_pcehr</t>
  </si>
  <si>
    <t>10.98.89.5:/vmpfbpf2oes12-apps-pcehr /apps/pcehr</t>
  </si>
  <si>
    <t>10.18.93.2:/export/perf_t2_vm_nfs_02/ehgpfbasoes13_apps_pcehr</t>
  </si>
  <si>
    <t>vmpfbpf2oes13_apps_pcehr</t>
  </si>
  <si>
    <t>10.98.89.5:/vmpfbpf2oes13-apps-pcehr /apps/pcehr</t>
  </si>
  <si>
    <t>10.18.93.2:/export/perf_t2_vm_nfs_02/ehgpfbasoes14_apps_pcehr</t>
  </si>
  <si>
    <t>vmpfbpf2oes14_apps_pcehr</t>
  </si>
  <si>
    <t>10.98.89.5:/vmpfbpf2oes14-apps-pcehr /apps/pcehr</t>
  </si>
  <si>
    <t>10.18.93.2:/export/perf_t2_vm_nfs_02/ehgpfbasoes15_apps_pcehr</t>
  </si>
  <si>
    <t>vmpfbpf2oes15_apps_pcehr</t>
  </si>
  <si>
    <t>10.98.89.5:/vmpfbpf2oes15-apps-pcehr /apps/pcehr</t>
  </si>
  <si>
    <t>10.18.93.2:/export/perf_t2_vm_nfs_02/ehgpfbasoes16_apps_pcehr</t>
  </si>
  <si>
    <t>vmpfbpf2oes16_apps_pcehr</t>
  </si>
  <si>
    <t>10.98.89.5:/vmpfbpf2oes16-apps-pcehr /apps/pcehr</t>
  </si>
  <si>
    <t>10.18.93.2:/export/perf_t2_vm_nfs_02/ehgpfbasoes17_apps_pcehr</t>
  </si>
  <si>
    <t>vmpfbpf2oes17_apps_pcehr</t>
  </si>
  <si>
    <t>10.98.89.5:/vmpfbpf2oes17-apps-pcehr /apps/pcehr</t>
  </si>
  <si>
    <t>10.18.93.2:/export/perf_t2_vm_nfs_02/ehgpfbasoes18_apps_pcehr</t>
  </si>
  <si>
    <t>vmpfbpf2oes18_apps_pcehr</t>
  </si>
  <si>
    <t>10.98.89.5:/vmpfbpf2oes18-apps-pcehr /apps/pcehr</t>
  </si>
  <si>
    <t>10.18.93.2:/export/perf_t2_vm_nfs_02/ehgpfbasoid19_apps_pcehr</t>
  </si>
  <si>
    <t>vmpfbpf2oid19_apps_pcehr</t>
  </si>
  <si>
    <t>10.98.89.5:/vmpfbpf2oid19-apps-pcehr /apps/pcehr</t>
  </si>
  <si>
    <t>10.18.93.2:/export/perf_t2_vm_nfs_02/ehgpfbasoid11_apps_pcehr</t>
  </si>
  <si>
    <t>vmpfbpf2oid11_apps_pcehr</t>
  </si>
  <si>
    <t>10.98.89.6:/vmpfbpf2oid11-apps-pcehr /apps/pcehr</t>
  </si>
  <si>
    <t>10.18.93.2:/export/perf_t2_vm_nfs_02/ehgpfbasoid12_apps_pcehr</t>
  </si>
  <si>
    <t>vmpfbpf2oid12_apps_pcehr</t>
  </si>
  <si>
    <t>10.98.89.5:/vmpfbpf2oid12-apps-pcehr /apps/pcehr</t>
  </si>
  <si>
    <t>10.18.93.2:/export/perf_t2_vm_nfs_02/ehgpfbasoid13_apps_pcehr</t>
  </si>
  <si>
    <t>vmpfbpf2oid13_apps_pcehr</t>
  </si>
  <si>
    <t>10.98.89.5:/vmpfbpf2oid13-apps-pcehr /apps/pcehr</t>
  </si>
  <si>
    <t>10.18.93.2:/export/perf_t2_vm_nfs_02/ehgpfbasoid14_apps_pcehr</t>
  </si>
  <si>
    <t>vmpfbpf2oid14_apps_pcehr</t>
  </si>
  <si>
    <t>10.98.89.6:/vmpfbpf2oid14-apps-pcehr /apps/pcehr</t>
  </si>
  <si>
    <t>10.18.93.2:/export/perf_t2_vm_nfs_02/ehgpfbasoid15_apps_pcehr</t>
  </si>
  <si>
    <t>vmpfbpf2oid15_apps_pcehr</t>
  </si>
  <si>
    <t>10.98.89.5:/vmpfbpf2oid15-apps-pcehr /apps/pcehr</t>
  </si>
  <si>
    <t>10.18.93.2:/export/perf_t2_vm_nfs_02/ehgpfbasoid16_apps_pcehr</t>
  </si>
  <si>
    <t>vmpfbpf2oid16_apps_pcehr</t>
  </si>
  <si>
    <t>10.98.89.5:/vmpfbpf2oid16-apps-pcehr /apps/pcehr</t>
  </si>
  <si>
    <t>10.18.93.2:/export/perf_t2_vm_nfs_02/ehgpfbasoid17_apps_pcehr</t>
  </si>
  <si>
    <t>vmpfbpf2oid17_apps_pcehr</t>
  </si>
  <si>
    <t>10.98.89.5:/vmpfbpf2oid17-apps-pcehr /apps/pcehr</t>
  </si>
  <si>
    <t>10.18.93.2:/export/perf_t2_vm_nfs_02/ehgpfbasoid18_apps_pcehr</t>
  </si>
  <si>
    <t>vmpfbpf2oid18_apps_pcehr</t>
  </si>
  <si>
    <t>10.98.89.5:/vmpfbpf2oid18-apps-pcehr /apps/pcehr</t>
  </si>
  <si>
    <t>10.18.93.2:/export/perf_t2_vm_nfs_02/ehgpfbasolg31_apps_pcehr</t>
  </si>
  <si>
    <t>vmpfbpf2olg31_apps_pcehr</t>
  </si>
  <si>
    <t>10.98.89.5:/vmpfbpf2olg31-apps-pcehr /apps/pcehr</t>
  </si>
  <si>
    <t>10.18.93.2:/export/perf_t2_vm_nfs_02/ehgpfbasolg11_apps_pcehr</t>
  </si>
  <si>
    <t>vmpfbpf2olg11_apps_pcehr</t>
  </si>
  <si>
    <t>10.98.89.5:/vmpfbpf2olg11-apps-pcehr /apps/pcehr</t>
  </si>
  <si>
    <t>10.18.93.2:/export/perf_t2_vm_nfs_02/ehgpfbasolg12_apps_pcehr</t>
  </si>
  <si>
    <t>vmpfbpf2olg12_apps_pcehr</t>
  </si>
  <si>
    <t>10.98.89.5:/vmpfbpf2olg12-apps-pcehr /apps/pcehr</t>
  </si>
  <si>
    <t>10.18.93.2:/export/perf_t2_vm_nfs_02/ehgpfbasolg13_apps_pcehr</t>
  </si>
  <si>
    <t>vmpfbpf2olg13_apps_pcehr</t>
  </si>
  <si>
    <t>10.98.89.6:/vmpfbpf2olg13-apps-pcehr /apps/pcehr</t>
  </si>
  <si>
    <t>10.18.93.2:/export/perf_t2_vm_nfs_02/ehgpfbasolg14_apps_pcehr</t>
  </si>
  <si>
    <t>vmpfbpf2olg14_apps_pcehr</t>
  </si>
  <si>
    <t>10.98.89.6:/vmpfbpf2olg14-apps-pcehr /apps/pcehr</t>
  </si>
  <si>
    <t>10.18.93.2:/export/perf_t2_vm_nfs_02/ehgpfbasolg15_apps_pcehr</t>
  </si>
  <si>
    <t>vmpfbpf2olg15_apps_pcehr</t>
  </si>
  <si>
    <t>10.98.89.5:/vmpfbpf2olg15-apps-pcehr /apps/pcehr</t>
  </si>
  <si>
    <t>10.18.93.2:/export/perf_t2_vm_nfs_02/ehgpfbasolg16_apps_pcehr</t>
  </si>
  <si>
    <t>vmpfbpf2olg16_apps_pcehr</t>
  </si>
  <si>
    <t>10.98.89.5:/vmpfbpf2olg16-apps-pcehr /apps/pcehr</t>
  </si>
  <si>
    <t>10.18.93.2:/export/perf_t2_vm_nfs_02/ehgpfbasolg17_apps_pcehr</t>
  </si>
  <si>
    <t>vmpfbpf2olg17_apps_pcehr</t>
  </si>
  <si>
    <t>10.98.89.5:/vmpfbpf2olg17-apps-pcehr /apps/pcehr</t>
  </si>
  <si>
    <t>10.18.93.2:/export/perf_t2_vm_nfs_02/ehgpfbasolg18_apps_pcehr</t>
  </si>
  <si>
    <t>vmpfbpf2olg18_apps_pcehr</t>
  </si>
  <si>
    <t>10.98.89.5:/vmpfbpf2olg18-apps-pcehr /apps/pcehr</t>
  </si>
  <si>
    <t>10.18.93.2:/export/perf_t2_vm_nfs_02/ehgpfbasolg19_apps_pcehr</t>
  </si>
  <si>
    <t>vmpfbpf2olg19_apps_pcehr</t>
  </si>
  <si>
    <t>10.98.89.5:/vmpfbpf2olg19-apps-pcehr /apps/pcehr</t>
  </si>
  <si>
    <t>10.18.93.2:/export/perf_t2_vm_nfs_02/ehgpfbasolg20_apps_pcehr</t>
  </si>
  <si>
    <t>vmpfbpf2olg20_apps_pcehr</t>
  </si>
  <si>
    <t>10.98.89.5:/vmpfbpf2olg20-apps-pcehr /apps/pcehr</t>
  </si>
  <si>
    <t>10.18.93.2:/export/perf_t2_vm_nfs_02/ehgpfbasolg21_apps_pcehr</t>
  </si>
  <si>
    <t>vmpfbpf2olg21_apps_pcehr</t>
  </si>
  <si>
    <t>10.98.89.5:/vmpfbpf2olg21-apps-pcehr /apps/pcehr</t>
  </si>
  <si>
    <t>10.18.93.2:/export/perf_t2_vm_nfs_02/ehgpfbasolg22_apps_pcehr</t>
  </si>
  <si>
    <t>vmpfbpf2olg22_apps_pcehr</t>
  </si>
  <si>
    <t>10.98.89.5:/vmpfbpf2olg22-apps-pcehr /apps/pcehr</t>
  </si>
  <si>
    <t>10.18.93.2:/export/perf_t2_vm_nfs_02/ehgpfbasolg23_apps_pcehr</t>
  </si>
  <si>
    <t>vmpfbpf2olg23_apps_pcehr</t>
  </si>
  <si>
    <t>10.98.89.5:/vmpfbpf2olg23-apps-pcehr /apps/pcehr</t>
  </si>
  <si>
    <t>10.18.93.2:/export/perf_t2_vm_nfs_02/ehgpfbasolg24_apps_pcehr</t>
  </si>
  <si>
    <t>vmpfbpf2olg24_apps_pcehr</t>
  </si>
  <si>
    <t>10.98.89.5:/vmpfbpf2olg24-apps-pcehr /apps/pcehr</t>
  </si>
  <si>
    <t>10.18.93.2:/export/perf_t2_vm_nfs_02/ehgpfbasolg25_apps_pcehr</t>
  </si>
  <si>
    <t>vmpfbpf2olg25_apps_pcehr</t>
  </si>
  <si>
    <t>10.98.89.6:/vmpfbpf2olg25-apps-pcehr /apps/pcehr</t>
  </si>
  <si>
    <t>10.18.93.2:/export/perf_t2_vm_nfs_02/ehgpfbasolg26_apps_pcehr</t>
  </si>
  <si>
    <t>vmpfbpf2olg26_apps_pcehr</t>
  </si>
  <si>
    <t>10.98.89.5:/vmpfbpf2olg26-apps-pcehr /apps/pcehr</t>
  </si>
  <si>
    <t>10.18.93.2:/export/perf_t2_vm_nfs_02/ehgpfbasolg27_apps_pcehr</t>
  </si>
  <si>
    <t>vmpfbpf2olg27_apps_pcehr</t>
  </si>
  <si>
    <t>10.98.89.5:/vmpfbpf2olg27-apps-pcehr /apps/pcehr</t>
  </si>
  <si>
    <t>10.18.93.2:/export/perf_t2_vm_nfs_02/ehgpfbasolg28_apps_pcehr</t>
  </si>
  <si>
    <t>vmpfbpf2olg28_apps_pcehr</t>
  </si>
  <si>
    <t>10.98.89.5:/vmpfbpf2olg28-apps-pcehr /apps/pcehr</t>
  </si>
  <si>
    <t>10.18.93.2:/export/perf_t2_vm_nfs_02/ehgpfbasolg29_apps_pcehr</t>
  </si>
  <si>
    <t>vmpfbpf2olg29_apps_pcehr</t>
  </si>
  <si>
    <t>10.98.89.5:/vmpfbpf2olg29-apps-pcehr /apps/pcehr</t>
  </si>
  <si>
    <t>10.18.93.2:/export/perf_t2_vm_nfs_02/ehgpfbasolg30_apps_pcehr</t>
  </si>
  <si>
    <t>vmpfbpf2olg30_apps_pcehr</t>
  </si>
  <si>
    <t>10.98.89.5:/vmpfbpf2olg30-apps-pcehr /apps/pcehr</t>
  </si>
  <si>
    <t>10.18.93.2:/export/perf_t2_vm_nfs_02/ehgpfbasosb09_apps_pcehr</t>
  </si>
  <si>
    <t>vmpfbpf2osb09_apps_pcehr</t>
  </si>
  <si>
    <t>10.98.89.6:/vmpfbpf2osb09-apps-pcehr /apps/pcehr</t>
  </si>
  <si>
    <t>10.18.93.2:/export/perf_t2_vm_nfs_02/ehgpfbasosb10_apps_pcehr</t>
  </si>
  <si>
    <t>vmpfbpf2osb10_apps_pcehr</t>
  </si>
  <si>
    <t>10.98.89.5:/vmpfbpf2osb10-apps-pcehr /apps/pcehr</t>
  </si>
  <si>
    <t>10.18.93.2:/export/perf_t2_vm_nfs_02/ehgpfbassol01_apps_pcehr</t>
  </si>
  <si>
    <t>vmpfbpf2sol01_apps_pcehr</t>
  </si>
  <si>
    <t>10.98.89.5:/vmpfbpf2sol01-apps-pcehr /apps/pcehr</t>
  </si>
  <si>
    <t>10.18.93.2:/export/perf_t2_vm_nfs_02/ehgpfbassol02_apps_pcehr</t>
  </si>
  <si>
    <t>vmpfbpf2sol02_apps_pcehr</t>
  </si>
  <si>
    <t>10.98.89.5:/vmpfbpf2sol02-apps-pcehr /apps/pcehr</t>
  </si>
  <si>
    <t>10.18.91.1:/export/perf_t1_vm_nfs_01/ehgpfbwsfhi05_apps_pcehr</t>
  </si>
  <si>
    <t>vmpfbpf2fhi05_apps_pcehr</t>
  </si>
  <si>
    <t>10.98.89.5:/vmpfbpf2hi05-apps-pcehr /apps/pcehr</t>
  </si>
  <si>
    <t>10.18.91.1:/export/perf_t1_vm_nfs_01/ehgpfbwsfhi06_apps_pcehr</t>
  </si>
  <si>
    <t>vmpfbpf2fhi06_apps_pcehr</t>
  </si>
  <si>
    <t>10.98.89.5:/vmpfbpf2hi06-apps-pcehr /apps/pcehr</t>
  </si>
  <si>
    <t>10.18.91.1:/export/perf_t1_vm_nfs_01/ehgpfbwsfhi07_apps_pcehr</t>
  </si>
  <si>
    <t>vmpfbpf2fhi07_apps_pcehr</t>
  </si>
  <si>
    <t>10.98.89.6:/vmpfbpf2hi07-apps-pcehr /apps/pcehr</t>
  </si>
  <si>
    <t>10.18.91.1:/export/perf_t1_vm_nfs_01/ehgpfbwsfhi08_apps_pcehr</t>
  </si>
  <si>
    <t>vmpfbpf2fhi08_apps_pcehr</t>
  </si>
  <si>
    <t>10.98.89.5:/vmpfbpf2hi08-apps-pcehr /apps/pcehr</t>
  </si>
  <si>
    <t>10.18.91.1:/export/perf_t1_vm_nfs_01/ehgpfbwsmob01_apps_pcehr</t>
  </si>
  <si>
    <t>vmpfbpf2mob01_apps_pcehr</t>
  </si>
  <si>
    <t>10.98.89.5:/vmpfbpf2mob01-apps-pcehr /apps/pcehr</t>
  </si>
  <si>
    <t>10.18.91.1:/export/perf_t1_vm_nfs_01/ehgpfbwsmob02_apps_pcehr</t>
  </si>
  <si>
    <t>vmpfbpf2mob02_apps_pcehr</t>
  </si>
  <si>
    <t>10.98.89.6:/vmpfbpf2mob02-apps-pcehr /apps/pcehr</t>
  </si>
  <si>
    <t>10.18.91.1:/export/perf_t1_vm_nfs_01/ehgpfbwsohm05_apps_pcehr</t>
  </si>
  <si>
    <t>vmpfbpf2ohm05_apps_pcehr</t>
  </si>
  <si>
    <t>10.98.89.5:/vmpfbpf2ohm05-apps-pcehr /apps/pcehr</t>
  </si>
  <si>
    <t>10.18.91.1:/export/perf_t1_vm_nfs_01/ehgpfbwsohm06_apps_pcehr</t>
  </si>
  <si>
    <t>vmpfbpf2ohm06_apps_pcehr</t>
  </si>
  <si>
    <t>10.98.89.5:/vmpfbpf2ohm06-apps-pcehr /apps/pcehr</t>
  </si>
  <si>
    <t>10.18.91.1:/export/perf_t1_vm_nfs_01/ehgpfbwsohm07_apps_pcehr</t>
  </si>
  <si>
    <t>vmpfbpf2ohm07_apps_pcehr</t>
  </si>
  <si>
    <t>10.98.89.6:/vmpfbpf2ohm07-apps-pcehr /apps/pcehr</t>
  </si>
  <si>
    <t>10.18.91.1:/export/perf_t1_vm_nfs_01/ehgpfbwsohm08_apps_pcehr</t>
  </si>
  <si>
    <t>vmpfbpf2ohm08_apps_pcehr</t>
  </si>
  <si>
    <t>10.98.89.5:/vmpfbpf2ohm08-apps-pcehr /apps/pcehr</t>
  </si>
  <si>
    <t>10.18.91.1:/export/perf_t1_vm_nfs_01/ehgpfbwsoho01_apps_pcehr</t>
  </si>
  <si>
    <t>vmpfbpf2oho01_apps_pcehr</t>
  </si>
  <si>
    <t>10.98.89.6:/vmpfbpf2oho01-apps-pcehr /apps/pcehr</t>
  </si>
  <si>
    <t>10.18.91.1:/export/perf_t1_vm_nfs_01/ehgpfbwsoho02_apps_pcehr</t>
  </si>
  <si>
    <t>vmpfbpf2oho02_apps_pcehr</t>
  </si>
  <si>
    <t>10.98.89.5:/vmpfbpf2oho02-apps-pcehr /apps/pcehr</t>
  </si>
  <si>
    <t>10.18.91.1:/export/perf_t1_vm_nfs_01/ehgpfbwsoho03_apps_pcehr</t>
  </si>
  <si>
    <t>vmpfbpf2oho03_apps_pcehr</t>
  </si>
  <si>
    <t>10.98.89.6:/vmpfbpf2oho03-apps-pcehr /apps/pcehr</t>
  </si>
  <si>
    <t>10.18.91.1:/export/perf_t1_vm_nfs_01/ehgpfbwsoho04_apps_pcehr</t>
  </si>
  <si>
    <t>vmpfbpf2oho04_apps_pcehr</t>
  </si>
  <si>
    <t>10.98.89.5:/vmpfbpf2oho04-apps-pcehr /apps/pcehr</t>
  </si>
  <si>
    <t>10.18.91.1:/export/perf_t1_vm_nfs_01/ehgpfbwsoho05_apps_pcehr</t>
  </si>
  <si>
    <t>vmpfbpf2oho05_apps_pcehr</t>
  </si>
  <si>
    <t>10.98.89.5:/vmpfbpf2oho05-apps-pcehr /apps/pcehr</t>
  </si>
  <si>
    <t>10.18.91.1:/export/perf_t1_vm_nfs_01/ehgpfbwsoho06_apps_pcehr</t>
  </si>
  <si>
    <t>vmpfbpf2oho06_apps_pcehr</t>
  </si>
  <si>
    <t>10.98.89.5:/vmpfbpf2oho06-apps-pcehr /apps/pcehr</t>
  </si>
  <si>
    <t>10.18.93.2:/export/perf_t2_vm_nfs_02/ehgpfbasaea01_apps_pcehr</t>
  </si>
  <si>
    <t>vmpfbpf2aea01_apps_pcehr</t>
  </si>
  <si>
    <t>10.98.89.5:/vmpfbpf2aea01-apps-pcehr /apps/pcehr</t>
  </si>
  <si>
    <t>10.18.93.2:/export/perf_t2_vm_nfs_02/ehgpfbasopt01_apps_pcehr</t>
  </si>
  <si>
    <t>vmpfbpf2opt01_apps_pcehr</t>
  </si>
  <si>
    <t>10.98.89.5:/vmpfbpf2opt01-apps-pcehr /apps/pcehr</t>
  </si>
  <si>
    <t>10.18.18.2:/export/perf_t2_vm_nfs_01/newpfbdbnes01_apps_pcehr</t>
  </si>
  <si>
    <t>vmpfbpf2nes03_apps_pcehr</t>
  </si>
  <si>
    <t>10.98.89.5:/vmpfbpf2nes03-apps-pcehr /apps/pcehr</t>
  </si>
  <si>
    <t>10.18.18.2:/export/perf_t1_vm_nfs_01/newpfadbnes01_opt</t>
  </si>
  <si>
    <t>vmpfbpf2nes03_opt</t>
  </si>
  <si>
    <t>10.98.89.5:/vmpfbpf2nes03-opt /opt</t>
  </si>
  <si>
    <t>10.18.18.2:/export/perf_t2_vm_nfs_01/ehgpfbasnes01_apps_pcehr</t>
  </si>
  <si>
    <t>vmpfbpf2nes02_apps_pcehr</t>
  </si>
  <si>
    <t>10.98.89.5:/vmpfbpf2nes02-apps-pcehr /apps/pcehr</t>
  </si>
  <si>
    <t>FMO Service Identifier</t>
  </si>
  <si>
    <t>FMO Volume Summary</t>
  </si>
  <si>
    <t>FMO VM Name Summary</t>
  </si>
  <si>
    <t>FMO Actual Mount Info</t>
  </si>
  <si>
    <t>Column1</t>
  </si>
  <si>
    <t>Column2</t>
  </si>
  <si>
    <t>Column3</t>
  </si>
  <si>
    <t>ohm</t>
  </si>
  <si>
    <t>oho</t>
  </si>
  <si>
    <t>oag</t>
  </si>
  <si>
    <t>ocr</t>
  </si>
  <si>
    <t>fhi</t>
  </si>
  <si>
    <t>dcx</t>
  </si>
  <si>
    <t>olg</t>
  </si>
  <si>
    <t>osb</t>
  </si>
  <si>
    <t>crp</t>
  </si>
  <si>
    <t>dcr</t>
  </si>
  <si>
    <t>rho</t>
  </si>
  <si>
    <t>xho</t>
  </si>
  <si>
    <t>FMO Vnet</t>
  </si>
  <si>
    <t>FMO Vnet Subnet</t>
  </si>
  <si>
    <t>FMO Subnet</t>
  </si>
  <si>
    <t>FMO Subnet CIDR</t>
  </si>
  <si>
    <t>testvolume</t>
  </si>
  <si>
    <t>sn-ptf-auc1-sit-app</t>
  </si>
  <si>
    <t>This is designed to support SVT, PDC and SDC requirements</t>
  </si>
  <si>
    <t>Key Vaults
Resource Groups</t>
  </si>
  <si>
    <t>Kay Vault
Name</t>
  </si>
  <si>
    <t>sku</t>
  </si>
  <si>
    <t>Soft Delete</t>
  </si>
  <si>
    <t>Purge Protection</t>
  </si>
  <si>
    <t>Key Vaults for POC</t>
  </si>
  <si>
    <t>Owner: "Accenture" *team TBA
Data Classification: "Offical"  
Environment: "Non-Prod"
Business Criticality: "High" 
Application name: "MHR DevOps Framework"
Cost centre: "20060133"
Application Management team: "Accenture" *team TBA
Platform Management team: "DXC CloudOps"
Lifecycle: "NA"
MHR Service: "NA"
PatchTier: "NA"
Pipeline: "NA"
Created By: "DXC CloudOps"</t>
  </si>
  <si>
    <t>KV for Infra usernames and passwords</t>
  </si>
  <si>
    <t>NSG 
Resource Groups</t>
  </si>
  <si>
    <t>NSG 
Name</t>
  </si>
  <si>
    <t>NSG Rule</t>
  </si>
  <si>
    <t xml:space="preserve"> </t>
  </si>
  <si>
    <t>Inbound</t>
  </si>
  <si>
    <t>Environment: "non-Prod"
support group: "DXC CloudOps</t>
  </si>
  <si>
    <t>Primary Site NSG Rules</t>
  </si>
  <si>
    <t>Priority</t>
  </si>
  <si>
    <t>Name</t>
  </si>
  <si>
    <t>Port</t>
  </si>
  <si>
    <t>Protocol</t>
  </si>
  <si>
    <t>Source</t>
  </si>
  <si>
    <t>Destination</t>
  </si>
  <si>
    <t>Action</t>
  </si>
  <si>
    <t>AllowVnetInBound</t>
  </si>
  <si>
    <t>Any</t>
  </si>
  <si>
    <t>Allow</t>
  </si>
  <si>
    <t>AllowAzureLoadBalancerInBound</t>
  </si>
  <si>
    <t>AzureLoadBalancer</t>
  </si>
  <si>
    <t>DenyAllInBound</t>
  </si>
  <si>
    <t>Deny</t>
  </si>
  <si>
    <t>AllowAzureCloud1Inbound</t>
  </si>
  <si>
    <t>AzureCloud.AustraliaEast</t>
  </si>
  <si>
    <t>AllowAzureCloud2Inbound</t>
  </si>
  <si>
    <t>AzureCloud.AustraliaSouthEast</t>
  </si>
  <si>
    <t>Outbound</t>
  </si>
  <si>
    <t>AllowVnetOutBound</t>
  </si>
  <si>
    <t>AllowInternetOutBound</t>
  </si>
  <si>
    <t>Internet</t>
  </si>
  <si>
    <t>DenyAllOutBound</t>
  </si>
  <si>
    <t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</t>
  </si>
  <si>
    <t>AppTier </t>
  </si>
  <si>
    <t>WS</t>
  </si>
  <si>
    <t>AS</t>
  </si>
  <si>
    <t>DB</t>
  </si>
  <si>
    <t>SV</t>
  </si>
  <si>
    <t>ShortSub</t>
  </si>
  <si>
    <t>VNET CIDR</t>
  </si>
  <si>
    <t>Virtual Network Peering</t>
  </si>
  <si>
    <t>SNET CIDR</t>
  </si>
  <si>
    <t>Route Table</t>
  </si>
  <si>
    <t>Comment</t>
  </si>
  <si>
    <t>NINP-AppTools</t>
  </si>
  <si>
    <t>apt</t>
  </si>
  <si>
    <t>vnet-npp-apt-network-auc1-001</t>
  </si>
  <si>
    <t>10.96.32.0/21</t>
  </si>
  <si>
    <t>rg-npp-apt-network-auc1-001</t>
  </si>
  <si>
    <t>peer-to-vnet-ninp-conn-pnp-hub-auc1</t>
  </si>
  <si>
    <t>sn-npp-apt-dops-auc1-001</t>
  </si>
  <si>
    <t>10.96.32.0/24</t>
  </si>
  <si>
    <t>dops</t>
  </si>
  <si>
    <t>rt-npp-apt-dops-auc1-001</t>
  </si>
  <si>
    <t>NINP-DEV</t>
  </si>
  <si>
    <t>dev</t>
  </si>
  <si>
    <t>vnet-npp-dev-auc1-001</t>
  </si>
  <si>
    <t>10.96.56.0/21</t>
  </si>
  <si>
    <t>rg-dev-network-auc1-001</t>
  </si>
  <si>
    <t>sn-dvg-auc1-dev-app</t>
  </si>
  <si>
    <t>10.96.56.128/25</t>
  </si>
  <si>
    <t>app</t>
  </si>
  <si>
    <t>rt-sn-dvg-auc1-dev-app</t>
  </si>
  <si>
    <t>sn-dvg-auc1-dev-database</t>
  </si>
  <si>
    <t>10.96.57.0/26</t>
  </si>
  <si>
    <t>database</t>
  </si>
  <si>
    <t>rt-sn-dvg-auc1-dev-database</t>
  </si>
  <si>
    <t>sn-dvg-auc1-dev-web</t>
  </si>
  <si>
    <t>10.96.56.0/25</t>
  </si>
  <si>
    <t>web</t>
  </si>
  <si>
    <t>rt-sn-dvg-auc1-dev-web</t>
  </si>
  <si>
    <t>rg-npp-dev-auc1-001</t>
  </si>
  <si>
    <t>sn-dvh-auc1-dev-app</t>
  </si>
  <si>
    <t>10.96.58.0/25</t>
  </si>
  <si>
    <t>rt-sn-dvh-auc1-dev-app</t>
  </si>
  <si>
    <t>sn-dvh-auc1-dev-database</t>
  </si>
  <si>
    <t>10.96.58.128/26</t>
  </si>
  <si>
    <t>rt-sn-dvh-auc1-dev-database</t>
  </si>
  <si>
    <t>sn-dvh-auc1-dev-web</t>
  </si>
  <si>
    <t>10.96.57.128/25</t>
  </si>
  <si>
    <t>rt-sn-dvh-auc1-dev-web</t>
  </si>
  <si>
    <t>sn-dvi-auc1-dev-app</t>
  </si>
  <si>
    <t>10.96.59.128/25</t>
  </si>
  <si>
    <t>rt-sn-dvi-auc1-dev-app</t>
  </si>
  <si>
    <t>sn-dvi-auc1-dev-database</t>
  </si>
  <si>
    <t>10.96.60.0/26</t>
  </si>
  <si>
    <t>rt-sn-dvi-auc1-dev-database</t>
  </si>
  <si>
    <t>sn-dvi-auc1-dev-web</t>
  </si>
  <si>
    <t>10.96.59.0/25</t>
  </si>
  <si>
    <t>rt-sn-dvi-auc1-dev-web</t>
  </si>
  <si>
    <t>sn-dvj-auc1-dev-app</t>
  </si>
  <si>
    <t>10.96.61.0/25</t>
  </si>
  <si>
    <t>rt-sn-dvj-auc1-dev-app</t>
  </si>
  <si>
    <t>sn-dvj-auc1-dev-database</t>
  </si>
  <si>
    <t>10.96.61.128/26</t>
  </si>
  <si>
    <t>rt-sn-dvj-auc1-dev-database</t>
  </si>
  <si>
    <t>sn-dvj-auc1-dev-web</t>
  </si>
  <si>
    <t>10.96.60.128/25</t>
  </si>
  <si>
    <t>rt-sn-dvj-auc1-dev-web</t>
  </si>
  <si>
    <t>NINP-Management</t>
  </si>
  <si>
    <t>mgt</t>
  </si>
  <si>
    <t>vnet-npp-mgt-auc1-001</t>
  </si>
  <si>
    <t>10.96.16.0/21</t>
  </si>
  <si>
    <t>rg-npp-mgt-network-auc1-001</t>
  </si>
  <si>
    <t>sn-npp-auc1-mgt-anf</t>
  </si>
  <si>
    <t>10.96.17.192/26</t>
  </si>
  <si>
    <t>anf</t>
  </si>
  <si>
    <t>rt-npp-mgt-auc1-001</t>
  </si>
  <si>
    <t>sn-npp-auc1-mgt-devops</t>
  </si>
  <si>
    <t>10.96.16.128/27</t>
  </si>
  <si>
    <t>devops</t>
  </si>
  <si>
    <t>sn-npp-auc1-mgt-ra-lin</t>
  </si>
  <si>
    <t>10.96.16.32/27</t>
  </si>
  <si>
    <t>ralin</t>
  </si>
  <si>
    <t>sn-npp-auc1-mgt-ra-win</t>
  </si>
  <si>
    <t>10.96.16.0/27</t>
  </si>
  <si>
    <t>rawin</t>
  </si>
  <si>
    <t>sn-npp-auc1-mgt-siemdev</t>
  </si>
  <si>
    <t>10.96.16.160/27</t>
  </si>
  <si>
    <t>siemdev</t>
  </si>
  <si>
    <t>sn-npp-auc1-mgt-siemsit</t>
  </si>
  <si>
    <t>10.96.16.192/27</t>
  </si>
  <si>
    <t>siemsit</t>
  </si>
  <si>
    <t>sn-npp-auc1-mgt-smtp</t>
  </si>
  <si>
    <t>10.96.16.64/27</t>
  </si>
  <si>
    <t>smtp</t>
  </si>
  <si>
    <t>sn-npp-auc1-mgt-stopvt</t>
  </si>
  <si>
    <t>10.96.17.128/26</t>
  </si>
  <si>
    <t>stopvt</t>
  </si>
  <si>
    <t>sn-npp-auc1-mgt-symep-win</t>
  </si>
  <si>
    <t>10.96.16.224/27</t>
  </si>
  <si>
    <t>symep</t>
  </si>
  <si>
    <t>sn-npp-auc1-mgt-tenable</t>
  </si>
  <si>
    <t>10.96.17.96/27</t>
  </si>
  <si>
    <t>tenable</t>
  </si>
  <si>
    <t>sn-npp-auc1-mgt-vulnscan</t>
  </si>
  <si>
    <t>10.96.16.96/27</t>
  </si>
  <si>
    <t>vulnscan</t>
  </si>
  <si>
    <t>sn-npp-auc1-mgt-whlist</t>
  </si>
  <si>
    <t>10.96.17.32/27</t>
  </si>
  <si>
    <t>whlist</t>
  </si>
  <si>
    <t>NINP-SIT</t>
  </si>
  <si>
    <t>sit</t>
  </si>
  <si>
    <t>vnet-sit-workload-auc1-001</t>
  </si>
  <si>
    <t>10.96.48.0/21</t>
  </si>
  <si>
    <t>rg-sit-network-auc1-001</t>
  </si>
  <si>
    <t>sn-ptd-auc1-sit-app</t>
  </si>
  <si>
    <t>10.96.48.128/25</t>
  </si>
  <si>
    <t>sn-ptd-auc1-sit-database</t>
  </si>
  <si>
    <t>10.96.49.0/26</t>
  </si>
  <si>
    <t>sn-ptd-auc1-sit-web</t>
  </si>
  <si>
    <t>10.96.48.0/25</t>
  </si>
  <si>
    <t>sn-pte-auc1-sit-app</t>
  </si>
  <si>
    <t>10.96.50.0/25</t>
  </si>
  <si>
    <t>sn-pte-auc1-sit-database</t>
  </si>
  <si>
    <t>10.96.50.128/26</t>
  </si>
  <si>
    <t>sn-pte-auc1-sit-web</t>
  </si>
  <si>
    <t>10.96.49.128/25</t>
  </si>
  <si>
    <t>10.96.51.128/25</t>
  </si>
  <si>
    <t>sn-ptf-auc1-sit-database</t>
  </si>
  <si>
    <t>10.96.52.0/26</t>
  </si>
  <si>
    <t>sn-ptf-auc1-sit-web</t>
  </si>
  <si>
    <t>10.96.51.0/25</t>
  </si>
  <si>
    <t>NINP-SVT</t>
  </si>
  <si>
    <t>svt</t>
  </si>
  <si>
    <t>vnet-svp-workload-auc1-001</t>
  </si>
  <si>
    <t>10.96.24.0/21</t>
  </si>
  <si>
    <t>rg-svp-network-auc1-001</t>
  </si>
  <si>
    <t>sn-svt-auc1-svp-web</t>
  </si>
  <si>
    <t>10.96.24.0/24</t>
  </si>
  <si>
    <t>sn-svt-auc1-svp-app</t>
  </si>
  <si>
    <t>10.96.25.0/24</t>
  </si>
  <si>
    <t>sn-svt-auc1-svp-database</t>
  </si>
  <si>
    <t>10.96.26.0/26</t>
  </si>
  <si>
    <t>vnet-sva-workload-auc2-001</t>
  </si>
  <si>
    <t>10.97.0.0/21</t>
  </si>
  <si>
    <t>rg-sva-network-auc2-001</t>
  </si>
  <si>
    <t>sn-sva-auc2-sva-web</t>
  </si>
  <si>
    <t>10.97.0.0/24</t>
  </si>
  <si>
    <t>sn-sva-auc2-sva-app</t>
  </si>
  <si>
    <t>10.97.1.0/24</t>
  </si>
  <si>
    <t>sn-sva-auc2-sva-database</t>
  </si>
  <si>
    <t>10.97.2.0/26</t>
  </si>
  <si>
    <t>NINP-PERF</t>
  </si>
  <si>
    <t>per</t>
  </si>
  <si>
    <t>10.98.40.0/21</t>
  </si>
  <si>
    <t>rg-per-network-aue-001</t>
  </si>
  <si>
    <t>vnet-ninp-conn-pnp-hub-aue</t>
  </si>
  <si>
    <t>10.98.40.0/24</t>
  </si>
  <si>
    <t>Updated for new Aus East region</t>
  </si>
  <si>
    <t>10.98.41.0/24</t>
  </si>
  <si>
    <t>10.98.42.0/26</t>
  </si>
  <si>
    <t>NIPD-Management</t>
  </si>
  <si>
    <t>vnet-prd-mgt-network-auc1</t>
  </si>
  <si>
    <t>10.100.16.0/21</t>
  </si>
  <si>
    <t>rg-prd-mgt-network-auc1</t>
  </si>
  <si>
    <t>peer-to-vnet-prd-con-hub-auc1</t>
  </si>
  <si>
    <t>sn-prd-auc1-mgt-ra-win</t>
  </si>
  <si>
    <t>10.100.16.0/27</t>
  </si>
  <si>
    <t>ra-win</t>
  </si>
  <si>
    <t>sn-prd-auc1-mgt-ra-lin</t>
  </si>
  <si>
    <t>10.100.16.32/27</t>
  </si>
  <si>
    <t>ra-lin</t>
  </si>
  <si>
    <t>sn-prd-auc1-mgt-smtp</t>
  </si>
  <si>
    <t>10.100.16.64/27</t>
  </si>
  <si>
    <t>sn-prd-auc1-mgt-vulnscan</t>
  </si>
  <si>
    <t>10.100.16.96/27</t>
  </si>
  <si>
    <t>sn-prd-auc1-mgt-devops</t>
  </si>
  <si>
    <t>10.100.16.128/27</t>
  </si>
  <si>
    <t>sn-prd-auc1-mgt-siempdc</t>
  </si>
  <si>
    <t>10.100.16.160/27</t>
  </si>
  <si>
    <t>siempdc</t>
  </si>
  <si>
    <t>sn-prd-auc1-mgt-cyberark</t>
  </si>
  <si>
    <t>10.100.16.192/27</t>
  </si>
  <si>
    <t>cyberark</t>
  </si>
  <si>
    <t>sn-prd-auc1-mgt-symep-win</t>
  </si>
  <si>
    <t>10.100.16.224/27</t>
  </si>
  <si>
    <t>sn-prd-auc1-mgt-clmep-lin</t>
  </si>
  <si>
    <t>10.100.17.0/27</t>
  </si>
  <si>
    <t>clmep</t>
  </si>
  <si>
    <t>sn-prd-auc1-mgt-whlist</t>
  </si>
  <si>
    <t>10.100.17.32/27</t>
  </si>
  <si>
    <t>sn-prd-auc1-mgt-midserver</t>
  </si>
  <si>
    <t>10.100.17.64/27</t>
  </si>
  <si>
    <t>mids</t>
  </si>
  <si>
    <t>sn-prd-auc1-mgt-oem</t>
  </si>
  <si>
    <t>10.100.17.96/27</t>
  </si>
  <si>
    <t>oem</t>
  </si>
  <si>
    <t>10.100.17.128/27</t>
  </si>
  <si>
    <t>NINP-PERF2</t>
  </si>
  <si>
    <t>pf2</t>
  </si>
  <si>
    <t>vnet-pf2-workload-aue-001</t>
  </si>
  <si>
    <t>10.98.72.0/21</t>
  </si>
  <si>
    <t>rg-pf2-network-aue-001</t>
  </si>
  <si>
    <t>10.98.72.0/24</t>
  </si>
  <si>
    <t>rt-sn-pfb-aue-pf2-web</t>
  </si>
  <si>
    <t>10.98.73.0/24</t>
  </si>
  <si>
    <t>rt-sn-pfb-aue-pf2-app</t>
  </si>
  <si>
    <t>10.98.74.0/26</t>
  </si>
  <si>
    <t>rt-sn-pfb-aue-pf2-database</t>
  </si>
  <si>
    <t>Standard SSD</t>
  </si>
  <si>
    <t>Australia South East</t>
  </si>
  <si>
    <t>Standard HDD</t>
  </si>
  <si>
    <t>No</t>
  </si>
  <si>
    <t>Header</t>
  </si>
  <si>
    <t>Format</t>
  </si>
  <si>
    <t xml:space="preserve">vnet-&lt;lifecycle&gt;-&lt;shortsub&gt;-&lt;description&gt;-&lt;region&gt;-&lt;iteration&gt; </t>
  </si>
  <si>
    <t xml:space="preserve">peer-to-&lt;vnetname&gt; </t>
  </si>
  <si>
    <t xml:space="preserve">sn-&lt;lifecycle&gt;-&lt;region&gt;-&lt;shortsub&gt;-&lt;description&gt; </t>
  </si>
  <si>
    <t xml:space="preserve">VM Name </t>
  </si>
  <si>
    <t>vm&lt;lifecycle&gt;&lt;shortsub&gt;&lt;service&gt;&lt;iteration&gt;</t>
  </si>
  <si>
    <t xml:space="preserve">Virtual Machine Resource Groups
</t>
  </si>
  <si>
    <t>Non-Prod: rg-&lt;lifecycle&gt;-&lt;shortsub&gt;-&lt;description&gt;-&lt;region&gt;-&lt;iteration&gt;
----
Prod: rg-&lt;lifecycle&gt;-&lt;shortsub&gt;-&lt;service&gt;-&lt;region&gt;</t>
  </si>
  <si>
    <t>Hostname</t>
  </si>
  <si>
    <t>Domain</t>
  </si>
  <si>
    <t>PLATFORM</t>
  </si>
  <si>
    <t>OS</t>
  </si>
  <si>
    <t>OS_Rev_Lvl</t>
  </si>
  <si>
    <t>OSLicenseOwnership</t>
  </si>
  <si>
    <t>Manufacturer</t>
  </si>
  <si>
    <t>Model</t>
  </si>
  <si>
    <t>CurrentService</t>
  </si>
  <si>
    <t>Role</t>
  </si>
  <si>
    <t>Usage</t>
  </si>
  <si>
    <t>Criticality</t>
  </si>
  <si>
    <t>SpecialCardReq</t>
  </si>
  <si>
    <t>PhysServerRequired</t>
  </si>
  <si>
    <t>SecurityZone</t>
  </si>
  <si>
    <t>Virtual</t>
  </si>
  <si>
    <t>CPUType</t>
  </si>
  <si>
    <t>CPUSpeed</t>
  </si>
  <si>
    <t>Memory</t>
  </si>
  <si>
    <t>Gateway</t>
  </si>
  <si>
    <t>DNSPrimary</t>
  </si>
  <si>
    <t>DNSSecondary</t>
  </si>
  <si>
    <t>NetWorkZone</t>
  </si>
  <si>
    <t>OSBasedLoadBalReq</t>
  </si>
  <si>
    <t>LBPublicIP</t>
  </si>
  <si>
    <t>LBInternalIP</t>
  </si>
  <si>
    <t>Clustered</t>
  </si>
  <si>
    <t>ClusterName</t>
  </si>
  <si>
    <t>Dot_Net_Version</t>
  </si>
  <si>
    <t>Special_Handling</t>
  </si>
  <si>
    <t>Special_Handling_Notes</t>
  </si>
  <si>
    <t>last_reboot</t>
  </si>
  <si>
    <t>DecomissionStatus</t>
  </si>
  <si>
    <t>DNSHOSTNAME</t>
  </si>
  <si>
    <t>POWERSTATE</t>
  </si>
  <si>
    <t>MANAGED_BY</t>
  </si>
  <si>
    <t>DATA_SOURCES</t>
  </si>
  <si>
    <t>ServerGroup</t>
  </si>
  <si>
    <t>INUSE_MB</t>
  </si>
  <si>
    <t>PROVISIONED_MB</t>
  </si>
  <si>
    <t>InScope</t>
  </si>
  <si>
    <t>InScopeComment</t>
  </si>
  <si>
    <t>Deployed_in_FMO</t>
  </si>
  <si>
    <t>column</t>
  </si>
  <si>
    <t>T-Shirt-Size</t>
  </si>
  <si>
    <t>FMO HostName</t>
  </si>
  <si>
    <t>CMO Hostname</t>
  </si>
  <si>
    <t>Environment</t>
  </si>
  <si>
    <t>DateChecked</t>
  </si>
  <si>
    <t xml:space="preserve">ehealth.gov.au </t>
  </si>
  <si>
    <t>Oracle Linux</t>
  </si>
  <si>
    <t>OEL7.9</t>
  </si>
  <si>
    <t>aea</t>
  </si>
  <si>
    <t>AEA</t>
  </si>
  <si>
    <t>PFA</t>
  </si>
  <si>
    <t>Intel(R)Xeon(R)CPUE5-2699v4@2.20GHz</t>
  </si>
  <si>
    <t>255.255.255.0</t>
  </si>
  <si>
    <t>10.18.177.146</t>
  </si>
  <si>
    <t>10.18.177.147</t>
  </si>
  <si>
    <t>Mid</t>
  </si>
  <si>
    <t>AEM -Author</t>
  </si>
  <si>
    <t>Active</t>
  </si>
  <si>
    <t>poweredOn</t>
  </si>
  <si>
    <t>Managed to OS: AMHR-Private cloud-NPE-BS</t>
  </si>
  <si>
    <t>aep</t>
  </si>
  <si>
    <t>AEP</t>
  </si>
  <si>
    <t>Intel(R)Xeon(R)CPUE5-2690v3@2.60GHz</t>
  </si>
  <si>
    <t>AEM -Publisher</t>
  </si>
  <si>
    <t>aho</t>
  </si>
  <si>
    <t>AHO</t>
  </si>
  <si>
    <t>DMZ</t>
  </si>
  <si>
    <t>OHS-API Gatway N1</t>
  </si>
  <si>
    <t>OHS-API Gatway N2</t>
  </si>
  <si>
    <t>OHS-API Gatway N3</t>
  </si>
  <si>
    <t>OHS-API Gatway N4</t>
  </si>
  <si>
    <t>cho</t>
  </si>
  <si>
    <t>OHS-Common OSB</t>
  </si>
  <si>
    <t>CRP</t>
  </si>
  <si>
    <t>OSB CRP Domain N2</t>
  </si>
  <si>
    <t>OSB CRP Domain N3</t>
  </si>
  <si>
    <t>OSB CRP Domain N4</t>
  </si>
  <si>
    <t>OSB CRP Domain N5</t>
  </si>
  <si>
    <t>OSB CRP Domain N6</t>
  </si>
  <si>
    <t>OSB CRP Domain N7</t>
  </si>
  <si>
    <t>OSB CRP Domain N8</t>
  </si>
  <si>
    <t>OSB CRP Domain N1</t>
  </si>
  <si>
    <t>DCR</t>
  </si>
  <si>
    <t>OSB DCR N2</t>
  </si>
  <si>
    <t>OSB DCR N3</t>
  </si>
  <si>
    <t>OSB DCR N1</t>
  </si>
  <si>
    <t>oid</t>
  </si>
  <si>
    <t>OID</t>
  </si>
  <si>
    <t>OID N1</t>
  </si>
  <si>
    <t>DCX</t>
  </si>
  <si>
    <t>OSB DCX Domain N2</t>
  </si>
  <si>
    <t>OSB DCX Domain N3</t>
  </si>
  <si>
    <t>OSB DCX Domain N4</t>
  </si>
  <si>
    <t>OSB DCX Domain N5</t>
  </si>
  <si>
    <t>OSB DCX Domain N8</t>
  </si>
  <si>
    <t>OSB DCX Domain N9</t>
  </si>
  <si>
    <t>OSB DCX Domain N10</t>
  </si>
  <si>
    <t>OSB DCX Domain N1</t>
  </si>
  <si>
    <t>OID N2</t>
  </si>
  <si>
    <t>OID N3</t>
  </si>
  <si>
    <t>OID N4</t>
  </si>
  <si>
    <t>OID N5</t>
  </si>
  <si>
    <t>OID N6</t>
  </si>
  <si>
    <t>OID N7</t>
  </si>
  <si>
    <t>OID N8</t>
  </si>
  <si>
    <t>hmr</t>
  </si>
  <si>
    <t xml:space="preserve">HMR </t>
  </si>
  <si>
    <t>RLS N11</t>
  </si>
  <si>
    <t>RLS N12</t>
  </si>
  <si>
    <t>OEL6.10</t>
  </si>
  <si>
    <t>mob</t>
  </si>
  <si>
    <t>MOB</t>
  </si>
  <si>
    <t>B2M-OAG N1</t>
  </si>
  <si>
    <t>B2M-OAG N2</t>
  </si>
  <si>
    <t>oes</t>
  </si>
  <si>
    <t>OES</t>
  </si>
  <si>
    <t>OES N11</t>
  </si>
  <si>
    <t>OES N12</t>
  </si>
  <si>
    <t>OES N13</t>
  </si>
  <si>
    <t>dsm</t>
  </si>
  <si>
    <t>DSM</t>
  </si>
  <si>
    <t>ODSM N1</t>
  </si>
  <si>
    <t>FHI</t>
  </si>
  <si>
    <t>10.18.240.146</t>
  </si>
  <si>
    <t>FHIR-OAG N1</t>
  </si>
  <si>
    <t>FHIR-OAG N2</t>
  </si>
  <si>
    <t>FHIR-OAG N3</t>
  </si>
  <si>
    <t>FHIR-OAG N4</t>
  </si>
  <si>
    <t>OES N14</t>
  </si>
  <si>
    <t>OES N15</t>
  </si>
  <si>
    <t>OES N16</t>
  </si>
  <si>
    <t>OES N17</t>
  </si>
  <si>
    <t>hdr</t>
  </si>
  <si>
    <t>HDR</t>
  </si>
  <si>
    <t>HDR N1</t>
  </si>
  <si>
    <t>HDR N2</t>
  </si>
  <si>
    <t>HDR N3</t>
  </si>
  <si>
    <t>HDR N4</t>
  </si>
  <si>
    <t>HDR N5</t>
  </si>
  <si>
    <t>HDR N6</t>
  </si>
  <si>
    <t>HDR N7</t>
  </si>
  <si>
    <t>HDR N8</t>
  </si>
  <si>
    <t>HDR N9</t>
  </si>
  <si>
    <t>HDR N10</t>
  </si>
  <si>
    <t>HDR N11</t>
  </si>
  <si>
    <t>HDR N12</t>
  </si>
  <si>
    <t>HDR N13</t>
  </si>
  <si>
    <t>HDR N14</t>
  </si>
  <si>
    <t>HDR N15</t>
  </si>
  <si>
    <t>HDR P1</t>
  </si>
  <si>
    <t>HDR P2</t>
  </si>
  <si>
    <t>OES N18</t>
  </si>
  <si>
    <t>OES N19</t>
  </si>
  <si>
    <t>OSB DCR</t>
  </si>
  <si>
    <t>OSB DCX Domain N11</t>
  </si>
  <si>
    <t>OSB DCX Domain N12</t>
  </si>
  <si>
    <t>OSB DCX Domain N13</t>
  </si>
  <si>
    <t>OSB DCX Domain N14</t>
  </si>
  <si>
    <t>OSB DCX Domain N15</t>
  </si>
  <si>
    <t>OSB DCX Domain N16</t>
  </si>
  <si>
    <t>OSB DCX Domain N17</t>
  </si>
  <si>
    <t>OSB DCX Domain N18</t>
  </si>
  <si>
    <t>OSB DCX Domain N19</t>
  </si>
  <si>
    <t>OSB DCX Domain N20</t>
  </si>
  <si>
    <t>HMR</t>
  </si>
  <si>
    <t>RLS N2</t>
  </si>
  <si>
    <t>RLS N4</t>
  </si>
  <si>
    <t>RLS N6</t>
  </si>
  <si>
    <t>RLS N7</t>
  </si>
  <si>
    <t>RLS N8</t>
  </si>
  <si>
    <t>RLS N9</t>
  </si>
  <si>
    <t>RLS N10</t>
  </si>
  <si>
    <t>RLS N1</t>
  </si>
  <si>
    <t>RLS N3</t>
  </si>
  <si>
    <t>RLS N5</t>
  </si>
  <si>
    <t>OSB DCX Domain N21</t>
  </si>
  <si>
    <t>OSB DCX Domain N22</t>
  </si>
  <si>
    <t>Microsoft</t>
  </si>
  <si>
    <t>inj</t>
  </si>
  <si>
    <t>Infra</t>
  </si>
  <si>
    <t>10.18.250.100</t>
  </si>
  <si>
    <t>10.18.250.101</t>
  </si>
  <si>
    <t>PerfTest 6</t>
  </si>
  <si>
    <t>T1</t>
  </si>
  <si>
    <t>PerfTest 7</t>
  </si>
  <si>
    <t>PerfTest 8</t>
  </si>
  <si>
    <t>PerfTest 10</t>
  </si>
  <si>
    <t>PerfTest 11</t>
  </si>
  <si>
    <t>PerfTest 12</t>
  </si>
  <si>
    <t>PerfTest 13</t>
  </si>
  <si>
    <t>PerfTest 14</t>
  </si>
  <si>
    <t>PerfTest 15</t>
  </si>
  <si>
    <t>PerfTest 16</t>
  </si>
  <si>
    <t>PerfTest 9</t>
  </si>
  <si>
    <t>PerfTest 2</t>
  </si>
  <si>
    <t>PerfTest 3</t>
  </si>
  <si>
    <t>PerfTest 4</t>
  </si>
  <si>
    <t>PerfTest 17</t>
  </si>
  <si>
    <t>PerfTest 1</t>
  </si>
  <si>
    <t>PerfTest 5</t>
  </si>
  <si>
    <t>OSB DCX Domain N23</t>
  </si>
  <si>
    <t>OSB DCX Domain N24</t>
  </si>
  <si>
    <t>nes</t>
  </si>
  <si>
    <t>NES</t>
  </si>
  <si>
    <t>T2 Nessus Scanner</t>
  </si>
  <si>
    <t>Nessus Scanner</t>
  </si>
  <si>
    <t>ehgpfaasoaa01 - remove</t>
  </si>
  <si>
    <t>24/03/2022: OBIEE and OAAM applications are not required</t>
  </si>
  <si>
    <t>oaa</t>
  </si>
  <si>
    <t>OAA</t>
  </si>
  <si>
    <t>OAAM N1</t>
  </si>
  <si>
    <t>24/03/2022: (N) -  OBIEE and OAAM applications are not required</t>
  </si>
  <si>
    <t>ehgpfaasoab01 - remove</t>
  </si>
  <si>
    <t>oab</t>
  </si>
  <si>
    <t>OAB</t>
  </si>
  <si>
    <t>OAAM BI Publisher + Log Parser</t>
  </si>
  <si>
    <t>OAG</t>
  </si>
  <si>
    <t>B2B-OAG N1</t>
  </si>
  <si>
    <t>B2B-OAG N2</t>
  </si>
  <si>
    <t>B2B-OAG N3</t>
  </si>
  <si>
    <t>B2B-OAG N4</t>
  </si>
  <si>
    <t>B2B-OAG N5</t>
  </si>
  <si>
    <t>B2B-OAG N6</t>
  </si>
  <si>
    <t>oam</t>
  </si>
  <si>
    <t>OAM</t>
  </si>
  <si>
    <t>OAM N1</t>
  </si>
  <si>
    <t>OAM N2</t>
  </si>
  <si>
    <t>OAM N3</t>
  </si>
  <si>
    <t>OAM N4</t>
  </si>
  <si>
    <t>OAM N5</t>
  </si>
  <si>
    <t>OAM N6</t>
  </si>
  <si>
    <t>OAM N7</t>
  </si>
  <si>
    <t>OAM N8</t>
  </si>
  <si>
    <t>ehgpfaasobi01 - remove</t>
  </si>
  <si>
    <t>obi</t>
  </si>
  <si>
    <t>OBI</t>
  </si>
  <si>
    <t>OBIEE N1</t>
  </si>
  <si>
    <t>OCR</t>
  </si>
  <si>
    <t>OAG-CRP N1</t>
  </si>
  <si>
    <t>OAG-CRP N2</t>
  </si>
  <si>
    <t>OAG-CRP N3</t>
  </si>
  <si>
    <t>OAG-CRP N4</t>
  </si>
  <si>
    <t>OAG-CRP N5</t>
  </si>
  <si>
    <t>OAG-CRP N6</t>
  </si>
  <si>
    <t>OES N1</t>
  </si>
  <si>
    <t>OES N2</t>
  </si>
  <si>
    <t>OES N3</t>
  </si>
  <si>
    <t>OES N4</t>
  </si>
  <si>
    <t>OES N5</t>
  </si>
  <si>
    <t>OES N6</t>
  </si>
  <si>
    <t>OES N7</t>
  </si>
  <si>
    <t>OES N8</t>
  </si>
  <si>
    <t>OES N9</t>
  </si>
  <si>
    <t>oha</t>
  </si>
  <si>
    <t>OHA</t>
  </si>
  <si>
    <t>OHS-Admin/OBIEE N1</t>
  </si>
  <si>
    <t>OHS-Admin/OBIEE N2</t>
  </si>
  <si>
    <t>ohb</t>
  </si>
  <si>
    <t>OHB</t>
  </si>
  <si>
    <t>OHS-OAG B2B</t>
  </si>
  <si>
    <t>ohc</t>
  </si>
  <si>
    <t>OHC</t>
  </si>
  <si>
    <t>OHS-Consumer N1</t>
  </si>
  <si>
    <t>OHS-Consumer N2</t>
  </si>
  <si>
    <t>OHS-Consumer N3</t>
  </si>
  <si>
    <t>OHS-Consumer N4</t>
  </si>
  <si>
    <t>OHS-Consumer N5</t>
  </si>
  <si>
    <t>OHS-Consumer N6</t>
  </si>
  <si>
    <t>OHS-Consumer N7</t>
  </si>
  <si>
    <t>OHS-Consumer N8</t>
  </si>
  <si>
    <t>OHM</t>
  </si>
  <si>
    <t>OHS-OAG B2M and FHIR / Mobility</t>
  </si>
  <si>
    <t>OHO</t>
  </si>
  <si>
    <t>OHS-OAG OCR</t>
  </si>
  <si>
    <t>OID N9</t>
  </si>
  <si>
    <t>OID N10</t>
  </si>
  <si>
    <t>OID N11</t>
  </si>
  <si>
    <t>OID N12</t>
  </si>
  <si>
    <t>OID N13</t>
  </si>
  <si>
    <t>OID N14</t>
  </si>
  <si>
    <t>OID N15</t>
  </si>
  <si>
    <t>OID N16</t>
  </si>
  <si>
    <t>OID N17</t>
  </si>
  <si>
    <t>OID N18</t>
  </si>
  <si>
    <t>OSB</t>
  </si>
  <si>
    <t>OSB Log N12</t>
  </si>
  <si>
    <t>OSB Log N13</t>
  </si>
  <si>
    <t>OSB Log N14</t>
  </si>
  <si>
    <t>OSB Log N15</t>
  </si>
  <si>
    <t>OSB Log N16</t>
  </si>
  <si>
    <t>OSB Log N17</t>
  </si>
  <si>
    <t>OSB Log N18</t>
  </si>
  <si>
    <t>OSB Log N02</t>
  </si>
  <si>
    <t>OSB Log N03</t>
  </si>
  <si>
    <t>OSB Log N04</t>
  </si>
  <si>
    <t>OSB Log N05</t>
  </si>
  <si>
    <t>OSB Log N06</t>
  </si>
  <si>
    <t>OSB Log N07</t>
  </si>
  <si>
    <t>OSB Log N08</t>
  </si>
  <si>
    <t>OSB Log N09</t>
  </si>
  <si>
    <t>OSB Log N10</t>
  </si>
  <si>
    <t>OSB Log N01</t>
  </si>
  <si>
    <t>OSB Log N19</t>
  </si>
  <si>
    <t>OSB Log N20</t>
  </si>
  <si>
    <t>OSB Log N21</t>
  </si>
  <si>
    <t>OSB Log N22</t>
  </si>
  <si>
    <t>OSB Log N23</t>
  </si>
  <si>
    <t>OSB Log N24</t>
  </si>
  <si>
    <t>OSB Log N25</t>
  </si>
  <si>
    <t>OSB Log N26</t>
  </si>
  <si>
    <t>OSB Log N27</t>
  </si>
  <si>
    <t>OSB Log N28</t>
  </si>
  <si>
    <t>OSB Log N29</t>
  </si>
  <si>
    <t>OSB Log N30</t>
  </si>
  <si>
    <t>OSB Log N31</t>
  </si>
  <si>
    <t>FHIR-OAG N5</t>
  </si>
  <si>
    <t>FHIR-OAG N6</t>
  </si>
  <si>
    <t>FHIR-OAG N7</t>
  </si>
  <si>
    <t>FHIR-OAG N8</t>
  </si>
  <si>
    <t>OID N19</t>
  </si>
  <si>
    <t>ehgpfaasobi02 - remove</t>
  </si>
  <si>
    <t>OBIEE N2</t>
  </si>
  <si>
    <t>OES N10</t>
  </si>
  <si>
    <t>OSB Log N11</t>
  </si>
  <si>
    <t>ehgpfasvops01</t>
  </si>
  <si>
    <t>ops</t>
  </si>
  <si>
    <t>OPS</t>
  </si>
  <si>
    <t>General Services</t>
  </si>
  <si>
    <t>Operations VM</t>
  </si>
  <si>
    <t>Services</t>
  </si>
  <si>
    <t>opt</t>
  </si>
  <si>
    <t>OPT</t>
  </si>
  <si>
    <t>NIO Operations Tool</t>
  </si>
  <si>
    <t>OSB Common Domain N2</t>
  </si>
  <si>
    <t>OSB Common Domain N3</t>
  </si>
  <si>
    <t>OSB Common Domain N4</t>
  </si>
  <si>
    <t>OSB Common Domain N5</t>
  </si>
  <si>
    <t>OSB Common Domain N6</t>
  </si>
  <si>
    <t>OSB Common Domain N7</t>
  </si>
  <si>
    <t>OSB Common Domain N8</t>
  </si>
  <si>
    <t>OSB Common Domain N1</t>
  </si>
  <si>
    <t>OSB Common Domain N9</t>
  </si>
  <si>
    <t>OSB Common Domain N10</t>
  </si>
  <si>
    <t>27/01/2022: Added from Johns &lt;qi.jiu.wu@accenture.com&gt; seededdata sheet.</t>
  </si>
  <si>
    <t>OHS-DCR OSB</t>
  </si>
  <si>
    <t>sol</t>
  </si>
  <si>
    <t>SOL</t>
  </si>
  <si>
    <t>SOLR</t>
  </si>
  <si>
    <t>wbc</t>
  </si>
  <si>
    <t>WBC</t>
  </si>
  <si>
    <t>WBC N1 / TMPL N4</t>
  </si>
  <si>
    <t>WBC N2 / TMPL N3</t>
  </si>
  <si>
    <t>WBC N3 / TMPL N2</t>
  </si>
  <si>
    <t>WBC N4 / TMPL N1</t>
  </si>
  <si>
    <t>WBC / TMPL</t>
  </si>
  <si>
    <t>OHS-DCX OSB</t>
  </si>
  <si>
    <t>PerfTest23</t>
  </si>
  <si>
    <t>New</t>
  </si>
  <si>
    <t xml:space="preserve">5/04/2022: Added into FMO at request of qi.jiu.wu@accenture.com </t>
  </si>
  <si>
    <t>PerfTest24</t>
  </si>
  <si>
    <t>PerfTest25</t>
  </si>
  <si>
    <t>PerfTest26</t>
  </si>
  <si>
    <t>PerfTest27</t>
  </si>
  <si>
    <t>PerfTest28</t>
  </si>
  <si>
    <t>PerfTest29</t>
  </si>
  <si>
    <t>PerfTest30</t>
  </si>
  <si>
    <t>DB Nessus Scanner</t>
  </si>
  <si>
    <t>5/04/2022: Manual add to allow trace of new Nessus scanner to FMO</t>
  </si>
  <si>
    <t>Not created</t>
  </si>
  <si>
    <t>created</t>
  </si>
  <si>
    <t>pfbpf2mob</t>
  </si>
  <si>
    <t>/apps/nfs/npt2qzone_pfb</t>
  </si>
  <si>
    <t>/apps/nfs/pft1qzone_pfb</t>
  </si>
  <si>
    <t>/apps/nfs/pft2qzone_pfb</t>
  </si>
  <si>
    <t>pfbpf2ohm</t>
  </si>
  <si>
    <t>pfbpf2oho</t>
  </si>
  <si>
    <t>pfbpf2fhi</t>
  </si>
  <si>
    <t>pfbpf2oag</t>
  </si>
  <si>
    <t>pfbpf2ocr</t>
  </si>
  <si>
    <t>pfbpf2dcx</t>
  </si>
  <si>
    <t>pfbpf2olg</t>
  </si>
  <si>
    <t>pfbpf2osb</t>
  </si>
  <si>
    <t>pfbpf2crp</t>
  </si>
  <si>
    <t>pfbpf2dcr</t>
  </si>
  <si>
    <t>pfbpf2rho</t>
  </si>
  <si>
    <t>pfbpf2xho</t>
  </si>
  <si>
    <t>pfbpf2oam</t>
  </si>
  <si>
    <t>pfbpf2aep</t>
  </si>
  <si>
    <t>10.98.89.8:/npt2qzone_pfb/apps/nfs/npt2qzone_pfb</t>
  </si>
  <si>
    <t>10.98.89.8:/pft1qzone_pfb/apps/nfs/pft1qzone_pfb</t>
  </si>
  <si>
    <t>10.98.89.8:/pft2qzone_pfb/apps/nfs/pft2qzone_pfb</t>
  </si>
  <si>
    <t>10.98.89.8:/t2_portal_pfb/apps/nfs/portal</t>
  </si>
  <si>
    <t>10.98.89.8:/t2_shareq_pfb/apps/nfs/shareQ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</si>
</sst>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F3F7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rgb="FF3F3F76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charset val="1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Arial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i/>
      <sz val="11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rgb="FFFFFFFF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44444"/>
      <name val="Calibri"/>
      <family val="2"/>
      <charset val="1"/>
    </font>
    <font>
      <sz val="9"/>
      <color theme="1"/>
      <name val="Calibri"/>
      <family val="2"/>
      <scheme val="minor"/>
    </font>
    <font>
      <b/>
      <sz val="9"/>
      <color rgb="FFFFFFFF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80808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D9E1F2"/>
        <bgColor rgb="FFD9E1F2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D0CECE"/>
        <bgColor rgb="FF000000"/>
      </patternFill>
    </fill>
  </fills>
  <borders count="5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 style="medium">
        <color indexed="64"/>
      </left>
      <right style="medium">
        <color indexed="64"/>
      </right>
      <top/>
      <bottom style="thin">
        <color theme="6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6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9BC2E6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9BC2E6"/>
      </top>
      <bottom/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 style="medium">
        <color rgb="FF616161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rgb="FF5B9BD5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7" fillId="4" borderId="12" applyNumberFormat="0" applyAlignment="0" applyProtection="0"/>
    <xf numFmtId="0" fontId="8" fillId="5" borderId="0" applyNumberFormat="0" applyBorder="0" applyAlignment="0" applyProtection="0"/>
    <xf numFmtId="0" fontId="23" fillId="17" borderId="2" applyAlignment="0" applyProtection="0"/>
    <xf numFmtId="0" fontId="14" fillId="22" borderId="0" applyNumberFormat="0" applyBorder="0" applyAlignment="0" applyProtection="0"/>
  </cellStyleXfs>
  <cellXfs count="178">
    <xf numFmtId="0" fontId="0" fillId="0" borderId="0" xfId="0"/>
    <xf numFmtId="0" fontId="0" fillId="0" borderId="2" xfId="0" applyBorder="1" applyAlignment="1">
      <alignment horizontal="left" vertical="top"/>
    </xf>
    <xf numFmtId="0" fontId="5" fillId="2" borderId="1" xfId="1" applyFont="1"/>
    <xf numFmtId="0" fontId="5" fillId="2" borderId="1" xfId="1" applyFont="1" applyAlignment="1">
      <alignment wrapText="1"/>
    </xf>
    <xf numFmtId="0" fontId="6" fillId="0" borderId="0" xfId="0" applyFont="1"/>
    <xf numFmtId="0" fontId="5" fillId="2" borderId="9" xfId="1" applyFont="1" applyBorder="1" applyAlignment="1">
      <alignment wrapText="1"/>
    </xf>
    <xf numFmtId="0" fontId="5" fillId="2" borderId="13" xfId="1" applyFont="1" applyBorder="1"/>
    <xf numFmtId="0" fontId="7" fillId="4" borderId="17" xfId="3" applyBorder="1" applyAlignment="1">
      <alignment horizontal="left" vertical="top"/>
    </xf>
    <xf numFmtId="0" fontId="0" fillId="0" borderId="2" xfId="0" applyBorder="1"/>
    <xf numFmtId="0" fontId="7" fillId="4" borderId="8" xfId="3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right" vertical="top"/>
    </xf>
    <xf numFmtId="0" fontId="0" fillId="0" borderId="0" xfId="0" applyAlignment="1">
      <alignment wrapText="1"/>
    </xf>
    <xf numFmtId="0" fontId="8" fillId="5" borderId="2" xfId="4" applyBorder="1" applyAlignment="1">
      <alignment horizontal="left" vertical="top"/>
    </xf>
    <xf numFmtId="0" fontId="8" fillId="5" borderId="2" xfId="4" applyBorder="1" applyAlignment="1">
      <alignment horizontal="left" vertical="top" wrapText="1"/>
    </xf>
    <xf numFmtId="0" fontId="8" fillId="5" borderId="0" xfId="4"/>
    <xf numFmtId="0" fontId="0" fillId="6" borderId="0" xfId="0" applyFill="1" applyAlignment="1">
      <alignment wrapText="1"/>
    </xf>
    <xf numFmtId="0" fontId="0" fillId="7" borderId="2" xfId="0" applyFill="1" applyBorder="1" applyAlignment="1">
      <alignment horizontal="left" vertical="top" wrapText="1"/>
    </xf>
    <xf numFmtId="0" fontId="0" fillId="7" borderId="2" xfId="0" applyFill="1" applyBorder="1" applyAlignment="1">
      <alignment horizontal="left" vertical="top"/>
    </xf>
    <xf numFmtId="0" fontId="0" fillId="9" borderId="2" xfId="0" applyFill="1" applyBorder="1" applyAlignment="1">
      <alignment horizontal="left" vertical="top"/>
    </xf>
    <xf numFmtId="0" fontId="0" fillId="9" borderId="2" xfId="0" applyFill="1" applyBorder="1" applyAlignment="1">
      <alignment horizontal="left" vertical="top" wrapText="1"/>
    </xf>
    <xf numFmtId="0" fontId="12" fillId="0" borderId="0" xfId="0" applyFont="1"/>
    <xf numFmtId="0" fontId="4" fillId="0" borderId="27" xfId="0" applyFont="1" applyBorder="1" applyAlignment="1">
      <alignment vertical="top" wrapText="1"/>
    </xf>
    <xf numFmtId="0" fontId="0" fillId="9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5" fillId="0" borderId="1" xfId="1" applyFont="1" applyFill="1"/>
    <xf numFmtId="0" fontId="9" fillId="0" borderId="1" xfId="1" applyFont="1" applyFill="1" applyAlignment="1">
      <alignment wrapText="1"/>
    </xf>
    <xf numFmtId="0" fontId="5" fillId="0" borderId="1" xfId="1" applyFont="1" applyFill="1" applyAlignment="1">
      <alignment wrapText="1"/>
    </xf>
    <xf numFmtId="0" fontId="11" fillId="9" borderId="29" xfId="0" applyFont="1" applyFill="1" applyBorder="1" applyAlignment="1">
      <alignment horizontal="left" vertical="top" wrapText="1"/>
    </xf>
    <xf numFmtId="0" fontId="11" fillId="9" borderId="28" xfId="0" applyFont="1" applyFill="1" applyBorder="1" applyAlignment="1">
      <alignment horizontal="left" vertical="top"/>
    </xf>
    <xf numFmtId="0" fontId="11" fillId="0" borderId="0" xfId="0" applyFont="1"/>
    <xf numFmtId="0" fontId="0" fillId="0" borderId="30" xfId="0" applyBorder="1"/>
    <xf numFmtId="0" fontId="0" fillId="0" borderId="31" xfId="0" applyBorder="1"/>
    <xf numFmtId="0" fontId="15" fillId="11" borderId="32" xfId="0" applyFont="1" applyFill="1" applyBorder="1" applyAlignment="1">
      <alignment vertical="center" wrapText="1"/>
    </xf>
    <xf numFmtId="0" fontId="15" fillId="11" borderId="33" xfId="0" applyFont="1" applyFill="1" applyBorder="1" applyAlignment="1">
      <alignment vertical="center" wrapText="1"/>
    </xf>
    <xf numFmtId="0" fontId="15" fillId="12" borderId="33" xfId="0" applyFont="1" applyFill="1" applyBorder="1" applyAlignment="1">
      <alignment vertical="center" wrapText="1"/>
    </xf>
    <xf numFmtId="0" fontId="15" fillId="13" borderId="32" xfId="0" applyFont="1" applyFill="1" applyBorder="1" applyAlignment="1">
      <alignment vertical="center" wrapText="1"/>
    </xf>
    <xf numFmtId="0" fontId="4" fillId="0" borderId="0" xfId="0" applyFont="1"/>
    <xf numFmtId="0" fontId="15" fillId="13" borderId="33" xfId="0" applyFont="1" applyFill="1" applyBorder="1" applyAlignment="1">
      <alignment vertical="center" wrapText="1"/>
    </xf>
    <xf numFmtId="0" fontId="14" fillId="10" borderId="26" xfId="0" applyFont="1" applyFill="1" applyBorder="1" applyAlignment="1">
      <alignment wrapText="1"/>
    </xf>
    <xf numFmtId="0" fontId="1" fillId="2" borderId="1" xfId="1" applyAlignment="1">
      <alignment wrapText="1"/>
    </xf>
    <xf numFmtId="0" fontId="6" fillId="0" borderId="0" xfId="0" applyFont="1" applyAlignment="1">
      <alignment vertical="center"/>
    </xf>
    <xf numFmtId="0" fontId="0" fillId="0" borderId="34" xfId="0" applyBorder="1" applyAlignment="1">
      <alignment vertical="top"/>
    </xf>
    <xf numFmtId="0" fontId="0" fillId="0" borderId="34" xfId="0" applyBorder="1" applyAlignment="1">
      <alignment vertical="top" wrapText="1"/>
    </xf>
    <xf numFmtId="49" fontId="0" fillId="0" borderId="34" xfId="0" applyNumberFormat="1" applyBorder="1" applyAlignment="1">
      <alignment vertical="top" wrapText="1"/>
    </xf>
    <xf numFmtId="0" fontId="10" fillId="0" borderId="34" xfId="0" applyFont="1" applyBorder="1" applyAlignment="1">
      <alignment vertical="top" wrapText="1"/>
    </xf>
    <xf numFmtId="0" fontId="11" fillId="0" borderId="34" xfId="0" applyFont="1" applyBorder="1" applyAlignment="1">
      <alignment vertical="top"/>
    </xf>
    <xf numFmtId="0" fontId="8" fillId="0" borderId="34" xfId="4" applyFill="1" applyBorder="1" applyAlignment="1">
      <alignment vertical="top"/>
    </xf>
    <xf numFmtId="0" fontId="5" fillId="13" borderId="13" xfId="1" applyFont="1" applyFill="1" applyBorder="1" applyAlignment="1">
      <alignment vertical="center"/>
    </xf>
    <xf numFmtId="0" fontId="9" fillId="13" borderId="13" xfId="1" applyFont="1" applyFill="1" applyBorder="1" applyAlignment="1">
      <alignment vertical="center" wrapText="1"/>
    </xf>
    <xf numFmtId="0" fontId="5" fillId="13" borderId="13" xfId="1" applyFont="1" applyFill="1" applyBorder="1" applyAlignment="1">
      <alignment vertical="center" wrapText="1"/>
    </xf>
    <xf numFmtId="0" fontId="5" fillId="2" borderId="13" xfId="1" applyFont="1" applyBorder="1" applyAlignment="1">
      <alignment vertical="center" wrapText="1"/>
    </xf>
    <xf numFmtId="0" fontId="5" fillId="14" borderId="13" xfId="1" applyFont="1" applyFill="1" applyBorder="1" applyAlignment="1">
      <alignment vertical="center" wrapText="1"/>
    </xf>
    <xf numFmtId="0" fontId="5" fillId="2" borderId="13" xfId="1" applyFont="1" applyBorder="1" applyAlignment="1">
      <alignment vertical="center"/>
    </xf>
    <xf numFmtId="0" fontId="0" fillId="0" borderId="35" xfId="0" applyBorder="1"/>
    <xf numFmtId="0" fontId="0" fillId="0" borderId="35" xfId="0" applyBorder="1" applyAlignment="1">
      <alignment wrapText="1"/>
    </xf>
    <xf numFmtId="0" fontId="0" fillId="0" borderId="0" xfId="0" quotePrefix="1"/>
    <xf numFmtId="0" fontId="11" fillId="0" borderId="0" xfId="0" applyFont="1" applyAlignment="1">
      <alignment wrapText="1"/>
    </xf>
    <xf numFmtId="0" fontId="11" fillId="0" borderId="0" xfId="0" applyFont="1" applyAlignment="1">
      <alignment horizontal="left" vertical="center"/>
    </xf>
    <xf numFmtId="0" fontId="0" fillId="8" borderId="34" xfId="0" applyFill="1" applyBorder="1" applyAlignment="1">
      <alignment vertical="top" wrapText="1"/>
    </xf>
    <xf numFmtId="0" fontId="0" fillId="7" borderId="11" xfId="0" applyFill="1" applyBorder="1" applyAlignment="1">
      <alignment horizontal="left" vertical="top" wrapText="1"/>
    </xf>
    <xf numFmtId="0" fontId="10" fillId="8" borderId="2" xfId="0" applyFont="1" applyFill="1" applyBorder="1" applyAlignment="1">
      <alignment vertical="top" wrapText="1"/>
    </xf>
    <xf numFmtId="0" fontId="0" fillId="9" borderId="36" xfId="0" applyFill="1" applyBorder="1" applyAlignment="1">
      <alignment horizontal="left" vertical="top"/>
    </xf>
    <xf numFmtId="0" fontId="8" fillId="0" borderId="2" xfId="4" applyNumberFormat="1" applyFill="1" applyBorder="1" applyAlignment="1">
      <alignment horizontal="left" vertical="top" wrapText="1"/>
    </xf>
    <xf numFmtId="0" fontId="0" fillId="6" borderId="34" xfId="0" applyFill="1" applyBorder="1" applyAlignment="1">
      <alignment vertical="top"/>
    </xf>
    <xf numFmtId="0" fontId="16" fillId="15" borderId="39" xfId="0" applyFont="1" applyFill="1" applyBorder="1"/>
    <xf numFmtId="0" fontId="16" fillId="0" borderId="39" xfId="0" applyFont="1" applyBorder="1"/>
    <xf numFmtId="0" fontId="16" fillId="0" borderId="37" xfId="0" applyFont="1" applyBorder="1"/>
    <xf numFmtId="0" fontId="16" fillId="0" borderId="0" xfId="0" applyFont="1"/>
    <xf numFmtId="49" fontId="11" fillId="0" borderId="0" xfId="0" applyNumberFormat="1" applyFont="1" applyAlignment="1">
      <alignment wrapText="1"/>
    </xf>
    <xf numFmtId="0" fontId="17" fillId="0" borderId="0" xfId="0" applyFont="1"/>
    <xf numFmtId="0" fontId="18" fillId="13" borderId="13" xfId="1" applyFont="1" applyFill="1" applyBorder="1" applyAlignment="1">
      <alignment vertical="center" wrapText="1"/>
    </xf>
    <xf numFmtId="0" fontId="18" fillId="2" borderId="13" xfId="1" applyFont="1" applyBorder="1" applyAlignment="1">
      <alignment vertical="center" wrapText="1"/>
    </xf>
    <xf numFmtId="0" fontId="19" fillId="0" borderId="34" xfId="4" applyFont="1" applyFill="1" applyBorder="1" applyAlignment="1">
      <alignment vertical="top"/>
    </xf>
    <xf numFmtId="0" fontId="19" fillId="0" borderId="34" xfId="4" applyFont="1" applyFill="1" applyBorder="1" applyAlignment="1">
      <alignment vertical="top" wrapText="1"/>
    </xf>
    <xf numFmtId="0" fontId="19" fillId="0" borderId="34" xfId="4" applyNumberFormat="1" applyFont="1" applyFill="1" applyBorder="1" applyAlignment="1">
      <alignment vertical="top" wrapText="1"/>
    </xf>
    <xf numFmtId="0" fontId="19" fillId="0" borderId="0" xfId="0" applyFont="1"/>
    <xf numFmtId="0" fontId="20" fillId="0" borderId="0" xfId="0" applyFont="1"/>
    <xf numFmtId="0" fontId="0" fillId="0" borderId="0" xfId="0" applyAlignment="1">
      <alignment vertical="top"/>
    </xf>
    <xf numFmtId="0" fontId="0" fillId="0" borderId="41" xfId="0" applyBorder="1"/>
    <xf numFmtId="0" fontId="0" fillId="6" borderId="0" xfId="0" applyFill="1"/>
    <xf numFmtId="0" fontId="16" fillId="0" borderId="38" xfId="0" applyFont="1" applyBorder="1"/>
    <xf numFmtId="0" fontId="16" fillId="0" borderId="40" xfId="0" applyFont="1" applyBorder="1"/>
    <xf numFmtId="0" fontId="0" fillId="0" borderId="44" xfId="0" applyBorder="1" applyAlignment="1">
      <alignment vertical="top"/>
    </xf>
    <xf numFmtId="0" fontId="19" fillId="0" borderId="43" xfId="4" applyNumberFormat="1" applyFont="1" applyFill="1" applyBorder="1" applyAlignment="1">
      <alignment vertical="top" wrapText="1"/>
    </xf>
    <xf numFmtId="0" fontId="0" fillId="0" borderId="44" xfId="0" applyBorder="1" applyAlignment="1">
      <alignment vertical="top" wrapText="1"/>
    </xf>
    <xf numFmtId="0" fontId="0" fillId="0" borderId="45" xfId="0" applyBorder="1" applyAlignment="1">
      <alignment vertical="top"/>
    </xf>
    <xf numFmtId="0" fontId="0" fillId="0" borderId="45" xfId="0" applyBorder="1" applyAlignment="1">
      <alignment vertical="top" wrapText="1"/>
    </xf>
    <xf numFmtId="49" fontId="0" fillId="0" borderId="45" xfId="0" applyNumberFormat="1" applyBorder="1" applyAlignment="1">
      <alignment vertical="top" wrapText="1"/>
    </xf>
    <xf numFmtId="0" fontId="19" fillId="0" borderId="46" xfId="4" applyNumberFormat="1" applyFont="1" applyFill="1" applyBorder="1" applyAlignment="1">
      <alignment vertical="top" wrapText="1"/>
    </xf>
    <xf numFmtId="0" fontId="0" fillId="0" borderId="47" xfId="0" applyBorder="1" applyAlignment="1">
      <alignment vertical="top" wrapText="1"/>
    </xf>
    <xf numFmtId="0" fontId="0" fillId="8" borderId="45" xfId="0" applyFill="1" applyBorder="1" applyAlignment="1">
      <alignment vertical="top" wrapText="1"/>
    </xf>
    <xf numFmtId="0" fontId="0" fillId="14" borderId="34" xfId="0" applyFill="1" applyBorder="1" applyAlignment="1">
      <alignment vertical="top" wrapText="1"/>
    </xf>
    <xf numFmtId="0" fontId="11" fillId="0" borderId="43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16" fillId="0" borderId="48" xfId="0" applyFont="1" applyBorder="1"/>
    <xf numFmtId="0" fontId="16" fillId="0" borderId="42" xfId="0" applyFont="1" applyBorder="1"/>
    <xf numFmtId="0" fontId="21" fillId="6" borderId="34" xfId="0" applyFont="1" applyFill="1" applyBorder="1" applyAlignment="1">
      <alignment vertical="top" wrapText="1"/>
    </xf>
    <xf numFmtId="0" fontId="16" fillId="16" borderId="49" xfId="0" applyFont="1" applyFill="1" applyBorder="1"/>
    <xf numFmtId="0" fontId="22" fillId="6" borderId="0" xfId="0" applyFont="1" applyFill="1"/>
    <xf numFmtId="49" fontId="0" fillId="0" borderId="0" xfId="0" applyNumberFormat="1"/>
    <xf numFmtId="49" fontId="16" fillId="0" borderId="0" xfId="0" applyNumberFormat="1" applyFont="1"/>
    <xf numFmtId="0" fontId="5" fillId="2" borderId="1" xfId="1" applyFont="1" applyAlignment="1">
      <alignment vertical="center"/>
    </xf>
    <xf numFmtId="0" fontId="0" fillId="0" borderId="2" xfId="0" applyBorder="1" applyAlignment="1">
      <alignment horizontal="left" vertical="top" wrapText="1"/>
    </xf>
    <xf numFmtId="0" fontId="21" fillId="6" borderId="34" xfId="0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/>
    </xf>
    <xf numFmtId="0" fontId="24" fillId="20" borderId="0" xfId="0" applyFont="1" applyFill="1"/>
    <xf numFmtId="0" fontId="26" fillId="20" borderId="0" xfId="0" applyFont="1" applyFill="1" applyAlignment="1">
      <alignment wrapText="1"/>
    </xf>
    <xf numFmtId="0" fontId="25" fillId="0" borderId="0" xfId="0" applyFont="1"/>
    <xf numFmtId="0" fontId="0" fillId="6" borderId="45" xfId="0" applyFill="1" applyBorder="1" applyAlignment="1">
      <alignment vertical="top"/>
    </xf>
    <xf numFmtId="0" fontId="16" fillId="20" borderId="0" xfId="0" applyFont="1" applyFill="1"/>
    <xf numFmtId="0" fontId="10" fillId="20" borderId="0" xfId="0" applyFont="1" applyFill="1"/>
    <xf numFmtId="0" fontId="16" fillId="20" borderId="0" xfId="0" applyFont="1" applyFill="1" applyAlignment="1">
      <alignment wrapText="1"/>
    </xf>
    <xf numFmtId="0" fontId="10" fillId="0" borderId="0" xfId="0" applyFont="1"/>
    <xf numFmtId="0" fontId="27" fillId="21" borderId="2" xfId="5" applyFont="1" applyFill="1"/>
    <xf numFmtId="0" fontId="27" fillId="21" borderId="11" xfId="5" applyFont="1" applyFill="1" applyBorder="1"/>
    <xf numFmtId="22" fontId="0" fillId="0" borderId="0" xfId="0" applyNumberFormat="1"/>
    <xf numFmtId="0" fontId="11" fillId="0" borderId="50" xfId="0" applyFont="1" applyBorder="1" applyAlignment="1">
      <alignment vertical="center"/>
    </xf>
    <xf numFmtId="0" fontId="28" fillId="0" borderId="50" xfId="0" applyFont="1" applyBorder="1" applyAlignment="1">
      <alignment vertical="center"/>
    </xf>
    <xf numFmtId="0" fontId="29" fillId="21" borderId="2" xfId="6" applyFont="1" applyFill="1" applyBorder="1"/>
    <xf numFmtId="0" fontId="0" fillId="18" borderId="2" xfId="0" applyFill="1" applyBorder="1"/>
    <xf numFmtId="0" fontId="30" fillId="21" borderId="2" xfId="0" applyFont="1" applyFill="1" applyBorder="1" applyAlignment="1">
      <alignment vertical="top" wrapText="1"/>
    </xf>
    <xf numFmtId="0" fontId="30" fillId="21" borderId="2" xfId="0" applyFont="1" applyFill="1" applyBorder="1"/>
    <xf numFmtId="0" fontId="0" fillId="0" borderId="50" xfId="0" applyBorder="1" applyAlignment="1">
      <alignment vertical="center"/>
    </xf>
    <xf numFmtId="0" fontId="11" fillId="19" borderId="50" xfId="0" applyFont="1" applyFill="1" applyBorder="1" applyAlignment="1">
      <alignment vertical="center"/>
    </xf>
    <xf numFmtId="0" fontId="0" fillId="23" borderId="34" xfId="0" applyFill="1" applyBorder="1" applyAlignment="1">
      <alignment vertical="top" wrapText="1"/>
    </xf>
    <xf numFmtId="0" fontId="0" fillId="24" borderId="0" xfId="0" applyFill="1"/>
    <xf numFmtId="0" fontId="0" fillId="20" borderId="35" xfId="0" applyFill="1" applyBorder="1"/>
    <xf numFmtId="0" fontId="0" fillId="20" borderId="35" xfId="0" applyFill="1" applyBorder="1" applyAlignment="1">
      <alignment horizontal="left" vertical="center"/>
    </xf>
    <xf numFmtId="0" fontId="0" fillId="20" borderId="51" xfId="0" applyFill="1" applyBorder="1"/>
    <xf numFmtId="0" fontId="16" fillId="20" borderId="0" xfId="0" applyFont="1" applyFill="1" applyAlignment="1">
      <alignment vertical="top"/>
    </xf>
    <xf numFmtId="0" fontId="0" fillId="20" borderId="35" xfId="0" applyFill="1" applyBorder="1" applyAlignment="1">
      <alignment horizontal="left" vertical="top"/>
    </xf>
    <xf numFmtId="0" fontId="0" fillId="23" borderId="45" xfId="0" applyFill="1" applyBorder="1" applyAlignment="1">
      <alignment vertical="top" wrapText="1"/>
    </xf>
    <xf numFmtId="0" fontId="0" fillId="25" borderId="34" xfId="0" applyFill="1" applyBorder="1" applyAlignment="1">
      <alignment vertical="top" wrapText="1"/>
    </xf>
    <xf numFmtId="0" fontId="16" fillId="20" borderId="34" xfId="0" applyFont="1" applyFill="1" applyBorder="1" applyAlignment="1">
      <alignment vertical="top"/>
    </xf>
    <xf numFmtId="0" fontId="0" fillId="25" borderId="45" xfId="0" applyFill="1" applyBorder="1" applyAlignment="1">
      <alignment vertical="top" wrapText="1"/>
    </xf>
    <xf numFmtId="0" fontId="0" fillId="20" borderId="0" xfId="0" applyFill="1"/>
    <xf numFmtId="0" fontId="31" fillId="0" borderId="0" xfId="0" applyFont="1"/>
    <xf numFmtId="0" fontId="11" fillId="25" borderId="0" xfId="0" applyFont="1" applyFill="1"/>
    <xf numFmtId="0" fontId="8" fillId="0" borderId="0" xfId="4" applyFill="1" applyAlignment="1">
      <alignment horizontal="left" vertical="top" wrapText="1"/>
    </xf>
    <xf numFmtId="0" fontId="8" fillId="0" borderId="53" xfId="4" applyFill="1" applyBorder="1" applyAlignment="1">
      <alignment horizontal="left" vertical="top" wrapText="1"/>
    </xf>
    <xf numFmtId="0" fontId="0" fillId="0" borderId="52" xfId="0" applyBorder="1" applyAlignment="1">
      <alignment vertical="top" wrapText="1"/>
    </xf>
    <xf numFmtId="0" fontId="32" fillId="0" borderId="0" xfId="0" applyFont="1"/>
    <xf numFmtId="0" fontId="0" fillId="6" borderId="34" xfId="0" applyFill="1" applyBorder="1" applyAlignment="1">
      <alignment vertical="top" wrapText="1"/>
    </xf>
    <xf numFmtId="0" fontId="0" fillId="0" borderId="32" xfId="0" applyBorder="1"/>
    <xf numFmtId="0" fontId="33" fillId="0" borderId="0" xfId="0" applyFont="1"/>
    <xf numFmtId="0" fontId="34" fillId="26" borderId="54" xfId="0" applyFont="1" applyFill="1" applyBorder="1" applyAlignment="1">
      <alignment wrapText="1"/>
    </xf>
    <xf numFmtId="0" fontId="34" fillId="26" borderId="55" xfId="0" applyFont="1" applyFill="1" applyBorder="1"/>
    <xf numFmtId="0" fontId="16" fillId="27" borderId="2" xfId="0" applyFont="1" applyFill="1" applyBorder="1" applyAlignment="1">
      <alignment wrapText="1"/>
    </xf>
    <xf numFmtId="0" fontId="16" fillId="0" borderId="56" xfId="0" applyFont="1" applyBorder="1" applyAlignment="1">
      <alignment wrapText="1"/>
    </xf>
    <xf numFmtId="0" fontId="16" fillId="0" borderId="57" xfId="0" applyFont="1" applyBorder="1" applyAlignment="1">
      <alignment wrapText="1"/>
    </xf>
    <xf numFmtId="49" fontId="4" fillId="0" borderId="0" xfId="0" applyNumberFormat="1" applyFont="1"/>
    <xf numFmtId="0" fontId="0" fillId="0" borderId="0" xfId="0" applyNumberFormat="1"/>
    <xf numFmtId="0" fontId="4" fillId="3" borderId="8" xfId="2" applyFont="1" applyBorder="1" applyAlignment="1">
      <alignment horizontal="left"/>
    </xf>
    <xf numFmtId="0" fontId="4" fillId="3" borderId="10" xfId="2" applyFont="1" applyBorder="1" applyAlignment="1">
      <alignment horizontal="left"/>
    </xf>
    <xf numFmtId="0" fontId="4" fillId="3" borderId="22" xfId="2" applyFont="1" applyBorder="1" applyAlignment="1">
      <alignment horizontal="left"/>
    </xf>
    <xf numFmtId="0" fontId="2" fillId="2" borderId="23" xfId="1" applyFont="1" applyBorder="1" applyAlignment="1">
      <alignment horizontal="center"/>
    </xf>
    <xf numFmtId="0" fontId="2" fillId="2" borderId="24" xfId="1" applyFont="1" applyBorder="1" applyAlignment="1">
      <alignment horizontal="center"/>
    </xf>
    <xf numFmtId="0" fontId="2" fillId="2" borderId="25" xfId="1" applyFont="1" applyBorder="1" applyAlignment="1">
      <alignment horizontal="center"/>
    </xf>
    <xf numFmtId="0" fontId="2" fillId="2" borderId="1" xfId="1" applyFont="1" applyAlignment="1">
      <alignment horizontal="center"/>
    </xf>
    <xf numFmtId="0" fontId="4" fillId="3" borderId="4" xfId="2" applyFont="1" applyBorder="1" applyAlignment="1">
      <alignment horizontal="left"/>
    </xf>
    <xf numFmtId="0" fontId="4" fillId="3" borderId="5" xfId="2" applyFont="1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5" fillId="2" borderId="14" xfId="1" applyFont="1" applyBorder="1" applyAlignment="1">
      <alignment horizontal="center"/>
    </xf>
    <xf numFmtId="0" fontId="5" fillId="2" borderId="15" xfId="1" applyFont="1" applyBorder="1" applyAlignment="1">
      <alignment horizontal="center"/>
    </xf>
    <xf numFmtId="0" fontId="5" fillId="2" borderId="16" xfId="1" applyFont="1" applyBorder="1" applyAlignment="1">
      <alignment horizontal="center"/>
    </xf>
    <xf numFmtId="0" fontId="7" fillId="4" borderId="12" xfId="3" applyAlignment="1">
      <alignment horizontal="center" vertical="top"/>
    </xf>
    <xf numFmtId="0" fontId="7" fillId="4" borderId="3" xfId="3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8" fillId="5" borderId="11" xfId="4" applyBorder="1" applyAlignment="1">
      <alignment horizontal="left" vertical="top"/>
    </xf>
    <xf numFmtId="0" fontId="8" fillId="5" borderId="6" xfId="4" applyBorder="1" applyAlignment="1">
      <alignment horizontal="left" vertical="top"/>
    </xf>
    <xf numFmtId="0" fontId="8" fillId="5" borderId="7" xfId="4" applyBorder="1" applyAlignment="1">
      <alignment horizontal="left" vertical="top"/>
    </xf>
    <xf numFmtId="0" fontId="8" fillId="5" borderId="18" xfId="4" applyBorder="1" applyAlignment="1">
      <alignment horizontal="left" vertical="top"/>
    </xf>
    <xf numFmtId="0" fontId="8" fillId="5" borderId="19" xfId="4" applyBorder="1" applyAlignment="1">
      <alignment horizontal="left" vertical="top"/>
    </xf>
    <xf numFmtId="0" fontId="8" fillId="5" borderId="20" xfId="4" applyBorder="1" applyAlignment="1">
      <alignment horizontal="left" vertical="top"/>
    </xf>
  </cellXfs>
  <cellStyles count="7">
    <cellStyle name="20% - Accent3" xfId="2" builtinId="38"/>
    <cellStyle name="60% - Accent5 12" xfId="6" xr:uid="{BA9A165B-C965-474B-9CED-AD42FF605151}"/>
    <cellStyle name="Check Cell" xfId="3" builtinId="23"/>
    <cellStyle name="Customer Mandatory 2" xfId="5" xr:uid="{982E1C2E-2C3D-4B23-9569-F744B2E91E3A}"/>
    <cellStyle name="Input" xfId="1" builtinId="20"/>
    <cellStyle name="Neutral" xfId="4" builtinId="28"/>
    <cellStyle name="Normal" xfId="0" builtinId="0"/>
  </cellStyles>
  <dxfs count="226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top style="thin">
          <color theme="6"/>
        </top>
      </border>
    </dxf>
    <dxf>
      <border outline="0">
        <left style="thin">
          <color theme="6"/>
        </left>
        <right style="thin">
          <color theme="6"/>
        </right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808080"/>
        </patternFill>
      </fill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808080"/>
        </patternFill>
      </fill>
      <alignment horizontal="general" vertical="center" textRotation="0" wrapText="1" indent="0" justifyLastLine="0" shrinkToFit="0" readingOrder="0"/>
    </dxf>
    <dxf>
      <numFmt numFmtId="0" formatCode="General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diagonalUp="0" diagonalDown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numFmt numFmtId="0" formatCode="General"/>
    </dxf>
    <dxf>
      <numFmt numFmtId="0" formatCode="General"/>
    </dxf>
    <dxf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left style="thin">
          <color theme="6" tint="0.39997558519241921"/>
        </left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808080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</dxf>
    <dxf>
      <font>
        <color rgb="FF000000"/>
      </font>
      <fill>
        <patternFill patternType="solid">
          <fgColor indexed="64"/>
          <bgColor theme="0" tint="-0.249977111117893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outline="0">
        <left style="thin">
          <color rgb="FFBFBFBF"/>
        </left>
      </border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left" vertical="top" textRotation="0" wrapText="1" indent="0" justifyLastLine="0" shrinkToFit="0" readingOrder="0"/>
      <border outline="0">
        <right style="thin">
          <color rgb="FFBFBFBF"/>
        </right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249977111117893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 tint="-9.9978637043366805E-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2" tint="-9.9978637043366805E-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E2EFDA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76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alignment horizontal="general"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</dxf>
    <dxf>
      <alignment horizontal="general"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FFFF0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fill>
        <patternFill patternType="solid">
          <fgColor indexed="64"/>
          <bgColor rgb="FFFFFF00"/>
        </patternFill>
      </fill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alignment horizontal="general"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alignment horizontal="general"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numFmt numFmtId="0" formatCode="General"/>
      <fill>
        <patternFill patternType="none">
          <fgColor indexed="64"/>
          <bgColor theme="0" tint="-0.249977111117893"/>
        </patternFill>
      </fill>
      <alignment horizontal="general" vertical="top" textRotation="0" wrapText="1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i/>
        <strike val="0"/>
        <outline val="0"/>
        <shadow val="0"/>
        <u val="none"/>
        <vertAlign val="baseline"/>
        <color theme="1" tint="4.9989318521683403E-2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strike val="0"/>
        <outline val="0"/>
        <shadow val="0"/>
        <u val="none"/>
        <vertAlign val="baseline"/>
        <color theme="1" tint="4.9989318521683403E-2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strike val="0"/>
        <outline val="0"/>
        <shadow val="0"/>
        <u val="none"/>
        <vertAlign val="baseline"/>
        <color theme="1" tint="4.9989318521683403E-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strike val="0"/>
        <outline val="0"/>
        <shadow val="0"/>
        <u val="none"/>
        <vertAlign val="baseline"/>
        <color theme="1" tint="4.9989318521683403E-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ill>
        <patternFill patternType="none">
          <fgColor indexed="64"/>
          <bgColor theme="0" tint="-0.249977111117893"/>
        </patternFill>
      </fill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ill>
        <patternFill patternType="none">
          <fgColor indexed="64"/>
          <bgColor rgb="FFE2EFDA"/>
        </patternFill>
      </fill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fill>
        <patternFill patternType="none">
          <fgColor indexed="64"/>
          <bgColor theme="0" tint="-0.249977111117893"/>
        </patternFill>
      </fill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ill>
        <patternFill patternType="none">
          <fgColor indexed="64"/>
          <bgColor theme="0" tint="-0.249977111117893"/>
        </patternFill>
      </fill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fill>
        <patternFill patternType="none">
          <fgColor indexed="64"/>
          <bgColor theme="0" tint="-0.249977111117893"/>
        </patternFill>
      </fill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color rgb="FF000000"/>
      </font>
      <fill>
        <patternFill patternType="none">
          <fgColor indexed="64"/>
          <bgColor rgb="FFE2EFDA"/>
        </patternFill>
      </fill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ill>
        <patternFill patternType="none">
          <fgColor indexed="64"/>
          <bgColor theme="2" tint="-9.9978637043366805E-2"/>
        </patternFill>
      </fill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ill>
        <patternFill patternType="none">
          <fgColor indexed="64"/>
          <bgColor theme="2" tint="-9.9978637043366805E-2"/>
        </patternFill>
      </fill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ill>
        <patternFill patternType="none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fill>
        <patternFill patternType="none">
          <fgColor indexed="64"/>
          <bgColor theme="2" tint="-9.9978637043366805E-2"/>
        </patternFill>
      </fill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30" formatCode="@"/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fill>
        <patternFill patternType="none">
          <fgColor indexed="64"/>
          <bgColor theme="2" tint="-9.9978637043366805E-2"/>
        </patternFill>
      </fill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ill>
        <patternFill patternType="none">
          <fgColor indexed="64"/>
          <bgColor theme="2" tint="-9.9978637043366805E-2"/>
        </patternFill>
      </fill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fill>
        <patternFill patternType="none">
          <fgColor indexed="64"/>
          <bgColor rgb="FF00B0F0"/>
        </patternFill>
      </fill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E2EFDA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E2EFDA"/>
        </patternFill>
      </fill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fill>
        <patternFill patternType="none">
          <fgColor indexed="64"/>
          <bgColor theme="2" tint="-9.9978637043366805E-2"/>
        </patternFill>
      </fill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fill>
        <patternFill patternType="none">
          <fgColor indexed="64"/>
          <bgColor theme="2" tint="-9.9978637043366805E-2"/>
        </patternFill>
      </fill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fill>
        <patternFill patternType="none">
          <fgColor indexed="64"/>
          <bgColor theme="2" tint="-9.9978637043366805E-2"/>
        </patternFill>
      </fill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</dxf>
    <dxf>
      <numFmt numFmtId="0" formatCode="General"/>
      <alignment horizontal="general" vertical="top"/>
    </dxf>
    <dxf>
      <alignment horizontal="general" vertical="top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76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abigailbadilla_tamsi_dxc_com/Documents/Documents/_ADHA_BAU/NSSRs/PER2/ADHA-Application-Build-Specification-DEVI%20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M Specs"/>
      <sheetName val="Quotas"/>
      <sheetName val="FG Specs"/>
      <sheetName val="Key Vault"/>
      <sheetName val="LAW"/>
      <sheetName val="StorageAccounts"/>
      <sheetName val="NfsExports"/>
      <sheetName val="NfsExportsServices"/>
      <sheetName val="NfsExportsVNets"/>
      <sheetName val="NSG"/>
      <sheetName val="NetworkReference"/>
      <sheetName val="DefaultTagReference"/>
      <sheetName val="Data"/>
      <sheetName val="Naming"/>
      <sheetName val="SSOT Data"/>
      <sheetName val="ADHA-Application-Build-Specif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BD35D5-547D-428E-93DB-30116D4C2CE2}" name="VmSpecs" displayName="VmSpecs" ref="A1:BD289" totalsRowShown="0" headerRowDxfId="222" dataDxfId="221" headerRowCellStyle="Input">
  <autoFilter ref="A1:BD289" xr:uid="{84BD35D5-547D-428E-93DB-30116D4C2CE2}"/>
  <tableColumns count="56">
    <tableColumn id="61" xr3:uid="{FF5BCA1F-BAB4-4592-B314-F256E2506A42}" name="Generate JSON" dataDxfId="220" totalsRowDxfId="219"/>
    <tableColumn id="1" xr3:uid="{B586BAE7-0EF2-4EDD-9893-BBF5729919BF}" name="Subscription" dataDxfId="218" totalsRowDxfId="217">
      <calculatedColumnFormula>_xlfn.XLOOKUP(VmSpecs[[#This Row],[Subnet]],NetworkReference[Subnet],NetworkReference[Subscription])</calculatedColumnFormula>
    </tableColumn>
    <tableColumn id="2" xr3:uid="{F7AB68C4-07CE-4BAA-87B4-5A28882722AE}" name="Virtual Network Resource Group" dataDxfId="216" totalsRowDxfId="215">
      <calculatedColumnFormula>_xlfn.XLOOKUP(VmSpecs[[#This Row],[Subnet]],NetworkReference[Subnet],NetworkReference[Virtual Network Resource Group])</calculatedColumnFormula>
    </tableColumn>
    <tableColumn id="3" xr3:uid="{CD8DFC27-8A86-4DB3-B24B-A77B0D55D523}" name="Virtual Network" dataDxfId="214" totalsRowDxfId="213">
      <calculatedColumnFormula>_xlfn.XLOOKUP(VmSpecs[[#This Row],[Subnet]],NetworkReference[Subnet],NetworkReference[Virtual Network])</calculatedColumnFormula>
    </tableColumn>
    <tableColumn id="4" xr3:uid="{C1B69EC1-984C-4FA5-A850-06497350B1AB}" name="Subnet" dataDxfId="212" totalsRowDxfId="211"/>
    <tableColumn id="5" xr3:uid="{54EB7ABD-E528-4473-96BC-101509A2DA92}" name="Virtual Network Peering Name" dataDxfId="210" totalsRowDxfId="209">
      <calculatedColumnFormula>_xlfn.XLOOKUP(VmSpecs[[#This Row],[Subnet]],NetworkReference[Subnet],NetworkReference[Virtual Network Peering])</calculatedColumnFormula>
    </tableColumn>
    <tableColumn id="6" xr3:uid="{BFD4FEB4-207E-4BCF-9B55-23B0A6FA6F13}" name="Route Table Name" dataDxfId="208" totalsRowDxfId="207">
      <calculatedColumnFormula>_xlfn.XLOOKUP(E2,NetworkReference[Subnet],#REF!)</calculatedColumnFormula>
    </tableColumn>
    <tableColumn id="7" xr3:uid="{D100A2EB-71E6-4574-932A-E06DB1DEE164}" name="Service" dataDxfId="206" totalsRowDxfId="205">
      <calculatedColumnFormula>LOWER(VLOOKUP(VmSpecs[[#This Row],[Original Hostname (CMO)]],'SSOT Data'!A:K,10,FALSE))</calculatedColumnFormula>
    </tableColumn>
    <tableColumn id="8" xr3:uid="{019638CB-790D-4C18-8426-106C26F421B9}" name="Virtual Machine Resource Groups" dataDxfId="204" totalsRowDxfId="203">
      <calculatedColumnFormula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calculatedColumnFormula>
    </tableColumn>
    <tableColumn id="9" xr3:uid="{FC6D7EDC-FA7B-4D7D-A7CE-92E7E11CB3E7}" name="VM iteration (nn)" dataDxfId="202" totalsRowDxfId="201"/>
    <tableColumn id="10" xr3:uid="{3D570775-FDA9-424F-A742-3D2F2DB97702}" name="VM Name" dataDxfId="200" totalsRowDxfId="199">
      <calculatedColumnFormula>_xlfn.CONCAT("vm",MID(VmSpecs[[#This Row],[Subnet]],4,3),VLOOKUP(VmSpecs[[#This Row],[Subscription]],NetworkReference[#All],2,FALSE),VmSpecs[[#This Row],[Service]],VmSpecs[[#This Row],[VM iteration (nn)]])</calculatedColumnFormula>
    </tableColumn>
    <tableColumn id="11" xr3:uid="{1B7FEA12-6C62-4FBE-B56C-2582A631DAA5}" name="Region" dataDxfId="198" totalsRowDxfId="197"/>
    <tableColumn id="12" xr3:uid="{15AE6E10-99A3-4619-ACA2-8D9099492C84}" name="DNS name" dataDxfId="196" totalsRowDxfId="195">
      <calculatedColumnFormula>VmSpecs[[#This Row],[VM Name]]&amp;".ninp.myhealthrecord.gov.au"</calculatedColumnFormula>
    </tableColumn>
    <tableColumn id="13" xr3:uid="{AC769323-F668-400A-86B7-635A4D40639A}" name="NIC name" dataDxfId="194" totalsRowDxfId="193">
      <calculatedColumnFormula>"nic-001-"&amp;K2</calculatedColumnFormula>
    </tableColumn>
    <tableColumn id="14" xr3:uid="{AB1BE233-2AA0-4880-8B77-F94AFB9D12D2}" name="IP" dataDxfId="192" totalsRowDxfId="191"/>
    <tableColumn id="15" xr3:uid="{09A6F540-4C05-42F1-9BA7-86A2532B44E4}" name="Operating System" dataDxfId="190" totalsRowDxfId="189"/>
    <tableColumn id="16" xr3:uid="{D484F038-DFB5-49D4-A786-876C6EB2F2AA}" name="OS Version" dataDxfId="188" totalsRowDxfId="187"/>
    <tableColumn id="53" xr3:uid="{A8EDB948-1545-45CE-9844-2C12910AFD92}" name="Extensions Required" dataDxfId="186" totalsRowDxfId="185"/>
    <tableColumn id="20" xr3:uid="{7A1C8CF1-A46C-478A-AB8C-BA469913AC70}" name="Availability Set Name" dataDxfId="184" totalsRowDxfId="183">
      <calculatedColumnFormula>_xlfn.CONCAT("avail-",LEFT(VmSpecs[[#This Row],[VM Name]],LEN(VmSpecs[[#This Row],[VM Name]])-2))</calculatedColumnFormula>
    </tableColumn>
    <tableColumn id="21" xr3:uid="{C2CC740E-9BC0-4997-A6E6-563881A069D1}" name="Application Security Group Name" dataDxfId="182" totalsRowDxfId="181">
      <calculatedColumnFormula>_xlfn.CONCAT("asg-",LEFT(VmSpecs[[#This Row],[VM Name]],LEN(VmSpecs[[#This Row],[VM Name]])-2))</calculatedColumnFormula>
    </tableColumn>
    <tableColumn id="54" xr3:uid="{A213DB1D-0885-4769-B0A5-2C6C3324DB5D}" name="Network Security Group" dataDxfId="180" totalsRowDxfId="179">
      <calculatedColumnFormula>_xlfn.CONCAT("nsg-",VmSpecs[[#This Row],[Subnet]])</calculatedColumnFormula>
    </tableColumn>
    <tableColumn id="22" xr3:uid="{065E523D-7F15-4074-B2BF-4EA32507446D}" name="Boot Diag Storage Account" dataDxfId="178" totalsRowDxfId="177"/>
    <tableColumn id="23" xr3:uid="{9F04FF3D-DD8F-4120-A5A1-98FB592939B7}" name="Instance size" dataDxfId="176" totalsRowDxfId="175">
      <calculatedColumnFormula>VLOOKUP(VmSpecs[[#This Row],[Original Hostname (CMO)]],'SSOT Data'!A:AX,50,FALSE)</calculatedColumnFormula>
    </tableColumn>
    <tableColumn id="48" xr3:uid="{47004603-CBE9-4130-B5AB-421DF9079D77}" name="OS Disk Size" dataDxfId="174" totalsRowDxfId="173"/>
    <tableColumn id="49" xr3:uid="{4C485B47-1C43-4950-A476-3116087378DE}" name="OS Disk Type (Standard SSD etc)" dataDxfId="172" totalsRowDxfId="171"/>
    <tableColumn id="24" xr3:uid="{5BAE8E0B-D7D8-422D-8FC6-21AEE97039F3}" name="OS Disk Name" dataDxfId="170" totalsRowDxfId="169">
      <calculatedColumnFormula>"osdisk-"&amp;K2&amp;CHAR(10)</calculatedColumnFormula>
    </tableColumn>
    <tableColumn id="25" xr3:uid="{91BC2819-66C9-4639-8CB6-2A694D54C74E}" name="LVM for Data Disks (Y or N)" dataDxfId="168" totalsRowDxfId="167" dataCellStyle="Neutral"/>
    <tableColumn id="55" xr3:uid="{E206B1AA-D218-406A-98C3-DA3107B13DE5}" name="Data Disk1 Size" dataDxfId="166" totalsRowDxfId="165" dataCellStyle="Neutral"/>
    <tableColumn id="50" xr3:uid="{76A2ABA8-3426-4D58-B013-C1BD07004204}" name="Data Disk1 Type" dataDxfId="164" totalsRowDxfId="163" dataCellStyle="Neutral"/>
    <tableColumn id="51" xr3:uid="{06925000-C266-4D96-A8A6-C08500403537}" name="Data Disk1 Name" dataDxfId="162" totalsRowDxfId="161" dataCellStyle="Neutral">
      <calculatedColumnFormula>"disk-"&amp;VmSpecs[[#This Row],[VM Name]]&amp;"-001"</calculatedColumnFormula>
    </tableColumn>
    <tableColumn id="17" xr3:uid="{9DD737BA-C542-47B4-8567-80B37EBE67CE}" name="Data Disk2 Size" dataDxfId="160" totalsRowDxfId="159" dataCellStyle="Neutral"/>
    <tableColumn id="18" xr3:uid="{3FD48D54-6DF2-4F2C-8514-C183082304B2}" name="Data Disk2 Type" dataDxfId="158" totalsRowDxfId="157" dataCellStyle="Neutral"/>
    <tableColumn id="26" xr3:uid="{825FF406-C6C0-49DE-BB42-B2D16BCEE6AC}" name="Data Disk2 Name" dataDxfId="156" totalsRowDxfId="155">
      <calculatedColumnFormula>"disk-"&amp;VmSpecs[[#This Row],[VM Name]]&amp;"-002"</calculatedColumnFormula>
    </tableColumn>
    <tableColumn id="27" xr3:uid="{061EA216-D76B-41BD-93EF-8C5B967AAF06}" name="Local Mounts (GiB)" dataDxfId="154" totalsRowDxfId="153"/>
    <tableColumn id="28" xr3:uid="{7175EA2E-070E-445D-BFF6-E30C0E2CC73F}" name="Data Disk2\Local Mount (GiB)" dataDxfId="152" totalsRowDxfId="151"/>
    <tableColumn id="29" xr3:uid="{C729916E-3CDD-4FFB-9F07-318E4401F67D}" name="Data Disk3\Local Mount (GiB)" dataDxfId="150" totalsRowDxfId="149"/>
    <tableColumn id="30" xr3:uid="{4E8C1996-9418-40A9-B3A6-BA4B009600A6}" name="Data Disk4\Local Mount (GiB)" dataDxfId="148" totalsRowDxfId="147"/>
    <tableColumn id="56" xr3:uid="{F93E4554-12DB-421C-836E-CCD552C316E3}" name="Lifecycle and Service Identifier (9 letter)" dataDxfId="146" totalsRowDxfId="145">
      <calculatedColumnFormula>MID(VmSpecs[[#This Row],[VM Name]],3,9)</calculatedColumnFormula>
    </tableColumn>
    <tableColumn id="31" xr3:uid="{4FD7042B-010C-4971-B88F-527747D0C0ED}" name="Per VM NFS mounts" dataDxfId="144" totalsRowDxfId="143">
      <calculatedColumnFormula array="1">_xlfn.TEXTJOIN(CHAR(10), TRUE, IF(NfsExports[FMO Single VM IP]=VmSpecs[[#This Row],[IP]],NfsExports[FMO Export Summary],""))</calculatedColumnFormula>
    </tableColumn>
    <tableColumn id="57" xr3:uid="{7A22FC0A-1199-4A29-9922-1B0EFC324C53}" name="Common VM NFS mounts" dataDxfId="142" totalsRowDxfId="141">
      <calculatedColumnFormula array="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calculatedColumnFormula>
    </tableColumn>
    <tableColumn id="32" xr3:uid="{943F0403-74DA-43C4-9838-E7D6975A1CD8}" name="License Type" dataDxfId="140" totalsRowDxfId="139"/>
    <tableColumn id="33" xr3:uid="{484E7BAE-D41D-4642-AE1C-49C61B1BE8EF}" name="Server Role" dataDxfId="138" totalsRowDxfId="137">
      <calculatedColumnFormula>VmSpecs[[#This Row],[Description]]</calculatedColumnFormula>
    </tableColumn>
    <tableColumn id="34" xr3:uid="{3DC32294-9920-4CC1-BD63-5995E915E04D}" name="Identity" dataDxfId="136" totalsRowDxfId="135"/>
    <tableColumn id="35" xr3:uid="{BD46EE46-5A90-4F82-B9AA-57021BE7FFCF}" name="RBAC on _x000a_Storage Account" dataDxfId="134" totalsRowDxfId="133"/>
    <tableColumn id="36" xr3:uid="{9AE56016-44FA-4045-9CA8-B228D28180CB}" name="Mapped Storage Account" dataDxfId="132" totalsRowDxfId="131"/>
    <tableColumn id="37" xr3:uid="{CE80B63C-D27B-4BFF-A2C6-0A8A0FE84C59}" name="RBAC on _x000a_Key Vault" dataDxfId="130" totalsRowDxfId="129"/>
    <tableColumn id="38" xr3:uid="{300C287D-0DA3-466D-98E2-4D816B172E38}" name="Mapped Key Vaults" dataDxfId="128" totalsRowDxfId="127"/>
    <tableColumn id="39" xr3:uid="{8048CAC7-D0EA-4CB2-9954-8D440B8A07AB}" name="Azure Backup _x000a_(Y/N)" dataDxfId="126" totalsRowDxfId="125"/>
    <tableColumn id="40" xr3:uid="{D563D5B6-2DBB-40B1-BFF4-ACE7CD499F56}" name="Azure Backup Frequency_x000a_if any" dataDxfId="124" totalsRowDxfId="123"/>
    <tableColumn id="41" xr3:uid="{58D540AF-40A3-4C27-B072-E8E5E7978204}" name="ASR Set up _x000a_(Y/N)" dataDxfId="122" totalsRowDxfId="121"/>
    <tableColumn id="42" xr3:uid="{948E80B8-4F6F-46C4-97DA-C654BBF9ADE8}" name="ASR _x000a_Virtual Network" dataDxfId="120" totalsRowDxfId="119"/>
    <tableColumn id="43" xr3:uid="{32FCAA32-6B88-4C17-A7EE-838E37756A82}" name="ASR Subnet" dataDxfId="118" totalsRowDxfId="117"/>
    <tableColumn id="44" xr3:uid="{CF6D37CF-CE35-43F9-B7E4-0ADF65F75605}" name="Tags" dataDxfId="116" totalsRowDxfId="115">
      <calculatedColumnFormula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calculatedColumnFormula>
    </tableColumn>
    <tableColumn id="45" xr3:uid="{6E4C0F66-6F9C-4F8D-A9F9-C1C54A6D207F}" name="Original Hostname (CMO)" dataDxfId="114" totalsRowDxfId="113"/>
    <tableColumn id="46" xr3:uid="{016F1790-D955-441A-B11D-DF27CFC07450}" name="Description" dataDxfId="112" totalsRowDxfId="111">
      <calculatedColumnFormula>VLOOKUP(VmSpecs[[#This Row],[Original Hostname (CMO)]],'SSOT Data'!A:AJ,36,FALSE)</calculatedColumnFormula>
    </tableColumn>
    <tableColumn id="47" xr3:uid="{AB34BA45-B983-4D6F-8311-FE114E5E1B6B}" name="Notes/Changes" dataDxfId="110" totalsRowDxfId="10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29DF43A-4887-4318-A6AA-D125847DF52A}" name="AsBuilt" displayName="AsBuilt" ref="A1:BM289" totalsRowShown="0">
  <autoFilter ref="A1:BM289" xr:uid="{A4680B93-7002-48A7-AD35-3B20C6E6EB57}"/>
  <tableColumns count="65">
    <tableColumn id="1" xr3:uid="{E28E98A9-8E9E-48BB-84C3-1CA86DE8D8C7}" name="Pass/Fail" dataDxfId="108">
      <calculatedColumnFormula>IF(COUNTIF(AsBuilt[[#This Row],[VM Check]:[Data Disk 1 Type Check]],"Fail")&gt;0,"Fail","Pass")</calculatedColumnFormula>
    </tableColumn>
    <tableColumn id="3" xr3:uid="{B87F6D9E-970C-44F2-9BD2-EFA54F7BF637}" name="VmName"/>
    <tableColumn id="4" xr3:uid="{EC59032B-5EE7-430B-8A33-3D23626459E4}" name="VmProvisioningState"/>
    <tableColumn id="5" xr3:uid="{2B87E65C-A13D-4400-A737-17D306864B78}" name="VmResourceGroupName"/>
    <tableColumn id="6" xr3:uid="{DA571A8F-A4F6-4FD6-AC18-73C1347AA19B}" name="Region"/>
    <tableColumn id="7" xr3:uid="{E1F20DA4-7458-4A0F-A55C-B385E3592A86}" name="VmSize"/>
    <tableColumn id="8" xr3:uid="{36AA5A40-6131-4195-A058-C2978FAC201A}" name="Identity"/>
    <tableColumn id="9" xr3:uid="{7587F0B0-583C-42C5-A20A-3CCEDB75DA68}" name="AvailabilitySet"/>
    <tableColumn id="10" xr3:uid="{D0F59DD2-8BDB-4B4E-AE4E-5AACF03568A2}" name="VnetResourceGroupName"/>
    <tableColumn id="11" xr3:uid="{F5AECE23-D2B0-4ADB-8687-D67E5D6FD3BB}" name="VirtualNetwork"/>
    <tableColumn id="12" xr3:uid="{2A6AD05E-3AD2-49FF-8A7D-7833C5C941B9}" name="Subnet"/>
    <tableColumn id="13" xr3:uid="{F3E461BE-EED7-4E98-A543-9B0AB721CCC3}" name="SubnetProvisioningState"/>
    <tableColumn id="14" xr3:uid="{1E64A036-2251-4826-B65A-C8A923CEAF1D}" name="PrivateIpAddress"/>
    <tableColumn id="15" xr3:uid="{CDA75D75-A0F3-43C9-96E0-2536988A3337}" name="NSG"/>
    <tableColumn id="16" xr3:uid="{ADE48B50-9250-4B9E-A553-054B8023D8A2}" name="RouteTable"/>
    <tableColumn id="17" xr3:uid="{E628A1C6-5D15-4C78-916A-86BE62392C7E}" name="OsType"/>
    <tableColumn id="18" xr3:uid="{CD24CDEE-8DF8-4CEB-8CAC-BFE5212BCE1E}" name="PublicIPAddress"/>
    <tableColumn id="19" xr3:uid="{77A7FF6E-13B4-4E15-8E5B-475B14354E4D}" name="NicName"/>
    <tableColumn id="20" xr3:uid="{7AB97A68-B824-4305-9FAB-54A81DA1F6C6}" name="NicProvisioningState"/>
    <tableColumn id="21" xr3:uid="{F8762CF9-B978-43E9-BFC0-B2FF3360ADF5}" name="ApplicationSecurityGroup"/>
    <tableColumn id="22" xr3:uid="{9A4AC278-A627-4BD8-A3AE-3233AEA16D81}" name="OSDiskName"/>
    <tableColumn id="23" xr3:uid="{F165B99E-580C-45FD-A809-B9FF389BC672}" name="OSDiskCaching"/>
    <tableColumn id="24" xr3:uid="{493A0A4F-C9EA-464C-89D4-11CD46319829}" name="OSDiskSize"/>
    <tableColumn id="25" xr3:uid="{D95E1D36-8E36-43FD-B4DA-27C00AC6E73E}" name="OSDiskStorageAccountType"/>
    <tableColumn id="26" xr3:uid="{83691EBC-EC2C-47E9-871A-88AEB6C12E8E}" name="DataDiskCount"/>
    <tableColumn id="27" xr3:uid="{96FE5974-A1AA-45EB-B110-D2CC4A37EA52}" name="DataDisk1Name"/>
    <tableColumn id="28" xr3:uid="{CDA21DA6-DBDB-4459-9E00-1265AB02237E}" name="DataDisk1Size"/>
    <tableColumn id="29" xr3:uid="{2B408756-0537-4B9B-B736-2657041E8463}" name="DataDisk1Caching"/>
    <tableColumn id="30" xr3:uid="{3C2C0693-C1AE-4747-8FCE-FBA3298E8048}" name="DataDisk1StorageAccountType"/>
    <tableColumn id="31" xr3:uid="{101C21EF-05DA-4DDA-ADCB-AC6C1B169620}" name="DataDisk2Name"/>
    <tableColumn id="32" xr3:uid="{BB81E185-59C4-4D8C-BF5C-9AD0F4011EB8}" name="DataDisk2Size"/>
    <tableColumn id="33" xr3:uid="{BF43F3C1-4B85-472E-8F25-67068309435D}" name="DataDisk2Caching"/>
    <tableColumn id="34" xr3:uid="{6423C2F4-FAB2-41C2-B6F6-94513A48D18E}" name="DataDisk2StorageAccountType"/>
    <tableColumn id="35" xr3:uid="{E3E54C44-EB1D-4F3D-91F4-337F2CECED86}" name="DataDisk3Name"/>
    <tableColumn id="36" xr3:uid="{D1A754AF-9080-4E2F-A1A2-E03F08785E13}" name="DataDisk3Size"/>
    <tableColumn id="37" xr3:uid="{1C2241BC-5B9C-44AD-8C34-279AE74348DF}" name="DataDisk3Caching"/>
    <tableColumn id="38" xr3:uid="{9C97480E-10D2-4CF4-84E9-B39B28EE2347}" name="DataDisk3StorageAccountType"/>
    <tableColumn id="39" xr3:uid="{9C7A50A6-96A8-42CA-B991-ED67A102CE96}" name="DataDisk4Name"/>
    <tableColumn id="40" xr3:uid="{3FA7A0F9-2DB2-40A7-B3C9-BD7D02CF1D22}" name="DataDisk4Size"/>
    <tableColumn id="41" xr3:uid="{082CE010-5547-4666-AD1D-4F3A1570A7C6}" name="DataDisk4Caching"/>
    <tableColumn id="42" xr3:uid="{7C13F2EC-19D9-47CC-8E2D-752C17C03F26}" name="DataDisk4StorageAccountType"/>
    <tableColumn id="43" xr3:uid="{A13A6FC2-0536-4CCC-A86E-7F50689D0265}" name="DataDisk5Name"/>
    <tableColumn id="44" xr3:uid="{4F4D573B-6F35-42C0-9110-93EBA226522F}" name="DataDisk5Size"/>
    <tableColumn id="45" xr3:uid="{22699D9C-75E3-45F3-AFE9-6D72B9AE2438}" name="DataDisk5Caching"/>
    <tableColumn id="46" xr3:uid="{F0EC5C42-D986-4F62-B406-E7005FDE7DF4}" name="DataDisk5StorageAccountType"/>
    <tableColumn id="47" xr3:uid="{B217E783-45FA-4358-BABD-3716234F64A1}" name="ImageReference"/>
    <tableColumn id="48" xr3:uid="{478093E1-2388-4F46-9DFF-B90D3FF4C104}" name="Tags" dataDxfId="107"/>
    <tableColumn id="49" xr3:uid="{96ACBC21-E189-4B82-B1DA-DCA912EDD443}" name="VM Check" dataDxfId="106">
      <calculatedColumnFormula array="1">IF(B2=_xlfn.XLOOKUP(B2,[1]!VmSpecs[[#All],[VM Name]],[1]!VmSpecs[[#All],[VM Name]],"Failed",0,1),"Pass","Fail")</calculatedColumnFormula>
    </tableColumn>
    <tableColumn id="50" xr3:uid="{BADD2F89-5F71-40B8-8011-B3873A20A6EB}" name="RG Check" dataDxfId="105">
      <calculatedColumnFormula array="1">IF(D2=_xlfn.XLOOKUP($B2,[1]!VmSpecs[[#All],[VM Name]],[1]!VmSpecs[[#All],[Virtual Machine Resource Groups]],"Failed",0,1),"Pass","Fail")</calculatedColumnFormula>
    </tableColumn>
    <tableColumn id="51" xr3:uid="{ED5DFCF1-6644-4107-9EDE-D82E88250020}" name="Region Check" dataDxfId="104">
      <calculatedColumnFormula array="1">IF(_xlfn.IFS(E2="australiacentral","Australia Central 1",E2="australiaeast","Australia East",E2="australiasoutheast","Australia SouthEast")=_xlfn.XLOOKUP($B2,[1]!VmSpecs[[#All],[VM Name]],[1]!VmSpecs[[#All],[Region]],"Failed",0,1),"Pass","Fail")</calculatedColumnFormula>
    </tableColumn>
    <tableColumn id="52" xr3:uid="{775519FE-C7B8-4D4F-8C6F-08C1D9A73C98}" name="SKU Check" dataDxfId="103">
      <calculatedColumnFormula array="1">IF(F2=_xlfn.XLOOKUP($B2,[1]!VmSpecs[[#All],[VM Name]],[1]!VmSpecs[[#All],[Instance size]],"Failed",0,1),"Pass","Fail")</calculatedColumnFormula>
    </tableColumn>
    <tableColumn id="53" xr3:uid="{D0FB2CE8-0BAC-4083-A6F6-660C6792F0AC}" name="Avail Set Check" dataDxfId="102">
      <calculatedColumnFormula array="1">IF(LOWER(H2)=_xlfn.XLOOKUP($B2,[1]!VmSpecs[[#All],[VM Name]],[1]!VmSpecs[[#All],[Availability Set Name]],"Failed",0,1),"Pass","Fail")</calculatedColumnFormula>
    </tableColumn>
    <tableColumn id="54" xr3:uid="{66D11C4B-C95E-41C6-A771-A4E1A5C01525}" name="VNET Check" dataDxfId="101">
      <calculatedColumnFormula array="1">IF(J2=_xlfn.XLOOKUP($B2,[1]!VmSpecs[[#All],[VM Name]],[1]!VmSpecs[[#All],[Virtual Network]],"Failed",0,1),"Pass","Fail")</calculatedColumnFormula>
    </tableColumn>
    <tableColumn id="55" xr3:uid="{1253FDD0-6E83-4051-B306-2FABBBD600BF}" name="Subnet Check" dataDxfId="100">
      <calculatedColumnFormula array="1">IF(K2=_xlfn.XLOOKUP($B2,[1]!VmSpecs[[#All],[VM Name]],[1]!VmSpecs[[#All],[Subnet]],"Failed",0,1),"Pass","Fail")</calculatedColumnFormula>
    </tableColumn>
    <tableColumn id="56" xr3:uid="{FC8B47F1-5E67-4EE3-BC3A-64D1761E3F97}" name="IP Check" dataDxfId="99">
      <calculatedColumnFormula array="1">IF(M2=_xlfn.XLOOKUP($B2,[1]!VmSpecs[[#All],[VM Name]],[1]!VmSpecs[[#All],[IP]],"Failed",0,1),"Pass","Fail")</calculatedColumnFormula>
    </tableColumn>
    <tableColumn id="57" xr3:uid="{AC8561B8-90D9-45BD-9A00-A2E0750C47BB}" name="NSG Check" dataDxfId="98">
      <calculatedColumnFormula array="1">IF(N2=_xlfn.XLOOKUP($B2,[1]!VmSpecs[[#All],[VM Name]],[1]!VmSpecs[[#All],[Network Security Group]],"Failed",0,1),"Pass","Fail")</calculatedColumnFormula>
    </tableColumn>
    <tableColumn id="58" xr3:uid="{AA34162F-DBDE-4FA5-B293-9138CBC42F2C}" name="Route Tab Check" dataDxfId="97">
      <calculatedColumnFormula array="1">IF(O2=_xlfn.XLOOKUP($B2,[1]!VmSpecs[[#All],[VM Name]],[1]!VmSpecs[[#All],[Route Table Name]],"Failed",0,1),"Pass","Fail")</calculatedColumnFormula>
    </tableColumn>
    <tableColumn id="59" xr3:uid="{7EDB7839-2179-436D-B2A2-7AFE03FE5B6E}" name="OS Check" dataDxfId="96">
      <calculatedColumnFormula array="1">IF(P2=_xlfn.XLOOKUP($B2,[1]!VmSpecs[[#All],[VM Name]],[1]!VmSpecs[[#All],[Operating System]],"Failed",0,1),"Pass","Fail")</calculatedColumnFormula>
    </tableColumn>
    <tableColumn id="60" xr3:uid="{CD66CDA2-BB6A-4E3D-B304-A3A0BA6AA26E}" name="NIC Name Check" dataDxfId="95">
      <calculatedColumnFormula array="1">IF(R2=_xlfn.XLOOKUP($B2,[1]!VmSpecs[[#All],[VM Name]],[1]!VmSpecs[[#All],[NIC name]],"Failed",0,1),"Pass","Fail")</calculatedColumnFormula>
    </tableColumn>
    <tableColumn id="62" xr3:uid="{CDBE3FE0-F5F8-4708-8695-2FC270F94409}" name="OS Disk Name Check" dataDxfId="94">
      <calculatedColumnFormula array="1">IF(U2=_xlfn.XLOOKUP($B2,[1]!VmSpecs[[#All],[VM Name]],[1]!VmSpecs[[#All],[OS Disk Name]],"Failed",0,1),"Pass","Fail")</calculatedColumnFormula>
    </tableColumn>
    <tableColumn id="63" xr3:uid="{4DCE7EDB-D723-4260-B732-35D75F837165}" name="OS Disk Size Check" dataDxfId="93">
      <calculatedColumnFormula array="1">IF(W2=_xlfn.XLOOKUP($B2,[1]!VmSpecs[[#All],[VM Name]],[1]!VmSpecs[[#All],[OS Disk Size]],"Failed",0,1),"Pass","Fail")</calculatedColumnFormula>
    </tableColumn>
    <tableColumn id="64" xr3:uid="{41E8B6EC-E28B-41F1-A2DE-F4E15B4A61C6}" name="OS Disk Type Check" dataDxfId="92">
      <calculatedColumnFormula array="1">IF(LEFT(X2,4)=LEFT(_xlfn.XLOOKUP($B2,[1]!VmSpecs[[#All],[VM Name]],[1]!VmSpecs[[#All],[OS Disk Type (Standard SSD etc)]],"Failed",0,1),4),"Pass","Fail")</calculatedColumnFormula>
    </tableColumn>
    <tableColumn id="65" xr3:uid="{95212F37-43A2-426E-B283-05C2D494F3E1}" name="Data Disk 1 Name Check" dataDxfId="91">
      <calculatedColumnFormula array="1">IF(Z2=_xlfn.XLOOKUP($B2,[1]!VmSpecs[[#All],[VM Name]],[1]!VmSpecs[[#All],[Data Disk1 Name]],"Failed",0,1),"Pass","Fail")</calculatedColumnFormula>
    </tableColumn>
    <tableColumn id="66" xr3:uid="{C9170ED2-1CEA-4A1B-AC01-35C6A97485F3}" name="Data Disk 1 Size Check" dataDxfId="90">
      <calculatedColumnFormula array="1">IF(AA2=_xlfn.XLOOKUP($B2,[1]!VmSpecs[[#All],[VM Name]],[1]!VmSpecs[[#All],[Data Disk1 Size]],"Failed",0,1),"Pass","Fail")</calculatedColumnFormula>
    </tableColumn>
    <tableColumn id="67" xr3:uid="{E3246147-8232-4A8C-A972-60771403CE65}" name="Data Disk 1 Type Check" dataDxfId="89">
      <calculatedColumnFormula array="1">IF(LEFT(AC2,4)=LEFT(_xlfn.XLOOKUP($B2,[1]!VmSpecs[[#All],[VM Name]],[1]!VmSpecs[[#All],[Data Disk1 Type]],"Failed",0,1),4),"Pass","Fail")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16CB77C-607D-4C51-B984-1F85F34F14DD}" name="Table613" displayName="Table613" ref="BO1:BQ289" totalsRowShown="0">
  <autoFilter ref="BO1:BQ289" xr:uid="{26400296-DD68-427E-A3D6-AE4E90D25E5B}"/>
  <tableColumns count="3">
    <tableColumn id="1" xr3:uid="{993F0E58-4696-474A-B5FF-0D98BAFB91E7}" name="VM Build Sheet Check" dataDxfId="88">
      <calculatedColumnFormula>VLOOKUP('VM Specs'!K2,'As Built'!B:B,1,FALSE)</calculatedColumnFormula>
    </tableColumn>
    <tableColumn id="3" xr3:uid="{82895851-18C1-4B0F-82A9-B116A15EA805}" name="Missing VM" dataDxfId="87">
      <calculatedColumnFormula>IF(ISNA(Table613[[#This Row],[VM Build Sheet Check]]),'VM Specs'!K2,"")</calculatedColumnFormula>
    </tableColumn>
    <tableColumn id="4" xr3:uid="{D485FF88-9DDC-426E-B8F5-AECA21865E49}" name="Explanation" dataDxfId="8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C8FB60-2DF1-499A-A40F-9B63C4241A4C}" name="Table610" displayName="Table610" ref="A1:D5" totalsRowShown="0">
  <autoFilter ref="A1:D5" xr:uid="{D3C8FB60-2DF1-499A-A40F-9B63C4241A4C}"/>
  <tableColumns count="4">
    <tableColumn id="1" xr3:uid="{2A8A5103-507C-4B02-9180-C6B64219FD2E}" name="Instance size"/>
    <tableColumn id="3" xr3:uid="{1E4B92E0-5D57-4747-BC0F-AF666E203EA5}" name="vCPU Count" dataDxfId="85">
      <calculatedColumnFormula>VLOOKUP(Table610[[#This Row],[Instance size]],I:J,2,FALSE)*Table610[[#This Row],[Count]]</calculatedColumnFormula>
    </tableColumn>
    <tableColumn id="4" xr3:uid="{45AFB395-2FAA-4C16-988A-6A6E1AAC0D3C}" name="VRAM Count" dataDxfId="84">
      <calculatedColumnFormula>64*Table610[[#This Row],[Count]]</calculatedColumnFormula>
    </tableColumn>
    <tableColumn id="2" xr3:uid="{13C88784-CA05-4E75-85ED-A298175F8329}" name="Count" dataDxfId="83">
      <calculatedColumnFormula>COUNTIF('VM Specs'!W:W,Table610[[#This Row],[Instance size]])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278D5A-C639-4F2E-86D8-C37AA91FEEAB}" name="FGSpecs" displayName="FGSpecs" ref="A1:W10" totalsRowShown="0" headerRowDxfId="75" headerRowCellStyle="Input">
  <autoFilter ref="A1:W10" xr:uid="{00000000-0001-0000-0000-000000000000}"/>
  <tableColumns count="23">
    <tableColumn id="1" xr3:uid="{678864EB-689D-4207-98F6-F3DF94595518}" name="Subscription" dataDxfId="74">
      <calculatedColumnFormula>_xlfn.XLOOKUP(E2,NetworkReference[Subnet],NetworkReference[Subscription])</calculatedColumnFormula>
    </tableColumn>
    <tableColumn id="8" xr3:uid="{216F5B26-B932-43BD-B442-B21104A3EF20}" name="Resource Group Name " dataDxfId="73">
      <calculatedColumnFormula>_xlfn.CONCAT("rg-",MID(E2,4,3),"-",VLOOKUP(A2,NetworkReference[[#All],[Subscription]:[ShortSub]],2,FALSE),"-database",IF(FGSpecs[[#This Row],[Region]]="Australia Central 1","-auc1"," -auc2"),"-001")</calculatedColumnFormula>
    </tableColumn>
    <tableColumn id="2" xr3:uid="{00A445E8-796E-4FED-A144-27967292905B}" name="Virtual Network Resource Group" dataDxfId="72">
      <calculatedColumnFormula>_xlfn.XLOOKUP(E2,NetworkReference[Subnet],NetworkReference[Virtual Network Resource Group])</calculatedColumnFormula>
    </tableColumn>
    <tableColumn id="3" xr3:uid="{51F5A874-04D4-4471-B20E-1635478F6F54}" name="Virtual Network (VNET)" dataDxfId="71">
      <calculatedColumnFormula>_xlfn.XLOOKUP(E2,NetworkReference[Subnet],NetworkReference[Virtual Network])</calculatedColumnFormula>
    </tableColumn>
    <tableColumn id="4" xr3:uid="{B6FCA7D1-1706-42D0-8B24-FB8CF9445083}" name="Subnet" dataDxfId="70"/>
    <tableColumn id="10" xr3:uid="{1E9DDE8F-60B7-4E3A-A817-2A114CDA7BFC}" name="HostName Prefix" dataDxfId="69">
      <calculatedColumnFormula>_xlfn.CONCAT("ap",MID(B2,4,3),VLOOKUP(A2,NetworkReference[#All],2,FALSE))</calculatedColumnFormula>
    </tableColumn>
    <tableColumn id="19" xr3:uid="{7CB74AEF-FD4C-4AAB-B5E1-480C038A1950}" name="Generated FlashGrid VM Name"/>
    <tableColumn id="15" xr3:uid="{557DF734-4075-4CBA-A35B-C016C04D55DA}" name="IP" dataDxfId="68"/>
    <tableColumn id="11" xr3:uid="{9D6998A2-A2F6-436D-ABC9-4A1B63AC68BB}" name="Region" dataDxfId="67"/>
    <tableColumn id="12" xr3:uid="{00E67B5F-3648-4161-B6E0-080A746E87B8}" name="Domain Name" dataDxfId="66">
      <calculatedColumnFormula>G2&amp;".ninp.myhealthrecord.gov.au"</calculatedColumnFormula>
    </tableColumn>
    <tableColumn id="13" xr3:uid="{2513A563-BA32-4018-8383-58D77AE52FF1}" name="DNS Servers List(comma separated)" dataDxfId="65"/>
    <tableColumn id="9" xr3:uid="{B4921422-A86D-4FC1-904C-3264EB72EF49}" name="Network Security Group" dataDxfId="64">
      <calculatedColumnFormula>_xlfn.CONCAT("nsg-",FGSpecs[[#This Row],[Subnet]])</calculatedColumnFormula>
    </tableColumn>
    <tableColumn id="21" xr3:uid="{C2F7B319-5FA8-461D-A8F1-1AA290EEDF9D}" name="Application Security Group_x000a_Name" dataDxfId="63">
      <calculatedColumnFormula>_xlfn.CONCAT("asg-",LEFT(F2,LEN(F2)-2))</calculatedColumnFormula>
    </tableColumn>
    <tableColumn id="51" xr3:uid="{87C8A487-695E-44E4-8387-A715C31833C2}" name="Storage Account Name" dataDxfId="62" dataCellStyle="Neutral">
      <calculatedColumnFormula>"disk-"&amp;F2&amp;"-001"</calculatedColumnFormula>
    </tableColumn>
    <tableColumn id="5" xr3:uid="{53BBDEDF-04B4-4E77-B0B7-AB5E226DE1B4}" name="Blob Storage URL(To copy software)" dataDxfId="61" dataCellStyle="Neutral"/>
    <tableColumn id="6" xr3:uid="{2C6CF571-1103-4802-86BA-54485C59DBD5}" name="Scan Listener Port" dataDxfId="60" dataCellStyle="Neutral"/>
    <tableColumn id="14" xr3:uid="{B14FABC1-D022-4A21-A74E-D4D36E69A94F}" name="Local Listener Port2" dataDxfId="59" dataCellStyle="Neutral"/>
    <tableColumn id="7" xr3:uid="{39C37934-AD13-4882-8675-B9342558B0E7}" name="Alerts Notification Email Address" dataDxfId="58" dataCellStyle="Neutral"/>
    <tableColumn id="18" xr3:uid="{2FBB62F7-2373-49DC-A6BD-A86BB1F41195}" name="Support Contact name(First Name Last Name)" dataDxfId="57"/>
    <tableColumn id="17" xr3:uid="{B1F9AB71-78F7-473A-AB6C-60A0B10B21C6}" name="Company Name" dataDxfId="56" dataCellStyle="Neutral"/>
    <tableColumn id="16" xr3:uid="{E6554097-9034-415A-BF9B-058AF9CB0306}" name="Email Address" dataDxfId="55" dataCellStyle="Neutral"/>
    <tableColumn id="44" xr3:uid="{83E30478-3E68-4A32-B3BD-FB98B53A055C}" name="Tag Key Value" dataDxfId="54">
      <calculatedColumnFormula>DefaultTagReference!$A$1&amp;CHAR(10)&amp;"Application Name: """&amp;"FlashGrid Cluster"&amp;""""&amp;CHAR(10)&amp;"Application Service: """&amp;"Database"&amp;""""&amp;CHAR(10)&amp;"Lifecycle: """&amp;UPPER(MID('FG Specs'!F2,3,3))&amp;""""</calculatedColumnFormula>
    </tableColumn>
    <tableColumn id="47" xr3:uid="{CD42E0B7-9F5A-4EE0-A0F4-C027A68D9587}" name="Notes" dataDxfId="5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FF5379-1C2D-4428-858F-3DBBCD36C263}" name="NfsExports" displayName="NfsExports" ref="A1:W280" totalsRowShown="0" headerRowDxfId="50" headerRowBorderDxfId="49" tableBorderDxfId="48">
  <autoFilter ref="A1:W280" xr:uid="{D4FF5379-1C2D-4428-858F-3DBBCD36C263}">
    <filterColumn colId="1">
      <filters>
        <filter val="anfcp-ultra-mgt-aue-001"/>
      </filters>
    </filterColumn>
  </autoFilter>
  <tableColumns count="23">
    <tableColumn id="1" xr3:uid="{D913C730-CFAB-492D-9940-9BCA806DD084}" name="ANF Name"/>
    <tableColumn id="2" xr3:uid="{8AC3ED3E-D062-46DE-A2A5-7179555A7C36}" name="Capacity Pool"/>
    <tableColumn id="3" xr3:uid="{254879D6-FC31-46E7-B604-ECF3E4226B1B}" name="CMO Export"/>
    <tableColumn id="4" xr3:uid="{B98375FD-F04F-44FF-B454-03BF584A0DBC}" name="FMO Volume Name"/>
    <tableColumn id="5" xr3:uid="{F63B67EC-724A-45DF-A1FB-90D7AD9023E5}" name="FMO File Path" dataDxfId="47">
      <calculatedColumnFormula>SUBSTITUTE(NfsExports[[#This Row],[FMO Volume Name]],"_","-")</calculatedColumnFormula>
    </tableColumn>
    <tableColumn id="6" xr3:uid="{7437A724-5147-44A5-BCFB-EC9E1598D5EF}" name="FMO Mount Path Estimated"/>
    <tableColumn id="7" xr3:uid="{4C392E18-B912-4DE1-9503-8EF54C01FDAF}" name="Required Quota (GB)"/>
    <tableColumn id="8" xr3:uid="{A4DCD547-DAC4-44AC-9E26-B7E4A5358D19}" name="Configured Quota (GB)" dataDxfId="46">
      <calculatedColumnFormula>MAX(NfsExports[[#This Row],[Required Quota (GB)]],100)</calculatedColumnFormula>
    </tableColumn>
    <tableColumn id="21" xr3:uid="{25350C84-8BFF-41CE-A15A-9F16067D46EA}" name="ThroughputMiBps Override"/>
    <tableColumn id="20" xr3:uid="{C51D9205-1F84-44C9-8BE5-AFCB3E9C7F25}" name="DisableSnapshots"/>
    <tableColumn id="9" xr3:uid="{25327BF2-F17B-4CA4-A328-87C5AC26B80F}" name="FMO Export Clients"/>
    <tableColumn id="10" xr3:uid="{F240E39E-5635-4728-9ABA-DE96070A6078}" name="FMO Export Override"/>
    <tableColumn id="11" xr3:uid="{502FBD93-5555-45A1-9CA5-0293396BF437}" name="FMO Single VM IP" dataDxfId="45">
      <calculatedColumnFormula>SUBSTITUTE(IF(NfsExports[[#This Row],[FMO Export Clients]]="Single VM",_xlfn.XLOOKUP(LEFT(NfsExports[[#This Row],[FMO Volume Name]],SEARCH("_",NfsExports[[#This Row],[FMO Volume Name]])-1),VmSpecs[VM Name],VmSpecs[IP],"VM not found"),""),"Static","")</calculatedColumnFormula>
    </tableColumn>
    <tableColumn id="12" xr3:uid="{49728EDE-CBB5-4E57-BD0D-E827A82BEB89}" name="FMO Export Vnet IPs" dataDxfId="44">
      <calculatedColumnFormula array="1">_xlfn.TEXTJOIN(",",TRUE,IF(NfsExports[[#This Row],[FMO Volume Name]]=NfsExportsVNets[FMO Volume Name],NfsExportsVNets[FMO Vnet Subnet],""))</calculatedColumnFormula>
    </tableColumn>
    <tableColumn id="19" xr3:uid="{E76C96EF-B2D9-4F0D-8272-3CC82CC81571}" name="FMO Export Subnet IPs" dataDxfId="43">
      <calculatedColumnFormula array="1">_xlfn.TEXTJOIN(",",TRUE,IF(NfsExports[[#This Row],[FMO Volume Name]]=NfsExportsSubnets[FMO Volume Name],NfsExportsSubnets[FMO Subnet CIDR],""))</calculatedColumnFormula>
    </tableColumn>
    <tableColumn id="13" xr3:uid="{68E64EC7-5D57-4B5A-AE30-793D8BF88B86}" name="FMO Export Service IPs">
      <calculatedColumnFormula array="1">IFERROR(_xlfn.TEXTJOIN(",",TRUE,_xlfn._xlws.FILTER(NfsExportsServices[FMO VM Name Summary],NfsExports[[#This Row],[FMO Volume Name]]=NfsExportsServices[FMO Volume Name])),"")</calculatedColumnFormula>
    </tableColumn>
    <tableColumn id="14" xr3:uid="{7314E562-39B0-45F1-8F43-1A1F5311961F}" name="FMO Export Clients Calculated" dataDxfId="42">
      <calculatedColumnFormula>_xlfn.TEXTJOIN(",",TRUE,NfsExports[[#This Row],[FMO Export Override]:[FMO Export Service IPs]])</calculatedColumnFormula>
    </tableColumn>
    <tableColumn id="15" xr3:uid="{D11C4E3F-92BC-48BB-BE4D-A4DADF49DA49}" name="FMO Export Summary" dataDxfId="41">
      <calculatedColumnFormula>NfsExports[[#This Row],[FMO Mount Path Estimated]]&amp;" "&amp;NfsExports[[#This Row],[Required Quota (GB)]]&amp;"GB"</calculatedColumnFormula>
    </tableColumn>
    <tableColumn id="16" xr3:uid="{C469808E-D52D-4F33-9BCF-02F10CA93713}" name="Note" dataDxfId="40"/>
    <tableColumn id="17" xr3:uid="{52B002CA-0E9C-4654-B126-3D0AB8CE2CB0}" name="Status" dataDxfId="39"/>
    <tableColumn id="18" xr3:uid="{826D6079-8C70-484B-8102-7BAD91CCAF94}" name="Actual Mount Info" dataDxfId="38"/>
    <tableColumn id="22" xr3:uid="{DED397D0-E81D-43CF-8BB0-92E1AA867B5D}" name="Prospective throughput" dataDxfId="37"/>
    <tableColumn id="23" xr3:uid="{3FDE1497-3BA3-4978-B1A6-084E3C18ED23}" name="Delta from default" dataDxfId="36">
      <calculatedColumnFormula>MAX(0,NfsExports[[#This Row],[Prospective throughput]]-(NfsExports[[#This Row],[Configured Quota (GB)]]*0.064))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830B9D-BEF6-4FF1-9A6A-005BC4E79F4F}" name="NfsExportsServices" displayName="NfsExportsServices" ref="A1:I33" totalsRowShown="0" headerRowDxfId="35" headerRowBorderDxfId="34" tableBorderDxfId="33">
  <autoFilter ref="A1:I33" xr:uid="{69830B9D-BEF6-4FF1-9A6A-005BC4E79F4F}"/>
  <tableColumns count="9">
    <tableColumn id="1" xr3:uid="{1C18C78A-C122-47F6-87FD-D3B74BB4643F}" name="FMO Volume Name"/>
    <tableColumn id="2" xr3:uid="{A9EFFA6A-C8AB-4CDB-8500-5E4EC8CB72A0}" name="FMO Service Identifier"/>
    <tableColumn id="3" xr3:uid="{4B5C87D1-9BBC-44A3-ACF3-E290569ABB99}" name="FMO Volume Summary" dataDxfId="32">
      <calculatedColumnFormula>_xlfn.XLOOKUP(NfsExportsServices[[#This Row],[FMO Volume Name]],NfsExports[FMO Volume Name],NfsExports[FMO Export Summary],"")</calculatedColumnFormula>
    </tableColumn>
    <tableColumn id="4" xr3:uid="{D4AFE937-784C-4A99-A8E9-8C99D53C6C56}" name="FMO VM Name Summary" dataDxfId="31">
      <calculatedColumnFormula array="1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calculatedColumnFormula>
    </tableColumn>
    <tableColumn id="5" xr3:uid="{5A3E35C8-131B-4242-8FCF-7FBB6C2CB66E}" name="FMO Actual Mount Info" dataDxfId="30">
      <calculatedColumnFormula>_xlfn.XLOOKUP(NfsExportsServices[[#This Row],[FMO Volume Name]],NfsExports[FMO Volume Name],NfsExports[Actual Mount Info],"")</calculatedColumnFormula>
    </tableColumn>
    <tableColumn id="6" xr3:uid="{B16D8818-4200-42D0-BB62-ABA74062CF8E}" name="Note" dataDxfId="29"/>
    <tableColumn id="7" xr3:uid="{A5103F0F-D5AD-4EA0-93CA-678E8D0EDDC1}" name="Column1" dataDxfId="28">
      <calculatedColumnFormula>TYPE(NfsExportsServices[[#This Row],[FMO VM Name Summary]])</calculatedColumnFormula>
    </tableColumn>
    <tableColumn id="8" xr3:uid="{A8F0E65F-D663-426B-8261-E83729E63B9F}" name="Column2" dataDxfId="27">
      <calculatedColumnFormula>T(NfsExportsServices[[#This Row],[FMO VM Name Summary]])</calculatedColumnFormula>
    </tableColumn>
    <tableColumn id="9" xr3:uid="{5D9F1329-CFC6-40FD-9310-56D8BAC892B6}" name="Column3" dataDxfId="26">
      <calculatedColumnFormula>LEN(NfsExportsServices[[#This Row],[FMO VM Name Summary]])</calculatedColumnFormula>
    </tableColumn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CE92F9-1295-4C02-AA60-E55C81CF83FB}" name="NfsExportsVNets" displayName="NfsExportsVNets" ref="A1:D3" totalsRowShown="0" headerRowDxfId="25" headerRowBorderDxfId="24" tableBorderDxfId="23">
  <autoFilter ref="A1:D3" xr:uid="{A9CE92F9-1295-4C02-AA60-E55C81CF83FB}"/>
  <tableColumns count="4">
    <tableColumn id="1" xr3:uid="{60DAC6D7-58CB-4409-979F-6131A8DF5279}" name="FMO Volume Name"/>
    <tableColumn id="2" xr3:uid="{8B08B5F8-3565-46D9-AE84-5C94FD99BA11}" name="FMO Vnet"/>
    <tableColumn id="5" xr3:uid="{ABEED7AE-FFA0-4D33-BE27-577CFAD6909A}" name="FMO Vnet Subnet" dataDxfId="22">
      <calculatedColumnFormula>_xlfn.XLOOKUP(NfsExportsVNets[[#This Row],[FMO Vnet]],NetworkReference[Virtual Network],NetworkReference[VNET CIDR],"")</calculatedColumnFormula>
    </tableColumn>
    <tableColumn id="3" xr3:uid="{AD65EB38-BD85-46EC-BC38-D1D7DDA85353}" name="FMO Volume Summary" dataDxfId="21">
      <calculatedColumnFormula>_xlfn.XLOOKUP(NfsExportsVNets[[#This Row],[FMO Volume Name]],NfsExports[FMO Volume Name],NfsExports[FMO Export Summary],"")</calculatedColumnFormula>
    </tableColumn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414C42B-DE53-4767-AFDA-52F23F8C333B}" name="NfsExportsSubnets" displayName="NfsExportsSubnets" ref="A1:D2" totalsRowShown="0" headerRowBorderDxfId="20" tableBorderDxfId="19" totalsRowBorderDxfId="18">
  <autoFilter ref="A1:D2" xr:uid="{5414C42B-DE53-4767-AFDA-52F23F8C333B}"/>
  <tableColumns count="4">
    <tableColumn id="1" xr3:uid="{739A9F52-065D-4C15-9B13-224D73C53085}" name="FMO Volume Name" dataDxfId="17"/>
    <tableColumn id="2" xr3:uid="{F1BD2DC6-3C3A-45A6-B137-0A0BADDCDE63}" name="FMO Subnet" dataDxfId="16"/>
    <tableColumn id="4" xr3:uid="{BCDD5263-32CD-45F0-AFB8-69B45F699263}" name="FMO Subnet CIDR" dataDxfId="15">
      <calculatedColumnFormula>_xlfn.XLOOKUP(NfsExportsSubnets[[#This Row],[FMO Subnet]],NetworkReference[Subnet],NetworkReference[SNET CIDR],"")</calculatedColumnFormula>
    </tableColumn>
    <tableColumn id="3" xr3:uid="{DDBD2980-7077-457F-A854-1B355491344E}" name="FMO Volume Summary" dataDxfId="14">
      <calculatedColumnFormula>_xlfn.XLOOKUP(NfsExportsSubnets[[#This Row],[FMO Volume Name]],NfsExports[FMO Volume Name],NfsExports[FMO Export Summary],"")</calculatedColumnFormula>
    </tableColumn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3C8A2C-F48A-4C14-9DD1-30DF812D09BF}" name="NetworkReference" displayName="NetworkReference" ref="A1:K60" totalsRowShown="0" headerRowDxfId="13" dataDxfId="12">
  <autoFilter ref="A1:K60" xr:uid="{813C8A2C-F48A-4C14-9DD1-30DF812D09BF}"/>
  <tableColumns count="11">
    <tableColumn id="1" xr3:uid="{6DDD8D2A-128E-495E-B470-57E7E18B60DB}" name="Subscription" dataDxfId="11"/>
    <tableColumn id="8" xr3:uid="{5A90F991-29D8-4A3F-A667-7C2573D408BE}" name="ShortSub" dataDxfId="10"/>
    <tableColumn id="2" xr3:uid="{52DE21E4-402D-4FB2-9F2B-05392CC11B0E}" name="Virtual Network" dataDxfId="9"/>
    <tableColumn id="13" xr3:uid="{211977F6-93D3-4CC8-B2D6-3EB1098F7D6E}" name="VNET CIDR" dataDxfId="8"/>
    <tableColumn id="3" xr3:uid="{A73F7EB9-A2B7-4379-ADE3-DEF8C16C20A9}" name="Virtual Network Resource Group" dataDxfId="7"/>
    <tableColumn id="4" xr3:uid="{3AC96872-5E71-4A8C-9934-598C3DA7AFC4}" name="Virtual Network Peering" dataDxfId="6"/>
    <tableColumn id="5" xr3:uid="{B00A0778-D836-42D6-938D-A5737E004474}" name="Subnet" dataDxfId="5"/>
    <tableColumn id="10" xr3:uid="{A9CC831C-C979-4757-A95B-66EC873A5D4E}" name="SNET CIDR" dataDxfId="4"/>
    <tableColumn id="11" xr3:uid="{60494B37-EE14-4A77-BFB2-90DCB410DB5F}" name="Description" dataDxfId="3"/>
    <tableColumn id="6" xr3:uid="{B8D1030E-B22E-40C5-9E4D-48A913BC7E8B}" name="Route Table" dataDxfId="2"/>
    <tableColumn id="7" xr3:uid="{20E11FC2-2300-4B7B-82E0-684DD07F2212}" name="Comment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9BC7-8103-4A50-A834-5A579E9B3BA4}">
  <sheetPr codeName="Sheet1"/>
  <dimension ref="A1:F1"/>
  <sheetViews>
    <sheetView workbookViewId="0">
      <selection activeCell="A3" sqref="A3"/>
    </sheetView>
  </sheetViews>
  <sheetFormatPr defaultRowHeight="14.5" x14ac:dyDescent="0.35"/>
  <cols>
    <col min="1" max="1" width="31" customWidth="1"/>
    <col min="2" max="2" width="59.81640625" customWidth="1"/>
    <col min="3" max="3" width="46.453125" customWidth="1"/>
    <col min="4" max="4" width="17.81640625" customWidth="1"/>
    <col min="5" max="5" width="47.7265625" customWidth="1"/>
    <col min="6" max="6" width="61.26953125" customWidth="1"/>
  </cols>
  <sheetData>
    <row r="1" spans="1:6" s="4" customFormat="1" ht="31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D290"/>
  <sheetViews>
    <sheetView topLeftCell="E1" zoomScale="75" zoomScaleNormal="75" workbookViewId="0">
      <pane ySplit="1" topLeftCell="A2" activePane="bottomLeft" state="frozen"/>
      <selection pane="bottomLeft" activeCell="I19" sqref="I19"/>
    </sheetView>
  </sheetViews>
  <sheetFormatPr defaultRowHeight="14.5" x14ac:dyDescent="0.35"/>
  <cols>
    <col min="1" max="1" width="15.7265625" customWidth="1"/>
    <col min="2" max="2" width="39.453125" customWidth="1"/>
    <col min="3" max="3" width="34" customWidth="1"/>
    <col min="4" max="4" width="29.7265625" customWidth="1"/>
    <col min="5" max="5" width="34" style="78" customWidth="1"/>
    <col min="6" max="6" width="26.7265625" customWidth="1"/>
    <col min="7" max="7" width="35.453125" customWidth="1"/>
    <col min="8" max="8" width="11.1796875" customWidth="1"/>
    <col min="9" max="9" width="25" customWidth="1"/>
    <col min="10" max="10" width="16.1796875" customWidth="1"/>
    <col min="11" max="11" width="19.26953125" customWidth="1"/>
    <col min="12" max="12" width="33.81640625" customWidth="1"/>
    <col min="13" max="13" width="30.54296875" customWidth="1"/>
    <col min="14" max="14" width="24" bestFit="1" customWidth="1"/>
    <col min="15" max="15" width="21.453125" style="78" customWidth="1"/>
    <col min="16" max="16" width="24.26953125" customWidth="1"/>
    <col min="17" max="17" width="13.453125" customWidth="1"/>
    <col min="18" max="18" width="26" customWidth="1"/>
    <col min="19" max="19" width="24.7265625" customWidth="1"/>
    <col min="20" max="20" width="29.7265625" customWidth="1"/>
    <col min="21" max="21" width="30.26953125" customWidth="1"/>
    <col min="22" max="22" width="18.1796875" customWidth="1"/>
    <col min="23" max="23" width="16.1796875" customWidth="1"/>
    <col min="24" max="24" width="22.26953125" customWidth="1"/>
    <col min="25" max="25" width="22.1796875" customWidth="1"/>
    <col min="26" max="26" width="19" customWidth="1"/>
    <col min="27" max="27" width="15" style="76" customWidth="1"/>
    <col min="28" max="28" width="23.1796875" style="76" customWidth="1"/>
    <col min="29" max="29" width="24.81640625" style="76" customWidth="1"/>
    <col min="30" max="30" width="30.26953125" style="77" customWidth="1"/>
    <col min="31" max="31" width="30.26953125" style="70" customWidth="1"/>
    <col min="32" max="32" width="30.26953125" customWidth="1"/>
    <col min="33" max="33" width="22.453125" customWidth="1"/>
    <col min="34" max="37" width="33.453125" customWidth="1"/>
    <col min="38" max="38" width="23.54296875" customWidth="1"/>
    <col min="39" max="39" width="27.54296875" customWidth="1"/>
    <col min="40" max="40" width="34.26953125" customWidth="1"/>
    <col min="41" max="41" width="25.7265625" customWidth="1"/>
    <col min="42" max="42" width="23.7265625" customWidth="1"/>
    <col min="43" max="43" width="12.26953125" customWidth="1"/>
    <col min="44" max="44" width="28.81640625" customWidth="1"/>
    <col min="45" max="45" width="13.453125" customWidth="1"/>
    <col min="46" max="46" width="23" customWidth="1"/>
    <col min="47" max="47" width="11.1796875" customWidth="1"/>
    <col min="48" max="48" width="20.81640625" customWidth="1"/>
    <col min="49" max="49" width="11.7265625" customWidth="1"/>
    <col min="50" max="50" width="12.54296875" customWidth="1"/>
    <col min="51" max="51" width="15.1796875" customWidth="1"/>
    <col min="52" max="52" width="20.81640625" customWidth="1"/>
    <col min="53" max="53" width="255.54296875" bestFit="1" customWidth="1"/>
    <col min="54" max="54" width="22.81640625" style="78" customWidth="1"/>
    <col min="55" max="55" width="43.81640625" customWidth="1"/>
    <col min="56" max="56" width="39" customWidth="1"/>
  </cols>
  <sheetData>
    <row r="1" spans="1:56" s="41" customFormat="1" ht="62" x14ac:dyDescent="0.35">
      <c r="A1" s="102" t="s">
        <v>6</v>
      </c>
      <c r="B1" s="48" t="s">
        <v>0</v>
      </c>
      <c r="C1" s="49" t="s">
        <v>7</v>
      </c>
      <c r="D1" s="50" t="s">
        <v>8</v>
      </c>
      <c r="E1" s="51" t="s">
        <v>9</v>
      </c>
      <c r="F1" s="50" t="s">
        <v>10</v>
      </c>
      <c r="G1" s="50" t="s">
        <v>11</v>
      </c>
      <c r="H1" s="51" t="s">
        <v>12</v>
      </c>
      <c r="I1" s="50" t="s">
        <v>13</v>
      </c>
      <c r="J1" s="51" t="s">
        <v>14</v>
      </c>
      <c r="K1" s="50" t="s">
        <v>15</v>
      </c>
      <c r="L1" s="51" t="s">
        <v>3</v>
      </c>
      <c r="M1" s="50" t="s">
        <v>16</v>
      </c>
      <c r="N1" s="50" t="s">
        <v>17</v>
      </c>
      <c r="O1" s="52" t="s">
        <v>18</v>
      </c>
      <c r="P1" s="53" t="s">
        <v>19</v>
      </c>
      <c r="Q1" s="53" t="s">
        <v>20</v>
      </c>
      <c r="R1" s="51" t="s">
        <v>21</v>
      </c>
      <c r="S1" s="50" t="s">
        <v>22</v>
      </c>
      <c r="T1" s="50" t="s">
        <v>23</v>
      </c>
      <c r="U1" s="50" t="s">
        <v>24</v>
      </c>
      <c r="V1" s="51" t="s">
        <v>25</v>
      </c>
      <c r="W1" s="53" t="s">
        <v>26</v>
      </c>
      <c r="X1" s="53" t="s">
        <v>27</v>
      </c>
      <c r="Y1" s="51" t="s">
        <v>28</v>
      </c>
      <c r="Z1" s="48" t="s">
        <v>29</v>
      </c>
      <c r="AA1" s="51" t="s">
        <v>30</v>
      </c>
      <c r="AB1" s="71" t="s">
        <v>31</v>
      </c>
      <c r="AC1" s="71" t="s">
        <v>32</v>
      </c>
      <c r="AD1" s="71" t="s">
        <v>33</v>
      </c>
      <c r="AE1" s="72" t="s">
        <v>34</v>
      </c>
      <c r="AF1" s="51" t="s">
        <v>35</v>
      </c>
      <c r="AG1" s="50" t="s">
        <v>36</v>
      </c>
      <c r="AH1" s="51" t="s">
        <v>37</v>
      </c>
      <c r="AI1" s="51" t="s">
        <v>38</v>
      </c>
      <c r="AJ1" s="51" t="s">
        <v>39</v>
      </c>
      <c r="AK1" s="51" t="s">
        <v>40</v>
      </c>
      <c r="AL1" s="50" t="s">
        <v>41</v>
      </c>
      <c r="AM1" s="50" t="s">
        <v>42</v>
      </c>
      <c r="AN1" s="50" t="s">
        <v>43</v>
      </c>
      <c r="AO1" s="51" t="s">
        <v>44</v>
      </c>
      <c r="AP1" s="51" t="s">
        <v>45</v>
      </c>
      <c r="AQ1" s="51" t="s">
        <v>46</v>
      </c>
      <c r="AR1" s="51" t="s">
        <v>47</v>
      </c>
      <c r="AS1" s="51" t="s">
        <v>48</v>
      </c>
      <c r="AT1" s="51" t="s">
        <v>49</v>
      </c>
      <c r="AU1" s="51" t="s">
        <v>50</v>
      </c>
      <c r="AV1" s="51" t="s">
        <v>51</v>
      </c>
      <c r="AW1" s="51" t="s">
        <v>52</v>
      </c>
      <c r="AX1" s="51" t="s">
        <v>53</v>
      </c>
      <c r="AY1" s="51" t="s">
        <v>54</v>
      </c>
      <c r="AZ1" s="51" t="s">
        <v>55</v>
      </c>
      <c r="BA1" s="48" t="s">
        <v>4</v>
      </c>
      <c r="BB1" s="53" t="s">
        <v>56</v>
      </c>
      <c r="BC1" s="53" t="s">
        <v>5</v>
      </c>
      <c r="BD1" s="53" t="s">
        <v>57</v>
      </c>
    </row>
    <row r="2" spans="1:56" ht="182" x14ac:dyDescent="0.35">
      <c r="A2" s="42" t="s">
        <v>58</v>
      </c>
      <c r="B2" s="42" t="str">
        <f>_xlfn.XLOOKUP(VmSpecs[[#This Row],[Subnet]],NetworkReference[Subnet],NetworkReference[Subscription])</f>
        <v>NINP-PERF2</v>
      </c>
      <c r="C2" s="43" t="str">
        <f>_xlfn.XLOOKUP(VmSpecs[[#This Row],[Subnet]],NetworkReference[Subnet],NetworkReference[Virtual Network Resource Group])</f>
        <v>rg-pf2-network-aue-001</v>
      </c>
      <c r="D2" s="43" t="str">
        <f>_xlfn.XLOOKUP(VmSpecs[[#This Row],[Subnet]],NetworkReference[Subnet],NetworkReference[Virtual Network])</f>
        <v>vnet-pf2-workload-aue-001</v>
      </c>
      <c r="E2" s="132" t="s">
        <v>59</v>
      </c>
      <c r="F2" s="43" t="str">
        <f>_xlfn.XLOOKUP(VmSpecs[[#This Row],[Subnet]],NetworkReference[Subnet],NetworkReference[Virtual Network Peering])</f>
        <v>vnet-ninp-conn-pnp-hub-aue</v>
      </c>
      <c r="G2" s="43" t="str">
        <f>_xlfn.XLOOKUP(VmSpecs[[#This Row],[Subnet]],NetworkReference[Subnet],NetworkReference[Route Table])</f>
        <v>rt-sn-pfb-aue-pf2-app</v>
      </c>
      <c r="H2" s="43" t="str">
        <f>LOWER(VLOOKUP(VmSpecs[[#This Row],[Original Hostname (CMO)]],'SSOT Data'!A:K,10,FALSE))</f>
        <v>aea</v>
      </c>
      <c r="I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2" s="44" t="s">
        <v>60</v>
      </c>
      <c r="K2" s="43" t="str">
        <f>_xlfn.CONCAT("vm",MID(VmSpecs[[#This Row],[Subnet]],4,3),VLOOKUP(VmSpecs[[#This Row],[Subscription]],NetworkReference[#All],2,FALSE),VmSpecs[[#This Row],[Service]],VmSpecs[[#This Row],[VM iteration (nn)]])</f>
        <v>vmpfbpf2aea01</v>
      </c>
      <c r="L2" s="45" t="s">
        <v>61</v>
      </c>
      <c r="M2" s="43" t="str">
        <f>VmSpecs[[#This Row],[VM Name]]&amp;".ninp.myhealthrecord.gov.au"</f>
        <v>vmpfbpf2aea01.ninp.myhealthrecord.gov.au</v>
      </c>
      <c r="N2" s="42" t="str">
        <f>"nic-001-"&amp;VmSpecs[[#This Row],[VM Name]]</f>
        <v>nic-001-vmpfbpf2aea01</v>
      </c>
      <c r="O2" s="94" t="s">
        <v>62</v>
      </c>
      <c r="P2" s="46" t="s">
        <v>63</v>
      </c>
      <c r="Q2" s="42" t="str">
        <f>VLOOKUP(VmSpecs[[#This Row],[Original Hostname (CMO)]],'SSOT Data'!A:E,5,FALSE)</f>
        <v>OEL7.9</v>
      </c>
      <c r="R2" s="42"/>
      <c r="S2" s="42" t="str">
        <f>_xlfn.CONCAT("avail-",LEFT(VmSpecs[[#This Row],[VM Name]],LEN(VmSpecs[[#This Row],[VM Name]])-2))</f>
        <v>avail-vmpfbpf2aea</v>
      </c>
      <c r="T2" s="42" t="str">
        <f>_xlfn.CONCAT("asg-",LEFT(VmSpecs[[#This Row],[VM Name]],LEN(VmSpecs[[#This Row],[VM Name]])-2))</f>
        <v>asg-vmpfbpf2aea</v>
      </c>
      <c r="U2" s="42" t="str">
        <f>_xlfn.CONCAT("nsg-",VmSpecs[[#This Row],[Subnet]])</f>
        <v>nsg-sn-pfb-aue-pf2-app</v>
      </c>
      <c r="V2" s="42" t="s">
        <v>64</v>
      </c>
      <c r="W2" s="43" t="str">
        <f>VLOOKUP(VmSpecs[[#This Row],[Original Hostname (CMO)]],'SSOT Data'!$A:$AX,50,FALSE)</f>
        <v>Standard_D4s_v4</v>
      </c>
      <c r="X2" s="43">
        <v>64</v>
      </c>
      <c r="Y2" s="43" t="s">
        <v>65</v>
      </c>
      <c r="Z2" s="43" t="str">
        <f>"osdisk-"&amp;VmSpecs[[#This Row],[VM Name]]</f>
        <v>osdisk-vmpfbpf2aea01</v>
      </c>
      <c r="AA2" s="47" t="s">
        <v>66</v>
      </c>
      <c r="AB2" s="73">
        <v>8</v>
      </c>
      <c r="AC2" s="74" t="s">
        <v>65</v>
      </c>
      <c r="AD2" s="75" t="str">
        <f>"disk-"&amp;VmSpecs[[#This Row],[VM Name]]&amp;"-001"</f>
        <v>disk-vmpfbpf2aea01-001</v>
      </c>
      <c r="AE2" s="73">
        <v>32</v>
      </c>
      <c r="AF2" s="74" t="s">
        <v>65</v>
      </c>
      <c r="AG2" s="75" t="str">
        <f>"disk-"&amp;VmSpecs[[#This Row],[VM Name]]&amp;"-002"</f>
        <v>disk-vmpfbpf2aea01-002</v>
      </c>
      <c r="AH2" s="42"/>
      <c r="AI2" s="42"/>
      <c r="AJ2" s="42"/>
      <c r="AK2" s="42"/>
      <c r="AL2" s="42" t="str">
        <f>MID(VmSpecs[[#This Row],[VM Name]],3,9)</f>
        <v>pfbpf2aea</v>
      </c>
      <c r="AM2" s="42" t="str" cm="1">
        <f t="array" ref="AM2">_xlfn.TEXTJOIN(CHAR(10), TRUE, IF(NfsExports[FMO Single VM IP]=VmSpecs[[#This Row],[IP]],NfsExports[FMO Export Summary],""))</f>
        <v>/apps/pcehr 100GB</v>
      </c>
      <c r="AN2" s="43" t="str" cm="1">
        <f t="array" ref="AN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" s="42"/>
      <c r="AP2" s="42" t="str">
        <f>VmSpecs[[#This Row],[Description]]</f>
        <v>AEM -Author</v>
      </c>
      <c r="AQ2" s="43"/>
      <c r="AR2" s="43">
        <v>1</v>
      </c>
      <c r="AS2" s="43" t="s">
        <v>64</v>
      </c>
      <c r="AT2" s="43" t="s">
        <v>64</v>
      </c>
      <c r="AU2" s="43" t="s">
        <v>64</v>
      </c>
      <c r="AV2" s="42" t="s">
        <v>66</v>
      </c>
      <c r="AW2" s="42" t="s">
        <v>67</v>
      </c>
      <c r="AX2" s="42" t="s">
        <v>68</v>
      </c>
      <c r="AY2" s="42" t="s">
        <v>64</v>
      </c>
      <c r="AZ2" s="42" t="s">
        <v>64</v>
      </c>
      <c r="BA2" s="97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"AEM -Author"
Application Service: "AEA"
Lifecycle: "PFB"</v>
      </c>
      <c r="BB2" s="78" t="s">
        <v>69</v>
      </c>
      <c r="BC2" s="42" t="str">
        <f>VLOOKUP(VmSpecs[[#This Row],[Original Hostname (CMO)]],'SSOT Data'!A:AJ,36,FALSE)</f>
        <v>AEM -Author</v>
      </c>
      <c r="BD2" s="43"/>
    </row>
    <row r="3" spans="1:56" ht="29" x14ac:dyDescent="0.35">
      <c r="A3" s="42" t="s">
        <v>58</v>
      </c>
      <c r="B3" s="42" t="str">
        <f>_xlfn.XLOOKUP(VmSpecs[[#This Row],[Subnet]],NetworkReference[Subnet],NetworkReference[Subscription])</f>
        <v>NINP-PERF2</v>
      </c>
      <c r="C3" s="43" t="str">
        <f>_xlfn.XLOOKUP(VmSpecs[[#This Row],[Subnet]],NetworkReference[Subnet],NetworkReference[Virtual Network Resource Group])</f>
        <v>rg-pf2-network-aue-001</v>
      </c>
      <c r="D3" s="43" t="str">
        <f>_xlfn.XLOOKUP(VmSpecs[[#This Row],[Subnet]],NetworkReference[Subnet],NetworkReference[Virtual Network])</f>
        <v>vnet-pf2-workload-aue-001</v>
      </c>
      <c r="E3" s="132" t="s">
        <v>59</v>
      </c>
      <c r="F3" s="43" t="str">
        <f>_xlfn.XLOOKUP(VmSpecs[[#This Row],[Subnet]],NetworkReference[Subnet],NetworkReference[Virtual Network Peering])</f>
        <v>vnet-ninp-conn-pnp-hub-aue</v>
      </c>
      <c r="G3" s="43" t="str">
        <f>_xlfn.XLOOKUP(VmSpecs[[#This Row],[Subnet]],NetworkReference[Subnet],NetworkReference[Route Table])</f>
        <v>rt-sn-pfb-aue-pf2-app</v>
      </c>
      <c r="H3" s="43" t="str">
        <f>LOWER(VLOOKUP(VmSpecs[[#This Row],[Original Hostname (CMO)]],'SSOT Data'!A:K,10,FALSE))</f>
        <v>aep</v>
      </c>
      <c r="I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3" s="44" t="s">
        <v>60</v>
      </c>
      <c r="K3" s="43" t="str">
        <f>_xlfn.CONCAT("vm",MID(VmSpecs[[#This Row],[Subnet]],4,3),VLOOKUP(VmSpecs[[#This Row],[Subscription]],NetworkReference[#All],2,FALSE),VmSpecs[[#This Row],[Service]],VmSpecs[[#This Row],[VM iteration (nn)]])</f>
        <v>vmpfbpf2aep01</v>
      </c>
      <c r="L3" s="45" t="s">
        <v>61</v>
      </c>
      <c r="M3" s="43" t="str">
        <f>VmSpecs[[#This Row],[VM Name]]&amp;".ninp.myhealthrecord.gov.au"</f>
        <v>vmpfbpf2aep01.ninp.myhealthrecord.gov.au</v>
      </c>
      <c r="N3" s="42" t="str">
        <f t="shared" ref="N3:N66" si="0">"nic-001-"&amp;K3</f>
        <v>nic-001-vmpfbpf2aep01</v>
      </c>
      <c r="O3" s="94" t="s">
        <v>70</v>
      </c>
      <c r="P3" s="46" t="s">
        <v>63</v>
      </c>
      <c r="Q3" s="42" t="str">
        <f>VLOOKUP(VmSpecs[[#This Row],[Original Hostname (CMO)]],'SSOT Data'!A:E,5,FALSE)</f>
        <v>OEL7.9</v>
      </c>
      <c r="R3" s="42"/>
      <c r="S3" s="42" t="str">
        <f>_xlfn.CONCAT("avail-",LEFT(VmSpecs[[#This Row],[VM Name]],LEN(VmSpecs[[#This Row],[VM Name]])-2))</f>
        <v>avail-vmpfbpf2aep</v>
      </c>
      <c r="T3" s="42" t="str">
        <f>_xlfn.CONCAT("asg-",LEFT(VmSpecs[[#This Row],[VM Name]],LEN(VmSpecs[[#This Row],[VM Name]])-2))</f>
        <v>asg-vmpfbpf2aep</v>
      </c>
      <c r="U3" s="42" t="str">
        <f>_xlfn.CONCAT("nsg-",VmSpecs[[#This Row],[Subnet]])</f>
        <v>nsg-sn-pfb-aue-pf2-app</v>
      </c>
      <c r="V3" s="42" t="s">
        <v>64</v>
      </c>
      <c r="W3" s="43" t="str">
        <f>VLOOKUP(VmSpecs[[#This Row],[Original Hostname (CMO)]],'SSOT Data'!A:AX,50,FALSE)</f>
        <v>Standard_D8s_v4</v>
      </c>
      <c r="X3" s="43">
        <v>64</v>
      </c>
      <c r="Y3" s="43" t="s">
        <v>65</v>
      </c>
      <c r="Z3" s="43" t="str">
        <f>"osdisk-"&amp;VmSpecs[[#This Row],[VM Name]]</f>
        <v>osdisk-vmpfbpf2aep01</v>
      </c>
      <c r="AA3" s="47" t="s">
        <v>66</v>
      </c>
      <c r="AB3" s="73">
        <v>8</v>
      </c>
      <c r="AC3" s="74" t="s">
        <v>65</v>
      </c>
      <c r="AD3" s="75" t="str">
        <f>"disk-"&amp;VmSpecs[[#This Row],[VM Name]]&amp;"-001"</f>
        <v>disk-vmpfbpf2aep01-001</v>
      </c>
      <c r="AE3" s="73">
        <v>32</v>
      </c>
      <c r="AF3" s="74" t="s">
        <v>65</v>
      </c>
      <c r="AG3" s="43" t="str">
        <f>"disk-"&amp;VmSpecs[[#This Row],[VM Name]]&amp;"-002"</f>
        <v>disk-vmpfbpf2aep01-002</v>
      </c>
      <c r="AH3" s="59"/>
      <c r="AI3" s="42"/>
      <c r="AJ3" s="42"/>
      <c r="AK3" s="42"/>
      <c r="AL3" s="42" t="str">
        <f>MID(VmSpecs[[#This Row],[VM Name]],3,9)</f>
        <v>pfbpf2aep</v>
      </c>
      <c r="AM3" s="42" t="str" cm="1">
        <f t="array" ref="AM3">_xlfn.TEXTJOIN(CHAR(10), TRUE, IF(NfsExports[FMO Single VM IP]=VmSpecs[[#This Row],[IP]],NfsExports[FMO Export Summary],""))</f>
        <v>/apps/pcehr 100GB</v>
      </c>
      <c r="AN3" s="43" t="str" cm="1">
        <f t="array" ref="AN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/apps/nfs/t2_portal_pfb 30GB</v>
      </c>
      <c r="AO3" s="42"/>
      <c r="AP3" s="42" t="str">
        <f>VmSpecs[[#This Row],[Description]]</f>
        <v>AEM -Publisher</v>
      </c>
      <c r="AQ3" s="43"/>
      <c r="AR3" s="43" t="s">
        <v>64</v>
      </c>
      <c r="AS3" s="43" t="s">
        <v>64</v>
      </c>
      <c r="AT3" s="43" t="s">
        <v>64</v>
      </c>
      <c r="AU3" s="43" t="s">
        <v>64</v>
      </c>
      <c r="AV3" s="42" t="s">
        <v>66</v>
      </c>
      <c r="AW3" s="42" t="s">
        <v>67</v>
      </c>
      <c r="AX3" s="42" t="s">
        <v>68</v>
      </c>
      <c r="AY3" s="42" t="s">
        <v>64</v>
      </c>
      <c r="AZ3" s="42" t="s">
        <v>64</v>
      </c>
      <c r="BA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"AEM -Publisher"
Application Service: "AEP"
Lifecycle: "PFB"</v>
      </c>
      <c r="BB3" s="78" t="s">
        <v>71</v>
      </c>
      <c r="BC3" s="42" t="str">
        <f>VLOOKUP(VmSpecs[[#This Row],[Original Hostname (CMO)]],'SSOT Data'!A:AJ,36,FALSE)</f>
        <v>AEM -Publisher</v>
      </c>
      <c r="BD3" s="43"/>
    </row>
    <row r="4" spans="1:56" ht="29" x14ac:dyDescent="0.35">
      <c r="A4" s="42" t="s">
        <v>58</v>
      </c>
      <c r="B4" s="42" t="str">
        <f>_xlfn.XLOOKUP(VmSpecs[[#This Row],[Subnet]],NetworkReference[Subnet],NetworkReference[Subscription])</f>
        <v>NINP-PERF2</v>
      </c>
      <c r="C4" s="43" t="str">
        <f>_xlfn.XLOOKUP(VmSpecs[[#This Row],[Subnet]],NetworkReference[Subnet],NetworkReference[Virtual Network Resource Group])</f>
        <v>rg-pf2-network-aue-001</v>
      </c>
      <c r="D4" s="43" t="str">
        <f>_xlfn.XLOOKUP(VmSpecs[[#This Row],[Subnet]],NetworkReference[Subnet],NetworkReference[Virtual Network])</f>
        <v>vnet-pf2-workload-aue-001</v>
      </c>
      <c r="E4" s="132" t="s">
        <v>59</v>
      </c>
      <c r="F4" s="43" t="str">
        <f>_xlfn.XLOOKUP(VmSpecs[[#This Row],[Subnet]],NetworkReference[Subnet],NetworkReference[Virtual Network Peering])</f>
        <v>vnet-ninp-conn-pnp-hub-aue</v>
      </c>
      <c r="G4" s="43" t="str">
        <f>_xlfn.XLOOKUP(VmSpecs[[#This Row],[Subnet]],NetworkReference[Subnet],NetworkReference[Route Table])</f>
        <v>rt-sn-pfb-aue-pf2-app</v>
      </c>
      <c r="H4" s="43" t="str">
        <f>LOWER(VLOOKUP(VmSpecs[[#This Row],[Original Hostname (CMO)]],'SSOT Data'!A:K,10,FALSE))</f>
        <v>aep</v>
      </c>
      <c r="I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4" s="44" t="s">
        <v>72</v>
      </c>
      <c r="K4" s="43" t="str">
        <f>_xlfn.CONCAT("vm",MID(VmSpecs[[#This Row],[Subnet]],4,3),VLOOKUP(VmSpecs[[#This Row],[Subscription]],NetworkReference[#All],2,FALSE),VmSpecs[[#This Row],[Service]],VmSpecs[[#This Row],[VM iteration (nn)]])</f>
        <v>vmpfbpf2aep02</v>
      </c>
      <c r="L4" s="45" t="s">
        <v>61</v>
      </c>
      <c r="M4" s="43" t="str">
        <f>VmSpecs[[#This Row],[VM Name]]&amp;".ninp.myhealthrecord.gov.au"</f>
        <v>vmpfbpf2aep02.ninp.myhealthrecord.gov.au</v>
      </c>
      <c r="N4" s="42" t="str">
        <f t="shared" si="0"/>
        <v>nic-001-vmpfbpf2aep02</v>
      </c>
      <c r="O4" s="94" t="s">
        <v>73</v>
      </c>
      <c r="P4" s="46" t="s">
        <v>63</v>
      </c>
      <c r="Q4" s="42" t="str">
        <f>VLOOKUP(VmSpecs[[#This Row],[Original Hostname (CMO)]],'SSOT Data'!A:E,5,FALSE)</f>
        <v>OEL7.9</v>
      </c>
      <c r="R4" s="42"/>
      <c r="S4" s="42" t="str">
        <f>_xlfn.CONCAT("avail-",LEFT(VmSpecs[[#This Row],[VM Name]],LEN(VmSpecs[[#This Row],[VM Name]])-2))</f>
        <v>avail-vmpfbpf2aep</v>
      </c>
      <c r="T4" s="42" t="str">
        <f>_xlfn.CONCAT("asg-",LEFT(VmSpecs[[#This Row],[VM Name]],LEN(VmSpecs[[#This Row],[VM Name]])-2))</f>
        <v>asg-vmpfbpf2aep</v>
      </c>
      <c r="U4" s="42" t="str">
        <f>_xlfn.CONCAT("nsg-",VmSpecs[[#This Row],[Subnet]])</f>
        <v>nsg-sn-pfb-aue-pf2-app</v>
      </c>
      <c r="V4" s="42" t="s">
        <v>64</v>
      </c>
      <c r="W4" s="43" t="str">
        <f>VLOOKUP(VmSpecs[[#This Row],[Original Hostname (CMO)]],'SSOT Data'!A:AX,50,FALSE)</f>
        <v>Standard_D8s_v4</v>
      </c>
      <c r="X4" s="43">
        <v>64</v>
      </c>
      <c r="Y4" s="43" t="s">
        <v>65</v>
      </c>
      <c r="Z4" s="43" t="str">
        <f>"osdisk-"&amp;VmSpecs[[#This Row],[VM Name]]</f>
        <v>osdisk-vmpfbpf2aep02</v>
      </c>
      <c r="AA4" s="47" t="s">
        <v>66</v>
      </c>
      <c r="AB4" s="73">
        <v>8</v>
      </c>
      <c r="AC4" s="74" t="s">
        <v>65</v>
      </c>
      <c r="AD4" s="75" t="str">
        <f>"disk-"&amp;VmSpecs[[#This Row],[VM Name]]&amp;"-001"</f>
        <v>disk-vmpfbpf2aep02-001</v>
      </c>
      <c r="AE4" s="73">
        <v>32</v>
      </c>
      <c r="AF4" s="74" t="s">
        <v>65</v>
      </c>
      <c r="AG4" s="43" t="str">
        <f>"disk-"&amp;VmSpecs[[#This Row],[VM Name]]&amp;"-002"</f>
        <v>disk-vmpfbpf2aep02-002</v>
      </c>
      <c r="AH4" s="59"/>
      <c r="AI4" s="42"/>
      <c r="AJ4" s="42"/>
      <c r="AK4" s="42"/>
      <c r="AL4" s="42" t="str">
        <f>MID(VmSpecs[[#This Row],[VM Name]],3,9)</f>
        <v>pfbpf2aep</v>
      </c>
      <c r="AM4" s="42" t="str" cm="1">
        <f t="array" ref="AM4">_xlfn.TEXTJOIN(CHAR(10), TRUE, IF(NfsExports[FMO Single VM IP]=VmSpecs[[#This Row],[IP]],NfsExports[FMO Export Summary],""))</f>
        <v>/apps/pcehr 100GB</v>
      </c>
      <c r="AN4" s="43" t="str" cm="1">
        <f t="array" ref="AN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/apps/nfs/t2_portal_pfb 30GB</v>
      </c>
      <c r="AO4" s="42"/>
      <c r="AP4" s="42" t="str">
        <f>VmSpecs[[#This Row],[Description]]</f>
        <v>AEM -Publisher</v>
      </c>
      <c r="AQ4" s="43"/>
      <c r="AR4" s="43" t="s">
        <v>64</v>
      </c>
      <c r="AS4" s="43" t="s">
        <v>64</v>
      </c>
      <c r="AT4" s="43" t="s">
        <v>64</v>
      </c>
      <c r="AU4" s="43" t="s">
        <v>64</v>
      </c>
      <c r="AV4" s="42" t="s">
        <v>66</v>
      </c>
      <c r="AW4" s="42" t="s">
        <v>67</v>
      </c>
      <c r="AX4" s="42" t="s">
        <v>68</v>
      </c>
      <c r="AY4" s="42" t="s">
        <v>64</v>
      </c>
      <c r="AZ4" s="42" t="s">
        <v>64</v>
      </c>
      <c r="BA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"AEM -Publisher"
Application Service: "AEP"
Lifecycle: "PFB"</v>
      </c>
      <c r="BB4" s="78" t="s">
        <v>74</v>
      </c>
      <c r="BC4" s="42" t="str">
        <f>VLOOKUP(VmSpecs[[#This Row],[Original Hostname (CMO)]],'SSOT Data'!A:AJ,36,FALSE)</f>
        <v>AEM -Publisher</v>
      </c>
      <c r="BD4" s="43"/>
    </row>
    <row r="5" spans="1:56" ht="29" x14ac:dyDescent="0.35">
      <c r="A5" s="42" t="s">
        <v>58</v>
      </c>
      <c r="B5" s="42" t="str">
        <f>_xlfn.XLOOKUP(VmSpecs[[#This Row],[Subnet]],NetworkReference[Subnet],NetworkReference[Subscription])</f>
        <v>NINP-PERF2</v>
      </c>
      <c r="C5" s="43" t="str">
        <f>_xlfn.XLOOKUP(VmSpecs[[#This Row],[Subnet]],NetworkReference[Subnet],NetworkReference[Virtual Network Resource Group])</f>
        <v>rg-pf2-network-aue-001</v>
      </c>
      <c r="D5" s="43" t="str">
        <f>_xlfn.XLOOKUP(VmSpecs[[#This Row],[Subnet]],NetworkReference[Subnet],NetworkReference[Virtual Network])</f>
        <v>vnet-pf2-workload-aue-001</v>
      </c>
      <c r="E5" s="132" t="s">
        <v>59</v>
      </c>
      <c r="F5" s="43" t="str">
        <f>_xlfn.XLOOKUP(VmSpecs[[#This Row],[Subnet]],NetworkReference[Subnet],NetworkReference[Virtual Network Peering])</f>
        <v>vnet-ninp-conn-pnp-hub-aue</v>
      </c>
      <c r="G5" s="43" t="str">
        <f>_xlfn.XLOOKUP(VmSpecs[[#This Row],[Subnet]],NetworkReference[Subnet],NetworkReference[Route Table])</f>
        <v>rt-sn-pfb-aue-pf2-app</v>
      </c>
      <c r="H5" s="43" t="str">
        <f>LOWER(VLOOKUP(VmSpecs[[#This Row],[Original Hostname (CMO)]],'SSOT Data'!A:K,10,FALSE))</f>
        <v>aep</v>
      </c>
      <c r="I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5" s="44" t="s">
        <v>75</v>
      </c>
      <c r="K5" s="43" t="str">
        <f>_xlfn.CONCAT("vm",MID(VmSpecs[[#This Row],[Subnet]],4,3),VLOOKUP(VmSpecs[[#This Row],[Subscription]],NetworkReference[#All],2,FALSE),VmSpecs[[#This Row],[Service]],VmSpecs[[#This Row],[VM iteration (nn)]])</f>
        <v>vmpfbpf2aep03</v>
      </c>
      <c r="L5" s="45" t="s">
        <v>61</v>
      </c>
      <c r="M5" s="43" t="str">
        <f>VmSpecs[[#This Row],[VM Name]]&amp;".ninp.myhealthrecord.gov.au"</f>
        <v>vmpfbpf2aep03.ninp.myhealthrecord.gov.au</v>
      </c>
      <c r="N5" s="42" t="str">
        <f t="shared" si="0"/>
        <v>nic-001-vmpfbpf2aep03</v>
      </c>
      <c r="O5" s="94" t="s">
        <v>76</v>
      </c>
      <c r="P5" s="46" t="s">
        <v>63</v>
      </c>
      <c r="Q5" s="42" t="str">
        <f>VLOOKUP(VmSpecs[[#This Row],[Original Hostname (CMO)]],'SSOT Data'!A:E,5,FALSE)</f>
        <v>OEL7.9</v>
      </c>
      <c r="R5" s="42"/>
      <c r="S5" s="42" t="str">
        <f>_xlfn.CONCAT("avail-",LEFT(VmSpecs[[#This Row],[VM Name]],LEN(VmSpecs[[#This Row],[VM Name]])-2))</f>
        <v>avail-vmpfbpf2aep</v>
      </c>
      <c r="T5" s="42" t="str">
        <f>_xlfn.CONCAT("asg-",LEFT(VmSpecs[[#This Row],[VM Name]],LEN(VmSpecs[[#This Row],[VM Name]])-2))</f>
        <v>asg-vmpfbpf2aep</v>
      </c>
      <c r="U5" s="42" t="str">
        <f>_xlfn.CONCAT("nsg-",VmSpecs[[#This Row],[Subnet]])</f>
        <v>nsg-sn-pfb-aue-pf2-app</v>
      </c>
      <c r="V5" s="42" t="s">
        <v>64</v>
      </c>
      <c r="W5" s="43" t="str">
        <f>VLOOKUP(VmSpecs[[#This Row],[Original Hostname (CMO)]],'SSOT Data'!A:AX,50,FALSE)</f>
        <v>Standard_D8s_v4</v>
      </c>
      <c r="X5" s="43">
        <v>64</v>
      </c>
      <c r="Y5" s="43" t="s">
        <v>65</v>
      </c>
      <c r="Z5" s="43" t="str">
        <f>"osdisk-"&amp;VmSpecs[[#This Row],[VM Name]]</f>
        <v>osdisk-vmpfbpf2aep03</v>
      </c>
      <c r="AA5" s="47" t="s">
        <v>66</v>
      </c>
      <c r="AB5" s="73">
        <v>8</v>
      </c>
      <c r="AC5" s="74" t="s">
        <v>65</v>
      </c>
      <c r="AD5" s="75" t="str">
        <f>"disk-"&amp;VmSpecs[[#This Row],[VM Name]]&amp;"-001"</f>
        <v>disk-vmpfbpf2aep03-001</v>
      </c>
      <c r="AE5" s="73">
        <v>32</v>
      </c>
      <c r="AF5" s="74" t="s">
        <v>65</v>
      </c>
      <c r="AG5" s="43" t="str">
        <f>"disk-"&amp;VmSpecs[[#This Row],[VM Name]]&amp;"-002"</f>
        <v>disk-vmpfbpf2aep03-002</v>
      </c>
      <c r="AH5" s="59"/>
      <c r="AI5" s="42"/>
      <c r="AJ5" s="42"/>
      <c r="AK5" s="42"/>
      <c r="AL5" s="42" t="str">
        <f>MID(VmSpecs[[#This Row],[VM Name]],3,9)</f>
        <v>pfbpf2aep</v>
      </c>
      <c r="AM5" s="42" t="str" cm="1">
        <f t="array" ref="AM5">_xlfn.TEXTJOIN(CHAR(10), TRUE, IF(NfsExports[FMO Single VM IP]=VmSpecs[[#This Row],[IP]],NfsExports[FMO Export Summary],""))</f>
        <v>/apps/pcehr 100GB</v>
      </c>
      <c r="AN5" s="43" t="str" cm="1">
        <f t="array" ref="AN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/apps/nfs/t2_portal_pfb 30GB</v>
      </c>
      <c r="AO5" s="42"/>
      <c r="AP5" s="42" t="str">
        <f>VmSpecs[[#This Row],[Description]]</f>
        <v>AEM -Publisher</v>
      </c>
      <c r="AQ5" s="43"/>
      <c r="AR5" s="43" t="s">
        <v>64</v>
      </c>
      <c r="AS5" s="43" t="s">
        <v>64</v>
      </c>
      <c r="AT5" s="43" t="s">
        <v>64</v>
      </c>
      <c r="AU5" s="43" t="s">
        <v>64</v>
      </c>
      <c r="AV5" s="42" t="s">
        <v>66</v>
      </c>
      <c r="AW5" s="42" t="s">
        <v>67</v>
      </c>
      <c r="AX5" s="42" t="s">
        <v>68</v>
      </c>
      <c r="AY5" s="42" t="s">
        <v>64</v>
      </c>
      <c r="AZ5" s="42" t="s">
        <v>64</v>
      </c>
      <c r="BA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"AEM -Publisher"
Application Service: "AEP"
Lifecycle: "PFB"</v>
      </c>
      <c r="BB5" s="78" t="s">
        <v>77</v>
      </c>
      <c r="BC5" s="42" t="str">
        <f>VLOOKUP(VmSpecs[[#This Row],[Original Hostname (CMO)]],'SSOT Data'!A:AJ,36,FALSE)</f>
        <v>AEM -Publisher</v>
      </c>
      <c r="BD5" s="43"/>
    </row>
    <row r="6" spans="1:56" ht="29" x14ac:dyDescent="0.35">
      <c r="A6" s="42" t="s">
        <v>58</v>
      </c>
      <c r="B6" s="42" t="str">
        <f>_xlfn.XLOOKUP(VmSpecs[[#This Row],[Subnet]],NetworkReference[Subnet],NetworkReference[Subscription])</f>
        <v>NINP-PERF2</v>
      </c>
      <c r="C6" s="43" t="str">
        <f>_xlfn.XLOOKUP(VmSpecs[[#This Row],[Subnet]],NetworkReference[Subnet],NetworkReference[Virtual Network Resource Group])</f>
        <v>rg-pf2-network-aue-001</v>
      </c>
      <c r="D6" s="43" t="str">
        <f>_xlfn.XLOOKUP(VmSpecs[[#This Row],[Subnet]],NetworkReference[Subnet],NetworkReference[Virtual Network])</f>
        <v>vnet-pf2-workload-aue-001</v>
      </c>
      <c r="E6" s="132" t="s">
        <v>59</v>
      </c>
      <c r="F6" s="43" t="str">
        <f>_xlfn.XLOOKUP(VmSpecs[[#This Row],[Subnet]],NetworkReference[Subnet],NetworkReference[Virtual Network Peering])</f>
        <v>vnet-ninp-conn-pnp-hub-aue</v>
      </c>
      <c r="G6" s="43" t="str">
        <f>_xlfn.XLOOKUP(VmSpecs[[#This Row],[Subnet]],NetworkReference[Subnet],NetworkReference[Route Table])</f>
        <v>rt-sn-pfb-aue-pf2-app</v>
      </c>
      <c r="H6" s="43" t="str">
        <f>LOWER(VLOOKUP(VmSpecs[[#This Row],[Original Hostname (CMO)]],'SSOT Data'!A:K,10,FALSE))</f>
        <v>aep</v>
      </c>
      <c r="I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6" s="44" t="s">
        <v>78</v>
      </c>
      <c r="K6" s="43" t="str">
        <f>_xlfn.CONCAT("vm",MID(VmSpecs[[#This Row],[Subnet]],4,3),VLOOKUP(VmSpecs[[#This Row],[Subscription]],NetworkReference[#All],2,FALSE),VmSpecs[[#This Row],[Service]],VmSpecs[[#This Row],[VM iteration (nn)]])</f>
        <v>vmpfbpf2aep04</v>
      </c>
      <c r="L6" s="45" t="s">
        <v>61</v>
      </c>
      <c r="M6" s="43" t="str">
        <f>VmSpecs[[#This Row],[VM Name]]&amp;".ninp.myhealthrecord.gov.au"</f>
        <v>vmpfbpf2aep04.ninp.myhealthrecord.gov.au</v>
      </c>
      <c r="N6" s="42" t="str">
        <f t="shared" si="0"/>
        <v>nic-001-vmpfbpf2aep04</v>
      </c>
      <c r="O6" s="94" t="s">
        <v>79</v>
      </c>
      <c r="P6" s="46" t="s">
        <v>63</v>
      </c>
      <c r="Q6" s="42" t="str">
        <f>VLOOKUP(VmSpecs[[#This Row],[Original Hostname (CMO)]],'SSOT Data'!A:E,5,FALSE)</f>
        <v>OEL7.9</v>
      </c>
      <c r="R6" s="42"/>
      <c r="S6" s="42" t="str">
        <f>_xlfn.CONCAT("avail-",LEFT(VmSpecs[[#This Row],[VM Name]],LEN(VmSpecs[[#This Row],[VM Name]])-2))</f>
        <v>avail-vmpfbpf2aep</v>
      </c>
      <c r="T6" s="42" t="str">
        <f>_xlfn.CONCAT("asg-",LEFT(VmSpecs[[#This Row],[VM Name]],LEN(VmSpecs[[#This Row],[VM Name]])-2))</f>
        <v>asg-vmpfbpf2aep</v>
      </c>
      <c r="U6" s="42" t="str">
        <f>_xlfn.CONCAT("nsg-",VmSpecs[[#This Row],[Subnet]])</f>
        <v>nsg-sn-pfb-aue-pf2-app</v>
      </c>
      <c r="V6" s="42" t="s">
        <v>64</v>
      </c>
      <c r="W6" s="43" t="str">
        <f>VLOOKUP(VmSpecs[[#This Row],[Original Hostname (CMO)]],'SSOT Data'!A:AX,50,FALSE)</f>
        <v>Standard_D8s_v4</v>
      </c>
      <c r="X6" s="43">
        <v>64</v>
      </c>
      <c r="Y6" s="43" t="s">
        <v>65</v>
      </c>
      <c r="Z6" s="43" t="str">
        <f>"osdisk-"&amp;VmSpecs[[#This Row],[VM Name]]</f>
        <v>osdisk-vmpfbpf2aep04</v>
      </c>
      <c r="AA6" s="47" t="s">
        <v>66</v>
      </c>
      <c r="AB6" s="73">
        <v>8</v>
      </c>
      <c r="AC6" s="74" t="s">
        <v>65</v>
      </c>
      <c r="AD6" s="75" t="str">
        <f>"disk-"&amp;VmSpecs[[#This Row],[VM Name]]&amp;"-001"</f>
        <v>disk-vmpfbpf2aep04-001</v>
      </c>
      <c r="AE6" s="73">
        <v>32</v>
      </c>
      <c r="AF6" s="74" t="s">
        <v>65</v>
      </c>
      <c r="AG6" s="43" t="str">
        <f>"disk-"&amp;VmSpecs[[#This Row],[VM Name]]&amp;"-002"</f>
        <v>disk-vmpfbpf2aep04-002</v>
      </c>
      <c r="AH6" s="59"/>
      <c r="AI6" s="42"/>
      <c r="AJ6" s="42"/>
      <c r="AK6" s="42"/>
      <c r="AL6" s="42" t="str">
        <f>MID(VmSpecs[[#This Row],[VM Name]],3,9)</f>
        <v>pfbpf2aep</v>
      </c>
      <c r="AM6" s="42" t="str" cm="1">
        <f t="array" ref="AM6">_xlfn.TEXTJOIN(CHAR(10), TRUE, IF(NfsExports[FMO Single VM IP]=VmSpecs[[#This Row],[IP]],NfsExports[FMO Export Summary],""))</f>
        <v>/apps/pcehr 100GB</v>
      </c>
      <c r="AN6" s="43" t="str" cm="1">
        <f t="array" ref="AN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/apps/nfs/t2_portal_pfb 30GB</v>
      </c>
      <c r="AO6" s="42"/>
      <c r="AP6" s="42" t="str">
        <f>VmSpecs[[#This Row],[Description]]</f>
        <v>AEM -Publisher</v>
      </c>
      <c r="AQ6" s="43"/>
      <c r="AR6" s="43" t="s">
        <v>64</v>
      </c>
      <c r="AS6" s="43" t="s">
        <v>64</v>
      </c>
      <c r="AT6" s="43" t="s">
        <v>64</v>
      </c>
      <c r="AU6" s="43" t="s">
        <v>64</v>
      </c>
      <c r="AV6" s="42" t="s">
        <v>66</v>
      </c>
      <c r="AW6" s="42" t="s">
        <v>67</v>
      </c>
      <c r="AX6" s="42" t="s">
        <v>68</v>
      </c>
      <c r="AY6" s="42" t="s">
        <v>64</v>
      </c>
      <c r="AZ6" s="42" t="s">
        <v>64</v>
      </c>
      <c r="BA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"AEM -Publisher"
Application Service: "AEP"
Lifecycle: "PFB"</v>
      </c>
      <c r="BB6" s="78" t="s">
        <v>80</v>
      </c>
      <c r="BC6" s="42" t="str">
        <f>VLOOKUP(VmSpecs[[#This Row],[Original Hostname (CMO)]],'SSOT Data'!A:AJ,36,FALSE)</f>
        <v>AEM -Publisher</v>
      </c>
      <c r="BD6" s="43"/>
    </row>
    <row r="7" spans="1:56" ht="29" x14ac:dyDescent="0.35">
      <c r="A7" s="42" t="s">
        <v>58</v>
      </c>
      <c r="B7" s="42" t="str">
        <f>_xlfn.XLOOKUP(VmSpecs[[#This Row],[Subnet]],NetworkReference[Subnet],NetworkReference[Subscription])</f>
        <v>NINP-PERF2</v>
      </c>
      <c r="C7" s="43" t="str">
        <f>_xlfn.XLOOKUP(VmSpecs[[#This Row],[Subnet]],NetworkReference[Subnet],NetworkReference[Virtual Network Resource Group])</f>
        <v>rg-pf2-network-aue-001</v>
      </c>
      <c r="D7" s="43" t="str">
        <f>_xlfn.XLOOKUP(VmSpecs[[#This Row],[Subnet]],NetworkReference[Subnet],NetworkReference[Virtual Network])</f>
        <v>vnet-pf2-workload-aue-001</v>
      </c>
      <c r="E7" s="132" t="s">
        <v>59</v>
      </c>
      <c r="F7" s="43" t="str">
        <f>_xlfn.XLOOKUP(VmSpecs[[#This Row],[Subnet]],NetworkReference[Subnet],NetworkReference[Virtual Network Peering])</f>
        <v>vnet-ninp-conn-pnp-hub-aue</v>
      </c>
      <c r="G7" s="43" t="str">
        <f>_xlfn.XLOOKUP(VmSpecs[[#This Row],[Subnet]],NetworkReference[Subnet],NetworkReference[Route Table])</f>
        <v>rt-sn-pfb-aue-pf2-app</v>
      </c>
      <c r="H7" s="43" t="str">
        <f>LOWER(VLOOKUP(VmSpecs[[#This Row],[Original Hostname (CMO)]],'SSOT Data'!A:K,10,FALSE))</f>
        <v>aep</v>
      </c>
      <c r="I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7" s="44" t="s">
        <v>81</v>
      </c>
      <c r="K7" s="43" t="str">
        <f>_xlfn.CONCAT("vm",MID(VmSpecs[[#This Row],[Subnet]],4,3),VLOOKUP(VmSpecs[[#This Row],[Subscription]],NetworkReference[#All],2,FALSE),VmSpecs[[#This Row],[Service]],VmSpecs[[#This Row],[VM iteration (nn)]])</f>
        <v>vmpfbpf2aep05</v>
      </c>
      <c r="L7" s="45" t="s">
        <v>61</v>
      </c>
      <c r="M7" s="43" t="str">
        <f>VmSpecs[[#This Row],[VM Name]]&amp;".ninp.myhealthrecord.gov.au"</f>
        <v>vmpfbpf2aep05.ninp.myhealthrecord.gov.au</v>
      </c>
      <c r="N7" s="42" t="str">
        <f t="shared" si="0"/>
        <v>nic-001-vmpfbpf2aep05</v>
      </c>
      <c r="O7" s="94" t="s">
        <v>82</v>
      </c>
      <c r="P7" s="46" t="s">
        <v>63</v>
      </c>
      <c r="Q7" s="42" t="str">
        <f>VLOOKUP(VmSpecs[[#This Row],[Original Hostname (CMO)]],'SSOT Data'!A:E,5,FALSE)</f>
        <v>OEL7.9</v>
      </c>
      <c r="R7" s="42"/>
      <c r="S7" s="42" t="str">
        <f>_xlfn.CONCAT("avail-",LEFT(VmSpecs[[#This Row],[VM Name]],LEN(VmSpecs[[#This Row],[VM Name]])-2))</f>
        <v>avail-vmpfbpf2aep</v>
      </c>
      <c r="T7" s="42" t="str">
        <f>_xlfn.CONCAT("asg-",LEFT(VmSpecs[[#This Row],[VM Name]],LEN(VmSpecs[[#This Row],[VM Name]])-2))</f>
        <v>asg-vmpfbpf2aep</v>
      </c>
      <c r="U7" s="42" t="str">
        <f>_xlfn.CONCAT("nsg-",VmSpecs[[#This Row],[Subnet]])</f>
        <v>nsg-sn-pfb-aue-pf2-app</v>
      </c>
      <c r="V7" s="42" t="s">
        <v>64</v>
      </c>
      <c r="W7" s="43" t="str">
        <f>VLOOKUP(VmSpecs[[#This Row],[Original Hostname (CMO)]],'SSOT Data'!A:AX,50,FALSE)</f>
        <v>Standard_D8s_v4</v>
      </c>
      <c r="X7" s="43">
        <v>64</v>
      </c>
      <c r="Y7" s="43" t="s">
        <v>65</v>
      </c>
      <c r="Z7" s="43" t="str">
        <f>"osdisk-"&amp;VmSpecs[[#This Row],[VM Name]]</f>
        <v>osdisk-vmpfbpf2aep05</v>
      </c>
      <c r="AA7" s="47" t="s">
        <v>66</v>
      </c>
      <c r="AB7" s="73">
        <v>8</v>
      </c>
      <c r="AC7" s="74" t="s">
        <v>65</v>
      </c>
      <c r="AD7" s="75" t="str">
        <f>"disk-"&amp;VmSpecs[[#This Row],[VM Name]]&amp;"-001"</f>
        <v>disk-vmpfbpf2aep05-001</v>
      </c>
      <c r="AE7" s="73">
        <v>32</v>
      </c>
      <c r="AF7" s="74" t="s">
        <v>65</v>
      </c>
      <c r="AG7" s="43" t="str">
        <f>"disk-"&amp;VmSpecs[[#This Row],[VM Name]]&amp;"-002"</f>
        <v>disk-vmpfbpf2aep05-002</v>
      </c>
      <c r="AH7" s="59"/>
      <c r="AI7" s="42"/>
      <c r="AJ7" s="42"/>
      <c r="AK7" s="42"/>
      <c r="AL7" s="42" t="str">
        <f>MID(VmSpecs[[#This Row],[VM Name]],3,9)</f>
        <v>pfbpf2aep</v>
      </c>
      <c r="AM7" s="42" t="str" cm="1">
        <f t="array" ref="AM7">_xlfn.TEXTJOIN(CHAR(10), TRUE, IF(NfsExports[FMO Single VM IP]=VmSpecs[[#This Row],[IP]],NfsExports[FMO Export Summary],""))</f>
        <v>/apps/pcehr 100GB</v>
      </c>
      <c r="AN7" s="43" t="str" cm="1">
        <f t="array" ref="AN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/apps/nfs/t2_portal_pfb 30GB</v>
      </c>
      <c r="AO7" s="42"/>
      <c r="AP7" s="42" t="str">
        <f>VmSpecs[[#This Row],[Description]]</f>
        <v>AEM -Publisher</v>
      </c>
      <c r="AQ7" s="43"/>
      <c r="AR7" s="43" t="s">
        <v>64</v>
      </c>
      <c r="AS7" s="43" t="s">
        <v>64</v>
      </c>
      <c r="AT7" s="43" t="s">
        <v>64</v>
      </c>
      <c r="AU7" s="43" t="s">
        <v>64</v>
      </c>
      <c r="AV7" s="42" t="s">
        <v>66</v>
      </c>
      <c r="AW7" s="42" t="s">
        <v>67</v>
      </c>
      <c r="AX7" s="42" t="s">
        <v>68</v>
      </c>
      <c r="AY7" s="42" t="s">
        <v>64</v>
      </c>
      <c r="AZ7" s="42" t="s">
        <v>64</v>
      </c>
      <c r="BA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"AEM -Publisher"
Application Service: "AEP"
Lifecycle: "PFB"</v>
      </c>
      <c r="BB7" s="78" t="s">
        <v>83</v>
      </c>
      <c r="BC7" s="42" t="str">
        <f>VLOOKUP(VmSpecs[[#This Row],[Original Hostname (CMO)]],'SSOT Data'!A:AJ,36,FALSE)</f>
        <v>AEM -Publisher</v>
      </c>
      <c r="BD7" s="43"/>
    </row>
    <row r="8" spans="1:56" ht="29" x14ac:dyDescent="0.35">
      <c r="A8" s="42" t="s">
        <v>58</v>
      </c>
      <c r="B8" s="42" t="str">
        <f>_xlfn.XLOOKUP(VmSpecs[[#This Row],[Subnet]],NetworkReference[Subnet],NetworkReference[Subscription])</f>
        <v>NINP-PERF2</v>
      </c>
      <c r="C8" s="43" t="str">
        <f>_xlfn.XLOOKUP(VmSpecs[[#This Row],[Subnet]],NetworkReference[Subnet],NetworkReference[Virtual Network Resource Group])</f>
        <v>rg-pf2-network-aue-001</v>
      </c>
      <c r="D8" s="43" t="str">
        <f>_xlfn.XLOOKUP(VmSpecs[[#This Row],[Subnet]],NetworkReference[Subnet],NetworkReference[Virtual Network])</f>
        <v>vnet-pf2-workload-aue-001</v>
      </c>
      <c r="E8" s="132" t="s">
        <v>59</v>
      </c>
      <c r="F8" s="43" t="str">
        <f>_xlfn.XLOOKUP(VmSpecs[[#This Row],[Subnet]],NetworkReference[Subnet],NetworkReference[Virtual Network Peering])</f>
        <v>vnet-ninp-conn-pnp-hub-aue</v>
      </c>
      <c r="G8" s="43" t="str">
        <f>_xlfn.XLOOKUP(VmSpecs[[#This Row],[Subnet]],NetworkReference[Subnet],NetworkReference[Route Table])</f>
        <v>rt-sn-pfb-aue-pf2-app</v>
      </c>
      <c r="H8" s="43" t="str">
        <f>LOWER(VLOOKUP(VmSpecs[[#This Row],[Original Hostname (CMO)]],'SSOT Data'!A:K,10,FALSE))</f>
        <v>aep</v>
      </c>
      <c r="I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8" s="44" t="s">
        <v>84</v>
      </c>
      <c r="K8" s="43" t="str">
        <f>_xlfn.CONCAT("vm",MID(VmSpecs[[#This Row],[Subnet]],4,3),VLOOKUP(VmSpecs[[#This Row],[Subscription]],NetworkReference[#All],2,FALSE),VmSpecs[[#This Row],[Service]],VmSpecs[[#This Row],[VM iteration (nn)]])</f>
        <v>vmpfbpf2aep06</v>
      </c>
      <c r="L8" s="45" t="s">
        <v>61</v>
      </c>
      <c r="M8" s="43" t="str">
        <f>VmSpecs[[#This Row],[VM Name]]&amp;".ninp.myhealthrecord.gov.au"</f>
        <v>vmpfbpf2aep06.ninp.myhealthrecord.gov.au</v>
      </c>
      <c r="N8" s="42" t="str">
        <f t="shared" si="0"/>
        <v>nic-001-vmpfbpf2aep06</v>
      </c>
      <c r="O8" s="94" t="s">
        <v>85</v>
      </c>
      <c r="P8" s="46" t="s">
        <v>63</v>
      </c>
      <c r="Q8" s="42" t="str">
        <f>VLOOKUP(VmSpecs[[#This Row],[Original Hostname (CMO)]],'SSOT Data'!A:E,5,FALSE)</f>
        <v>OEL7.9</v>
      </c>
      <c r="R8" s="42"/>
      <c r="S8" s="42" t="str">
        <f>_xlfn.CONCAT("avail-",LEFT(VmSpecs[[#This Row],[VM Name]],LEN(VmSpecs[[#This Row],[VM Name]])-2))</f>
        <v>avail-vmpfbpf2aep</v>
      </c>
      <c r="T8" s="42" t="str">
        <f>_xlfn.CONCAT("asg-",LEFT(VmSpecs[[#This Row],[VM Name]],LEN(VmSpecs[[#This Row],[VM Name]])-2))</f>
        <v>asg-vmpfbpf2aep</v>
      </c>
      <c r="U8" s="42" t="str">
        <f>_xlfn.CONCAT("nsg-",VmSpecs[[#This Row],[Subnet]])</f>
        <v>nsg-sn-pfb-aue-pf2-app</v>
      </c>
      <c r="V8" s="42" t="s">
        <v>64</v>
      </c>
      <c r="W8" s="43" t="str">
        <f>VLOOKUP(VmSpecs[[#This Row],[Original Hostname (CMO)]],'SSOT Data'!A:AX,50,FALSE)</f>
        <v>Standard_D8s_v4</v>
      </c>
      <c r="X8" s="43">
        <v>64</v>
      </c>
      <c r="Y8" s="43" t="s">
        <v>65</v>
      </c>
      <c r="Z8" s="43" t="str">
        <f>"osdisk-"&amp;VmSpecs[[#This Row],[VM Name]]</f>
        <v>osdisk-vmpfbpf2aep06</v>
      </c>
      <c r="AA8" s="47" t="s">
        <v>66</v>
      </c>
      <c r="AB8" s="73">
        <v>8</v>
      </c>
      <c r="AC8" s="74" t="s">
        <v>65</v>
      </c>
      <c r="AD8" s="75" t="str">
        <f>"disk-"&amp;VmSpecs[[#This Row],[VM Name]]&amp;"-001"</f>
        <v>disk-vmpfbpf2aep06-001</v>
      </c>
      <c r="AE8" s="73">
        <v>32</v>
      </c>
      <c r="AF8" s="74" t="s">
        <v>65</v>
      </c>
      <c r="AG8" s="43" t="str">
        <f>"disk-"&amp;VmSpecs[[#This Row],[VM Name]]&amp;"-002"</f>
        <v>disk-vmpfbpf2aep06-002</v>
      </c>
      <c r="AH8" s="59"/>
      <c r="AI8" s="42"/>
      <c r="AJ8" s="42"/>
      <c r="AK8" s="42"/>
      <c r="AL8" s="42" t="str">
        <f>MID(VmSpecs[[#This Row],[VM Name]],3,9)</f>
        <v>pfbpf2aep</v>
      </c>
      <c r="AM8" s="42" t="str" cm="1">
        <f t="array" ref="AM8">_xlfn.TEXTJOIN(CHAR(10), TRUE, IF(NfsExports[FMO Single VM IP]=VmSpecs[[#This Row],[IP]],NfsExports[FMO Export Summary],""))</f>
        <v>/apps/pcehr 100GB</v>
      </c>
      <c r="AN8" s="43" t="str" cm="1">
        <f t="array" ref="AN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/apps/nfs/t2_portal_pfb 30GB</v>
      </c>
      <c r="AO8" s="42"/>
      <c r="AP8" s="42" t="str">
        <f>VmSpecs[[#This Row],[Description]]</f>
        <v>AEM -Publisher</v>
      </c>
      <c r="AQ8" s="43"/>
      <c r="AR8" s="43" t="s">
        <v>64</v>
      </c>
      <c r="AS8" s="43" t="s">
        <v>64</v>
      </c>
      <c r="AT8" s="43" t="s">
        <v>64</v>
      </c>
      <c r="AU8" s="43" t="s">
        <v>64</v>
      </c>
      <c r="AV8" s="42" t="s">
        <v>66</v>
      </c>
      <c r="AW8" s="42" t="s">
        <v>67</v>
      </c>
      <c r="AX8" s="42" t="s">
        <v>68</v>
      </c>
      <c r="AY8" s="42" t="s">
        <v>64</v>
      </c>
      <c r="AZ8" s="42" t="s">
        <v>64</v>
      </c>
      <c r="BA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"AEM -Publisher"
Application Service: "AEP"
Lifecycle: "PFB"</v>
      </c>
      <c r="BB8" s="78" t="s">
        <v>86</v>
      </c>
      <c r="BC8" s="42" t="str">
        <f>VLOOKUP(VmSpecs[[#This Row],[Original Hostname (CMO)]],'SSOT Data'!A:AJ,36,FALSE)</f>
        <v>AEM -Publisher</v>
      </c>
      <c r="BD8" s="43"/>
    </row>
    <row r="9" spans="1:56" ht="29" x14ac:dyDescent="0.35">
      <c r="A9" s="42" t="s">
        <v>58</v>
      </c>
      <c r="B9" s="42" t="str">
        <f>_xlfn.XLOOKUP(VmSpecs[[#This Row],[Subnet]],NetworkReference[Subnet],NetworkReference[Subscription])</f>
        <v>NINP-PERF2</v>
      </c>
      <c r="C9" s="43" t="str">
        <f>_xlfn.XLOOKUP(VmSpecs[[#This Row],[Subnet]],NetworkReference[Subnet],NetworkReference[Virtual Network Resource Group])</f>
        <v>rg-pf2-network-aue-001</v>
      </c>
      <c r="D9" s="43" t="str">
        <f>_xlfn.XLOOKUP(VmSpecs[[#This Row],[Subnet]],NetworkReference[Subnet],NetworkReference[Virtual Network])</f>
        <v>vnet-pf2-workload-aue-001</v>
      </c>
      <c r="E9" s="132" t="s">
        <v>59</v>
      </c>
      <c r="F9" s="43" t="str">
        <f>_xlfn.XLOOKUP(VmSpecs[[#This Row],[Subnet]],NetworkReference[Subnet],NetworkReference[Virtual Network Peering])</f>
        <v>vnet-ninp-conn-pnp-hub-aue</v>
      </c>
      <c r="G9" s="43" t="str">
        <f>_xlfn.XLOOKUP(VmSpecs[[#This Row],[Subnet]],NetworkReference[Subnet],NetworkReference[Route Table])</f>
        <v>rt-sn-pfb-aue-pf2-app</v>
      </c>
      <c r="H9" s="43" t="str">
        <f>LOWER(VLOOKUP(VmSpecs[[#This Row],[Original Hostname (CMO)]],'SSOT Data'!A:K,10,FALSE))</f>
        <v>crp</v>
      </c>
      <c r="I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9" s="44" t="s">
        <v>60</v>
      </c>
      <c r="K9" s="43" t="str">
        <f>_xlfn.CONCAT("vm",MID(VmSpecs[[#This Row],[Subnet]],4,3),VLOOKUP(VmSpecs[[#This Row],[Subscription]],NetworkReference[#All],2,FALSE),VmSpecs[[#This Row],[Service]],VmSpecs[[#This Row],[VM iteration (nn)]])</f>
        <v>vmpfbpf2crp01</v>
      </c>
      <c r="L9" s="45" t="s">
        <v>61</v>
      </c>
      <c r="M9" s="43" t="str">
        <f>VmSpecs[[#This Row],[VM Name]]&amp;".ninp.myhealthrecord.gov.au"</f>
        <v>vmpfbpf2crp01.ninp.myhealthrecord.gov.au</v>
      </c>
      <c r="N9" s="42" t="str">
        <f t="shared" si="0"/>
        <v>nic-001-vmpfbpf2crp01</v>
      </c>
      <c r="O9" s="94" t="s">
        <v>87</v>
      </c>
      <c r="P9" s="46" t="s">
        <v>63</v>
      </c>
      <c r="Q9" s="42" t="str">
        <f>VLOOKUP(VmSpecs[[#This Row],[Original Hostname (CMO)]],'SSOT Data'!A:E,5,FALSE)</f>
        <v>OEL7.9</v>
      </c>
      <c r="R9" s="42"/>
      <c r="S9" s="42" t="str">
        <f>_xlfn.CONCAT("avail-",LEFT(VmSpecs[[#This Row],[VM Name]],LEN(VmSpecs[[#This Row],[VM Name]])-2))</f>
        <v>avail-vmpfbpf2crp</v>
      </c>
      <c r="T9" s="42" t="str">
        <f>_xlfn.CONCAT("asg-",LEFT(VmSpecs[[#This Row],[VM Name]],LEN(VmSpecs[[#This Row],[VM Name]])-2))</f>
        <v>asg-vmpfbpf2crp</v>
      </c>
      <c r="U9" s="42" t="str">
        <f>_xlfn.CONCAT("nsg-",VmSpecs[[#This Row],[Subnet]])</f>
        <v>nsg-sn-pfb-aue-pf2-app</v>
      </c>
      <c r="V9" s="42" t="s">
        <v>64</v>
      </c>
      <c r="W9" s="43" t="str">
        <f>VLOOKUP(VmSpecs[[#This Row],[Original Hostname (CMO)]],'SSOT Data'!A:AX,50,FALSE)</f>
        <v>Standard_D8s_v4</v>
      </c>
      <c r="X9" s="43">
        <v>64</v>
      </c>
      <c r="Y9" s="43" t="s">
        <v>65</v>
      </c>
      <c r="Z9" s="43" t="str">
        <f>"osdisk-"&amp;VmSpecs[[#This Row],[VM Name]]</f>
        <v>osdisk-vmpfbpf2crp01</v>
      </c>
      <c r="AA9" s="47" t="s">
        <v>66</v>
      </c>
      <c r="AB9" s="73">
        <v>8</v>
      </c>
      <c r="AC9" s="74" t="s">
        <v>65</v>
      </c>
      <c r="AD9" s="75" t="str">
        <f>"disk-"&amp;VmSpecs[[#This Row],[VM Name]]&amp;"-001"</f>
        <v>disk-vmpfbpf2crp01-001</v>
      </c>
      <c r="AE9" s="73">
        <v>32</v>
      </c>
      <c r="AF9" s="74" t="s">
        <v>65</v>
      </c>
      <c r="AG9" s="43" t="str">
        <f>"disk-"&amp;VmSpecs[[#This Row],[VM Name]]&amp;"-002"</f>
        <v>disk-vmpfbpf2crp01-002</v>
      </c>
      <c r="AH9" s="59"/>
      <c r="AI9" s="42"/>
      <c r="AJ9" s="42"/>
      <c r="AK9" s="42"/>
      <c r="AL9" s="42" t="str">
        <f>MID(VmSpecs[[#This Row],[VM Name]],3,9)</f>
        <v>pfbpf2crp</v>
      </c>
      <c r="AM9" s="42" t="str" cm="1">
        <f t="array" ref="AM9">_xlfn.TEXTJOIN(CHAR(10), TRUE, IF(NfsExports[FMO Single VM IP]=VmSpecs[[#This Row],[IP]],NfsExports[FMO Export Summary],""))</f>
        <v>/apps/pcehr 30GB</v>
      </c>
      <c r="AN9" s="43" t="str" cm="1">
        <f t="array" ref="AN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9" s="42"/>
      <c r="AP9" s="42" t="str">
        <f>VmSpecs[[#This Row],[Description]]</f>
        <v>OSB CRP Domain N1</v>
      </c>
      <c r="AQ9" s="43"/>
      <c r="AR9" s="43" t="s">
        <v>64</v>
      </c>
      <c r="AS9" s="43" t="s">
        <v>64</v>
      </c>
      <c r="AT9" s="43" t="s">
        <v>64</v>
      </c>
      <c r="AU9" s="43" t="s">
        <v>64</v>
      </c>
      <c r="AV9" s="42" t="s">
        <v>66</v>
      </c>
      <c r="AW9" s="42" t="s">
        <v>67</v>
      </c>
      <c r="AX9" s="42" t="s">
        <v>68</v>
      </c>
      <c r="AY9" s="42" t="s">
        <v>64</v>
      </c>
      <c r="AZ9" s="42" t="s">
        <v>64</v>
      </c>
      <c r="BA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CRP Domain N1"
Application Service: "CRP"
Lifecycle: "PFB"</v>
      </c>
      <c r="BB9" s="78" t="s">
        <v>88</v>
      </c>
      <c r="BC9" s="42" t="str">
        <f>VLOOKUP(VmSpecs[[#This Row],[Original Hostname (CMO)]],'SSOT Data'!A:AJ,36,FALSE)</f>
        <v>OSB CRP Domain N1</v>
      </c>
      <c r="BD9" s="43"/>
    </row>
    <row r="10" spans="1:56" ht="29" x14ac:dyDescent="0.35">
      <c r="A10" s="42" t="s">
        <v>58</v>
      </c>
      <c r="B10" s="42" t="str">
        <f>_xlfn.XLOOKUP(VmSpecs[[#This Row],[Subnet]],NetworkReference[Subnet],NetworkReference[Subscription])</f>
        <v>NINP-PERF2</v>
      </c>
      <c r="C10" s="43" t="str">
        <f>_xlfn.XLOOKUP(VmSpecs[[#This Row],[Subnet]],NetworkReference[Subnet],NetworkReference[Virtual Network Resource Group])</f>
        <v>rg-pf2-network-aue-001</v>
      </c>
      <c r="D10" s="43" t="str">
        <f>_xlfn.XLOOKUP(VmSpecs[[#This Row],[Subnet]],NetworkReference[Subnet],NetworkReference[Virtual Network])</f>
        <v>vnet-pf2-workload-aue-001</v>
      </c>
      <c r="E10" s="132" t="s">
        <v>59</v>
      </c>
      <c r="F10" s="43" t="str">
        <f>_xlfn.XLOOKUP(VmSpecs[[#This Row],[Subnet]],NetworkReference[Subnet],NetworkReference[Virtual Network Peering])</f>
        <v>vnet-ninp-conn-pnp-hub-aue</v>
      </c>
      <c r="G10" s="43" t="str">
        <f>_xlfn.XLOOKUP(VmSpecs[[#This Row],[Subnet]],NetworkReference[Subnet],NetworkReference[Route Table])</f>
        <v>rt-sn-pfb-aue-pf2-app</v>
      </c>
      <c r="H10" s="43" t="str">
        <f>LOWER(VLOOKUP(VmSpecs[[#This Row],[Original Hostname (CMO)]],'SSOT Data'!A:K,10,FALSE))</f>
        <v>crp</v>
      </c>
      <c r="I1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0" s="44" t="s">
        <v>72</v>
      </c>
      <c r="K10" s="43" t="str">
        <f>_xlfn.CONCAT("vm",MID(VmSpecs[[#This Row],[Subnet]],4,3),VLOOKUP(VmSpecs[[#This Row],[Subscription]],NetworkReference[#All],2,FALSE),VmSpecs[[#This Row],[Service]],VmSpecs[[#This Row],[VM iteration (nn)]])</f>
        <v>vmpfbpf2crp02</v>
      </c>
      <c r="L10" s="45" t="s">
        <v>61</v>
      </c>
      <c r="M10" s="43" t="str">
        <f>VmSpecs[[#This Row],[VM Name]]&amp;".ninp.myhealthrecord.gov.au"</f>
        <v>vmpfbpf2crp02.ninp.myhealthrecord.gov.au</v>
      </c>
      <c r="N10" s="42" t="str">
        <f t="shared" si="0"/>
        <v>nic-001-vmpfbpf2crp02</v>
      </c>
      <c r="O10" s="94" t="s">
        <v>89</v>
      </c>
      <c r="P10" s="46" t="s">
        <v>63</v>
      </c>
      <c r="Q10" s="42" t="str">
        <f>VLOOKUP(VmSpecs[[#This Row],[Original Hostname (CMO)]],'SSOT Data'!A:E,5,FALSE)</f>
        <v>OEL7.9</v>
      </c>
      <c r="R10" s="42"/>
      <c r="S10" s="42" t="str">
        <f>_xlfn.CONCAT("avail-",LEFT(VmSpecs[[#This Row],[VM Name]],LEN(VmSpecs[[#This Row],[VM Name]])-2))</f>
        <v>avail-vmpfbpf2crp</v>
      </c>
      <c r="T10" s="42" t="str">
        <f>_xlfn.CONCAT("asg-",LEFT(VmSpecs[[#This Row],[VM Name]],LEN(VmSpecs[[#This Row],[VM Name]])-2))</f>
        <v>asg-vmpfbpf2crp</v>
      </c>
      <c r="U10" s="42" t="str">
        <f>_xlfn.CONCAT("nsg-",VmSpecs[[#This Row],[Subnet]])</f>
        <v>nsg-sn-pfb-aue-pf2-app</v>
      </c>
      <c r="V10" s="42" t="s">
        <v>64</v>
      </c>
      <c r="W10" s="43" t="str">
        <f>VLOOKUP(VmSpecs[[#This Row],[Original Hostname (CMO)]],'SSOT Data'!A:AX,50,FALSE)</f>
        <v>Standard_D8s_v4</v>
      </c>
      <c r="X10" s="43">
        <v>64</v>
      </c>
      <c r="Y10" s="43" t="s">
        <v>65</v>
      </c>
      <c r="Z10" s="43" t="str">
        <f>"osdisk-"&amp;VmSpecs[[#This Row],[VM Name]]</f>
        <v>osdisk-vmpfbpf2crp02</v>
      </c>
      <c r="AA10" s="47" t="s">
        <v>66</v>
      </c>
      <c r="AB10" s="73">
        <v>8</v>
      </c>
      <c r="AC10" s="74" t="s">
        <v>65</v>
      </c>
      <c r="AD10" s="75" t="str">
        <f>"disk-"&amp;VmSpecs[[#This Row],[VM Name]]&amp;"-001"</f>
        <v>disk-vmpfbpf2crp02-001</v>
      </c>
      <c r="AE10" s="73">
        <v>32</v>
      </c>
      <c r="AF10" s="74" t="s">
        <v>65</v>
      </c>
      <c r="AG10" s="43" t="str">
        <f>"disk-"&amp;VmSpecs[[#This Row],[VM Name]]&amp;"-002"</f>
        <v>disk-vmpfbpf2crp02-002</v>
      </c>
      <c r="AH10" s="59"/>
      <c r="AI10" s="42"/>
      <c r="AJ10" s="42"/>
      <c r="AK10" s="42"/>
      <c r="AL10" s="42" t="str">
        <f>MID(VmSpecs[[#This Row],[VM Name]],3,9)</f>
        <v>pfbpf2crp</v>
      </c>
      <c r="AM10" s="42" t="str" cm="1">
        <f t="array" ref="AM10">_xlfn.TEXTJOIN(CHAR(10), TRUE, IF(NfsExports[FMO Single VM IP]=VmSpecs[[#This Row],[IP]],NfsExports[FMO Export Summary],""))</f>
        <v>/apps/pcehr 30GB</v>
      </c>
      <c r="AN10" s="43" t="str" cm="1">
        <f t="array" ref="AN1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0" s="42"/>
      <c r="AP10" s="42" t="str">
        <f>VmSpecs[[#This Row],[Description]]</f>
        <v>OSB CRP Domain N2</v>
      </c>
      <c r="AQ10" s="43"/>
      <c r="AR10" s="43" t="s">
        <v>64</v>
      </c>
      <c r="AS10" s="43" t="s">
        <v>64</v>
      </c>
      <c r="AT10" s="43" t="s">
        <v>64</v>
      </c>
      <c r="AU10" s="43" t="s">
        <v>64</v>
      </c>
      <c r="AV10" s="42" t="s">
        <v>66</v>
      </c>
      <c r="AW10" s="42" t="s">
        <v>67</v>
      </c>
      <c r="AX10" s="42" t="s">
        <v>68</v>
      </c>
      <c r="AY10" s="42" t="s">
        <v>64</v>
      </c>
      <c r="AZ10" s="42" t="s">
        <v>64</v>
      </c>
      <c r="BA1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CRP Domain N2"
Application Service: "CRP"
Lifecycle: "PFB"</v>
      </c>
      <c r="BB10" s="78" t="s">
        <v>90</v>
      </c>
      <c r="BC10" s="42" t="str">
        <f>VLOOKUP(VmSpecs[[#This Row],[Original Hostname (CMO)]],'SSOT Data'!A:AJ,36,FALSE)</f>
        <v>OSB CRP Domain N2</v>
      </c>
      <c r="BD10" s="43"/>
    </row>
    <row r="11" spans="1:56" ht="29" x14ac:dyDescent="0.35">
      <c r="A11" s="42" t="s">
        <v>58</v>
      </c>
      <c r="B11" s="42" t="str">
        <f>_xlfn.XLOOKUP(VmSpecs[[#This Row],[Subnet]],NetworkReference[Subnet],NetworkReference[Subscription])</f>
        <v>NINP-PERF2</v>
      </c>
      <c r="C11" s="43" t="str">
        <f>_xlfn.XLOOKUP(VmSpecs[[#This Row],[Subnet]],NetworkReference[Subnet],NetworkReference[Virtual Network Resource Group])</f>
        <v>rg-pf2-network-aue-001</v>
      </c>
      <c r="D11" s="43" t="str">
        <f>_xlfn.XLOOKUP(VmSpecs[[#This Row],[Subnet]],NetworkReference[Subnet],NetworkReference[Virtual Network])</f>
        <v>vnet-pf2-workload-aue-001</v>
      </c>
      <c r="E11" s="132" t="s">
        <v>59</v>
      </c>
      <c r="F11" s="43" t="str">
        <f>_xlfn.XLOOKUP(VmSpecs[[#This Row],[Subnet]],NetworkReference[Subnet],NetworkReference[Virtual Network Peering])</f>
        <v>vnet-ninp-conn-pnp-hub-aue</v>
      </c>
      <c r="G11" s="43" t="str">
        <f>_xlfn.XLOOKUP(VmSpecs[[#This Row],[Subnet]],NetworkReference[Subnet],NetworkReference[Route Table])</f>
        <v>rt-sn-pfb-aue-pf2-app</v>
      </c>
      <c r="H11" s="43" t="str">
        <f>LOWER(VLOOKUP(VmSpecs[[#This Row],[Original Hostname (CMO)]],'SSOT Data'!A:K,10,FALSE))</f>
        <v>crp</v>
      </c>
      <c r="I1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1" s="44" t="s">
        <v>75</v>
      </c>
      <c r="K11" s="43" t="str">
        <f>_xlfn.CONCAT("vm",MID(VmSpecs[[#This Row],[Subnet]],4,3),VLOOKUP(VmSpecs[[#This Row],[Subscription]],NetworkReference[#All],2,FALSE),VmSpecs[[#This Row],[Service]],VmSpecs[[#This Row],[VM iteration (nn)]])</f>
        <v>vmpfbpf2crp03</v>
      </c>
      <c r="L11" s="45" t="s">
        <v>61</v>
      </c>
      <c r="M11" s="43" t="str">
        <f>VmSpecs[[#This Row],[VM Name]]&amp;".ninp.myhealthrecord.gov.au"</f>
        <v>vmpfbpf2crp03.ninp.myhealthrecord.gov.au</v>
      </c>
      <c r="N11" s="42" t="str">
        <f t="shared" si="0"/>
        <v>nic-001-vmpfbpf2crp03</v>
      </c>
      <c r="O11" s="94" t="s">
        <v>91</v>
      </c>
      <c r="P11" s="46" t="s">
        <v>63</v>
      </c>
      <c r="Q11" s="42" t="str">
        <f>VLOOKUP(VmSpecs[[#This Row],[Original Hostname (CMO)]],'SSOT Data'!A:E,5,FALSE)</f>
        <v>OEL7.9</v>
      </c>
      <c r="R11" s="42"/>
      <c r="S11" s="42" t="str">
        <f>_xlfn.CONCAT("avail-",LEFT(VmSpecs[[#This Row],[VM Name]],LEN(VmSpecs[[#This Row],[VM Name]])-2))</f>
        <v>avail-vmpfbpf2crp</v>
      </c>
      <c r="T11" s="42" t="str">
        <f>_xlfn.CONCAT("asg-",LEFT(VmSpecs[[#This Row],[VM Name]],LEN(VmSpecs[[#This Row],[VM Name]])-2))</f>
        <v>asg-vmpfbpf2crp</v>
      </c>
      <c r="U11" s="42" t="str">
        <f>_xlfn.CONCAT("nsg-",VmSpecs[[#This Row],[Subnet]])</f>
        <v>nsg-sn-pfb-aue-pf2-app</v>
      </c>
      <c r="V11" s="42" t="s">
        <v>64</v>
      </c>
      <c r="W11" s="43" t="str">
        <f>VLOOKUP(VmSpecs[[#This Row],[Original Hostname (CMO)]],'SSOT Data'!A:AX,50,FALSE)</f>
        <v>Standard_D8s_v4</v>
      </c>
      <c r="X11" s="43">
        <v>64</v>
      </c>
      <c r="Y11" s="43" t="s">
        <v>65</v>
      </c>
      <c r="Z11" s="43" t="str">
        <f>"osdisk-"&amp;VmSpecs[[#This Row],[VM Name]]</f>
        <v>osdisk-vmpfbpf2crp03</v>
      </c>
      <c r="AA11" s="47" t="s">
        <v>66</v>
      </c>
      <c r="AB11" s="73">
        <v>8</v>
      </c>
      <c r="AC11" s="74" t="s">
        <v>65</v>
      </c>
      <c r="AD11" s="75" t="str">
        <f>"disk-"&amp;VmSpecs[[#This Row],[VM Name]]&amp;"-001"</f>
        <v>disk-vmpfbpf2crp03-001</v>
      </c>
      <c r="AE11" s="73">
        <v>32</v>
      </c>
      <c r="AF11" s="74" t="s">
        <v>65</v>
      </c>
      <c r="AG11" s="43" t="str">
        <f>"disk-"&amp;VmSpecs[[#This Row],[VM Name]]&amp;"-002"</f>
        <v>disk-vmpfbpf2crp03-002</v>
      </c>
      <c r="AH11" s="59"/>
      <c r="AI11" s="42"/>
      <c r="AJ11" s="42"/>
      <c r="AK11" s="42"/>
      <c r="AL11" s="42" t="str">
        <f>MID(VmSpecs[[#This Row],[VM Name]],3,9)</f>
        <v>pfbpf2crp</v>
      </c>
      <c r="AM11" s="42" t="str" cm="1">
        <f t="array" ref="AM11">_xlfn.TEXTJOIN(CHAR(10), TRUE, IF(NfsExports[FMO Single VM IP]=VmSpecs[[#This Row],[IP]],NfsExports[FMO Export Summary],""))</f>
        <v>/apps/pcehr 30GB</v>
      </c>
      <c r="AN11" s="43" t="str" cm="1">
        <f t="array" ref="AN1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1" s="42"/>
      <c r="AP11" s="42" t="str">
        <f>VmSpecs[[#This Row],[Description]]</f>
        <v>OSB CRP Domain N3</v>
      </c>
      <c r="AQ11" s="43"/>
      <c r="AR11" s="43" t="s">
        <v>64</v>
      </c>
      <c r="AS11" s="43" t="s">
        <v>64</v>
      </c>
      <c r="AT11" s="43" t="s">
        <v>64</v>
      </c>
      <c r="AU11" s="43" t="s">
        <v>64</v>
      </c>
      <c r="AV11" s="42" t="s">
        <v>66</v>
      </c>
      <c r="AW11" s="42" t="s">
        <v>67</v>
      </c>
      <c r="AX11" s="42" t="s">
        <v>68</v>
      </c>
      <c r="AY11" s="42" t="s">
        <v>64</v>
      </c>
      <c r="AZ11" s="42" t="s">
        <v>64</v>
      </c>
      <c r="BA1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CRP Domain N3"
Application Service: "CRP"
Lifecycle: "PFB"</v>
      </c>
      <c r="BB11" s="78" t="s">
        <v>92</v>
      </c>
      <c r="BC11" s="42" t="str">
        <f>VLOOKUP(VmSpecs[[#This Row],[Original Hostname (CMO)]],'SSOT Data'!A:AJ,36,FALSE)</f>
        <v>OSB CRP Domain N3</v>
      </c>
      <c r="BD11" s="43"/>
    </row>
    <row r="12" spans="1:56" ht="29" x14ac:dyDescent="0.35">
      <c r="A12" s="42" t="s">
        <v>58</v>
      </c>
      <c r="B12" s="42" t="str">
        <f>_xlfn.XLOOKUP(VmSpecs[[#This Row],[Subnet]],NetworkReference[Subnet],NetworkReference[Subscription])</f>
        <v>NINP-PERF2</v>
      </c>
      <c r="C12" s="43" t="str">
        <f>_xlfn.XLOOKUP(VmSpecs[[#This Row],[Subnet]],NetworkReference[Subnet],NetworkReference[Virtual Network Resource Group])</f>
        <v>rg-pf2-network-aue-001</v>
      </c>
      <c r="D12" s="43" t="str">
        <f>_xlfn.XLOOKUP(VmSpecs[[#This Row],[Subnet]],NetworkReference[Subnet],NetworkReference[Virtual Network])</f>
        <v>vnet-pf2-workload-aue-001</v>
      </c>
      <c r="E12" s="132" t="s">
        <v>59</v>
      </c>
      <c r="F12" s="43" t="str">
        <f>_xlfn.XLOOKUP(VmSpecs[[#This Row],[Subnet]],NetworkReference[Subnet],NetworkReference[Virtual Network Peering])</f>
        <v>vnet-ninp-conn-pnp-hub-aue</v>
      </c>
      <c r="G12" s="43" t="str">
        <f>_xlfn.XLOOKUP(VmSpecs[[#This Row],[Subnet]],NetworkReference[Subnet],NetworkReference[Route Table])</f>
        <v>rt-sn-pfb-aue-pf2-app</v>
      </c>
      <c r="H12" s="43" t="str">
        <f>LOWER(VLOOKUP(VmSpecs[[#This Row],[Original Hostname (CMO)]],'SSOT Data'!A:K,10,FALSE))</f>
        <v>crp</v>
      </c>
      <c r="I1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2" s="44" t="s">
        <v>78</v>
      </c>
      <c r="K12" s="43" t="str">
        <f>_xlfn.CONCAT("vm",MID(VmSpecs[[#This Row],[Subnet]],4,3),VLOOKUP(VmSpecs[[#This Row],[Subscription]],NetworkReference[#All],2,FALSE),VmSpecs[[#This Row],[Service]],VmSpecs[[#This Row],[VM iteration (nn)]])</f>
        <v>vmpfbpf2crp04</v>
      </c>
      <c r="L12" s="45" t="s">
        <v>61</v>
      </c>
      <c r="M12" s="43" t="str">
        <f>VmSpecs[[#This Row],[VM Name]]&amp;".ninp.myhealthrecord.gov.au"</f>
        <v>vmpfbpf2crp04.ninp.myhealthrecord.gov.au</v>
      </c>
      <c r="N12" s="42" t="str">
        <f t="shared" si="0"/>
        <v>nic-001-vmpfbpf2crp04</v>
      </c>
      <c r="O12" s="94" t="s">
        <v>93</v>
      </c>
      <c r="P12" s="46" t="s">
        <v>63</v>
      </c>
      <c r="Q12" s="42" t="str">
        <f>VLOOKUP(VmSpecs[[#This Row],[Original Hostname (CMO)]],'SSOT Data'!A:E,5,FALSE)</f>
        <v>OEL7.9</v>
      </c>
      <c r="R12" s="42"/>
      <c r="S12" s="42" t="str">
        <f>_xlfn.CONCAT("avail-",LEFT(VmSpecs[[#This Row],[VM Name]],LEN(VmSpecs[[#This Row],[VM Name]])-2))</f>
        <v>avail-vmpfbpf2crp</v>
      </c>
      <c r="T12" s="42" t="str">
        <f>_xlfn.CONCAT("asg-",LEFT(VmSpecs[[#This Row],[VM Name]],LEN(VmSpecs[[#This Row],[VM Name]])-2))</f>
        <v>asg-vmpfbpf2crp</v>
      </c>
      <c r="U12" s="42" t="str">
        <f>_xlfn.CONCAT("nsg-",VmSpecs[[#This Row],[Subnet]])</f>
        <v>nsg-sn-pfb-aue-pf2-app</v>
      </c>
      <c r="V12" s="42" t="s">
        <v>64</v>
      </c>
      <c r="W12" s="43" t="str">
        <f>VLOOKUP(VmSpecs[[#This Row],[Original Hostname (CMO)]],'SSOT Data'!A:AX,50,FALSE)</f>
        <v>Standard_D8s_v4</v>
      </c>
      <c r="X12" s="43">
        <v>64</v>
      </c>
      <c r="Y12" s="43" t="s">
        <v>65</v>
      </c>
      <c r="Z12" s="43" t="str">
        <f>"osdisk-"&amp;VmSpecs[[#This Row],[VM Name]]</f>
        <v>osdisk-vmpfbpf2crp04</v>
      </c>
      <c r="AA12" s="47" t="s">
        <v>66</v>
      </c>
      <c r="AB12" s="73">
        <v>8</v>
      </c>
      <c r="AC12" s="74" t="s">
        <v>65</v>
      </c>
      <c r="AD12" s="75" t="str">
        <f>"disk-"&amp;VmSpecs[[#This Row],[VM Name]]&amp;"-001"</f>
        <v>disk-vmpfbpf2crp04-001</v>
      </c>
      <c r="AE12" s="73">
        <v>32</v>
      </c>
      <c r="AF12" s="74" t="s">
        <v>65</v>
      </c>
      <c r="AG12" s="43" t="str">
        <f>"disk-"&amp;VmSpecs[[#This Row],[VM Name]]&amp;"-002"</f>
        <v>disk-vmpfbpf2crp04-002</v>
      </c>
      <c r="AH12" s="59"/>
      <c r="AI12" s="42"/>
      <c r="AJ12" s="42"/>
      <c r="AK12" s="42"/>
      <c r="AL12" s="42" t="str">
        <f>MID(VmSpecs[[#This Row],[VM Name]],3,9)</f>
        <v>pfbpf2crp</v>
      </c>
      <c r="AM12" s="42" t="str" cm="1">
        <f t="array" ref="AM12">_xlfn.TEXTJOIN(CHAR(10), TRUE, IF(NfsExports[FMO Single VM IP]=VmSpecs[[#This Row],[IP]],NfsExports[FMO Export Summary],""))</f>
        <v>/apps/pcehr 30GB</v>
      </c>
      <c r="AN12" s="43" t="str" cm="1">
        <f t="array" ref="AN1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2" s="42"/>
      <c r="AP12" s="42" t="str">
        <f>VmSpecs[[#This Row],[Description]]</f>
        <v>OSB CRP Domain N4</v>
      </c>
      <c r="AQ12" s="43"/>
      <c r="AR12" s="43" t="s">
        <v>64</v>
      </c>
      <c r="AS12" s="43" t="s">
        <v>64</v>
      </c>
      <c r="AT12" s="43" t="s">
        <v>64</v>
      </c>
      <c r="AU12" s="43" t="s">
        <v>64</v>
      </c>
      <c r="AV12" s="42" t="s">
        <v>66</v>
      </c>
      <c r="AW12" s="42" t="s">
        <v>67</v>
      </c>
      <c r="AX12" s="42" t="s">
        <v>68</v>
      </c>
      <c r="AY12" s="42" t="s">
        <v>64</v>
      </c>
      <c r="AZ12" s="42" t="s">
        <v>64</v>
      </c>
      <c r="BA1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CRP Domain N4"
Application Service: "CRP"
Lifecycle: "PFB"</v>
      </c>
      <c r="BB12" s="78" t="s">
        <v>94</v>
      </c>
      <c r="BC12" s="42" t="str">
        <f>VLOOKUP(VmSpecs[[#This Row],[Original Hostname (CMO)]],'SSOT Data'!A:AJ,36,FALSE)</f>
        <v>OSB CRP Domain N4</v>
      </c>
      <c r="BD12" s="43"/>
    </row>
    <row r="13" spans="1:56" ht="29" x14ac:dyDescent="0.35">
      <c r="A13" s="42" t="s">
        <v>58</v>
      </c>
      <c r="B13" s="42" t="str">
        <f>_xlfn.XLOOKUP(VmSpecs[[#This Row],[Subnet]],NetworkReference[Subnet],NetworkReference[Subscription])</f>
        <v>NINP-PERF2</v>
      </c>
      <c r="C13" s="43" t="str">
        <f>_xlfn.XLOOKUP(VmSpecs[[#This Row],[Subnet]],NetworkReference[Subnet],NetworkReference[Virtual Network Resource Group])</f>
        <v>rg-pf2-network-aue-001</v>
      </c>
      <c r="D13" s="43" t="str">
        <f>_xlfn.XLOOKUP(VmSpecs[[#This Row],[Subnet]],NetworkReference[Subnet],NetworkReference[Virtual Network])</f>
        <v>vnet-pf2-workload-aue-001</v>
      </c>
      <c r="E13" s="132" t="s">
        <v>59</v>
      </c>
      <c r="F13" s="43" t="str">
        <f>_xlfn.XLOOKUP(VmSpecs[[#This Row],[Subnet]],NetworkReference[Subnet],NetworkReference[Virtual Network Peering])</f>
        <v>vnet-ninp-conn-pnp-hub-aue</v>
      </c>
      <c r="G13" s="43" t="str">
        <f>_xlfn.XLOOKUP(VmSpecs[[#This Row],[Subnet]],NetworkReference[Subnet],NetworkReference[Route Table])</f>
        <v>rt-sn-pfb-aue-pf2-app</v>
      </c>
      <c r="H13" s="43" t="str">
        <f>LOWER(VLOOKUP(VmSpecs[[#This Row],[Original Hostname (CMO)]],'SSOT Data'!A:K,10,FALSE))</f>
        <v>crp</v>
      </c>
      <c r="I1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3" s="44" t="s">
        <v>81</v>
      </c>
      <c r="K13" s="43" t="str">
        <f>_xlfn.CONCAT("vm",MID(VmSpecs[[#This Row],[Subnet]],4,3),VLOOKUP(VmSpecs[[#This Row],[Subscription]],NetworkReference[#All],2,FALSE),VmSpecs[[#This Row],[Service]],VmSpecs[[#This Row],[VM iteration (nn)]])</f>
        <v>vmpfbpf2crp05</v>
      </c>
      <c r="L13" s="45" t="s">
        <v>61</v>
      </c>
      <c r="M13" s="43" t="str">
        <f>VmSpecs[[#This Row],[VM Name]]&amp;".ninp.myhealthrecord.gov.au"</f>
        <v>vmpfbpf2crp05.ninp.myhealthrecord.gov.au</v>
      </c>
      <c r="N13" s="42" t="str">
        <f t="shared" si="0"/>
        <v>nic-001-vmpfbpf2crp05</v>
      </c>
      <c r="O13" s="94" t="s">
        <v>95</v>
      </c>
      <c r="P13" s="46" t="s">
        <v>63</v>
      </c>
      <c r="Q13" s="42" t="str">
        <f>VLOOKUP(VmSpecs[[#This Row],[Original Hostname (CMO)]],'SSOT Data'!A:E,5,FALSE)</f>
        <v>OEL7.9</v>
      </c>
      <c r="R13" s="42"/>
      <c r="S13" s="42" t="str">
        <f>_xlfn.CONCAT("avail-",LEFT(VmSpecs[[#This Row],[VM Name]],LEN(VmSpecs[[#This Row],[VM Name]])-2))</f>
        <v>avail-vmpfbpf2crp</v>
      </c>
      <c r="T13" s="42" t="str">
        <f>_xlfn.CONCAT("asg-",LEFT(VmSpecs[[#This Row],[VM Name]],LEN(VmSpecs[[#This Row],[VM Name]])-2))</f>
        <v>asg-vmpfbpf2crp</v>
      </c>
      <c r="U13" s="42" t="str">
        <f>_xlfn.CONCAT("nsg-",VmSpecs[[#This Row],[Subnet]])</f>
        <v>nsg-sn-pfb-aue-pf2-app</v>
      </c>
      <c r="V13" s="42" t="s">
        <v>64</v>
      </c>
      <c r="W13" s="43" t="str">
        <f>VLOOKUP(VmSpecs[[#This Row],[Original Hostname (CMO)]],'SSOT Data'!A:AX,50,FALSE)</f>
        <v>Standard_D8s_v4</v>
      </c>
      <c r="X13" s="43">
        <v>64</v>
      </c>
      <c r="Y13" s="43" t="s">
        <v>65</v>
      </c>
      <c r="Z13" s="43" t="str">
        <f>"osdisk-"&amp;VmSpecs[[#This Row],[VM Name]]</f>
        <v>osdisk-vmpfbpf2crp05</v>
      </c>
      <c r="AA13" s="47" t="s">
        <v>66</v>
      </c>
      <c r="AB13" s="73">
        <v>8</v>
      </c>
      <c r="AC13" s="74" t="s">
        <v>65</v>
      </c>
      <c r="AD13" s="75" t="str">
        <f>"disk-"&amp;VmSpecs[[#This Row],[VM Name]]&amp;"-001"</f>
        <v>disk-vmpfbpf2crp05-001</v>
      </c>
      <c r="AE13" s="73">
        <v>32</v>
      </c>
      <c r="AF13" s="74" t="s">
        <v>65</v>
      </c>
      <c r="AG13" s="43" t="str">
        <f>"disk-"&amp;VmSpecs[[#This Row],[VM Name]]&amp;"-002"</f>
        <v>disk-vmpfbpf2crp05-002</v>
      </c>
      <c r="AH13" s="59"/>
      <c r="AI13" s="42"/>
      <c r="AJ13" s="42"/>
      <c r="AK13" s="42"/>
      <c r="AL13" s="42" t="str">
        <f>MID(VmSpecs[[#This Row],[VM Name]],3,9)</f>
        <v>pfbpf2crp</v>
      </c>
      <c r="AM13" s="42" t="str" cm="1">
        <f t="array" ref="AM13">_xlfn.TEXTJOIN(CHAR(10), TRUE, IF(NfsExports[FMO Single VM IP]=VmSpecs[[#This Row],[IP]],NfsExports[FMO Export Summary],""))</f>
        <v>/apps/pcehr 30GB</v>
      </c>
      <c r="AN13" s="43" t="str" cm="1">
        <f t="array" ref="AN1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3" s="42"/>
      <c r="AP13" s="42" t="str">
        <f>VmSpecs[[#This Row],[Description]]</f>
        <v>OSB CRP Domain N5</v>
      </c>
      <c r="AQ13" s="43"/>
      <c r="AR13" s="43" t="s">
        <v>64</v>
      </c>
      <c r="AS13" s="43" t="s">
        <v>64</v>
      </c>
      <c r="AT13" s="43" t="s">
        <v>64</v>
      </c>
      <c r="AU13" s="43" t="s">
        <v>64</v>
      </c>
      <c r="AV13" s="42" t="s">
        <v>66</v>
      </c>
      <c r="AW13" s="42" t="s">
        <v>67</v>
      </c>
      <c r="AX13" s="42" t="s">
        <v>68</v>
      </c>
      <c r="AY13" s="42" t="s">
        <v>64</v>
      </c>
      <c r="AZ13" s="42" t="s">
        <v>64</v>
      </c>
      <c r="BA1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CRP Domain N5"
Application Service: "CRP"
Lifecycle: "PFB"</v>
      </c>
      <c r="BB13" s="78" t="s">
        <v>96</v>
      </c>
      <c r="BC13" s="42" t="str">
        <f>VLOOKUP(VmSpecs[[#This Row],[Original Hostname (CMO)]],'SSOT Data'!A:AJ,36,FALSE)</f>
        <v>OSB CRP Domain N5</v>
      </c>
      <c r="BD13" s="43"/>
    </row>
    <row r="14" spans="1:56" ht="29" x14ac:dyDescent="0.35">
      <c r="A14" s="42" t="s">
        <v>58</v>
      </c>
      <c r="B14" s="42" t="str">
        <f>_xlfn.XLOOKUP(VmSpecs[[#This Row],[Subnet]],NetworkReference[Subnet],NetworkReference[Subscription])</f>
        <v>NINP-PERF2</v>
      </c>
      <c r="C14" s="43" t="str">
        <f>_xlfn.XLOOKUP(VmSpecs[[#This Row],[Subnet]],NetworkReference[Subnet],NetworkReference[Virtual Network Resource Group])</f>
        <v>rg-pf2-network-aue-001</v>
      </c>
      <c r="D14" s="43" t="str">
        <f>_xlfn.XLOOKUP(VmSpecs[[#This Row],[Subnet]],NetworkReference[Subnet],NetworkReference[Virtual Network])</f>
        <v>vnet-pf2-workload-aue-001</v>
      </c>
      <c r="E14" s="132" t="s">
        <v>59</v>
      </c>
      <c r="F14" s="43" t="str">
        <f>_xlfn.XLOOKUP(VmSpecs[[#This Row],[Subnet]],NetworkReference[Subnet],NetworkReference[Virtual Network Peering])</f>
        <v>vnet-ninp-conn-pnp-hub-aue</v>
      </c>
      <c r="G14" s="43" t="str">
        <f>_xlfn.XLOOKUP(VmSpecs[[#This Row],[Subnet]],NetworkReference[Subnet],NetworkReference[Route Table])</f>
        <v>rt-sn-pfb-aue-pf2-app</v>
      </c>
      <c r="H14" s="43" t="str">
        <f>LOWER(VLOOKUP(VmSpecs[[#This Row],[Original Hostname (CMO)]],'SSOT Data'!A:K,10,FALSE))</f>
        <v>crp</v>
      </c>
      <c r="I1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4" s="44" t="s">
        <v>84</v>
      </c>
      <c r="K14" s="43" t="str">
        <f>_xlfn.CONCAT("vm",MID(VmSpecs[[#This Row],[Subnet]],4,3),VLOOKUP(VmSpecs[[#This Row],[Subscription]],NetworkReference[#All],2,FALSE),VmSpecs[[#This Row],[Service]],VmSpecs[[#This Row],[VM iteration (nn)]])</f>
        <v>vmpfbpf2crp06</v>
      </c>
      <c r="L14" s="45" t="s">
        <v>61</v>
      </c>
      <c r="M14" s="43" t="str">
        <f>VmSpecs[[#This Row],[VM Name]]&amp;".ninp.myhealthrecord.gov.au"</f>
        <v>vmpfbpf2crp06.ninp.myhealthrecord.gov.au</v>
      </c>
      <c r="N14" s="42" t="str">
        <f t="shared" si="0"/>
        <v>nic-001-vmpfbpf2crp06</v>
      </c>
      <c r="O14" s="94" t="s">
        <v>97</v>
      </c>
      <c r="P14" s="46" t="s">
        <v>63</v>
      </c>
      <c r="Q14" s="42" t="str">
        <f>VLOOKUP(VmSpecs[[#This Row],[Original Hostname (CMO)]],'SSOT Data'!A:E,5,FALSE)</f>
        <v>OEL7.9</v>
      </c>
      <c r="R14" s="42"/>
      <c r="S14" s="42" t="str">
        <f>_xlfn.CONCAT("avail-",LEFT(VmSpecs[[#This Row],[VM Name]],LEN(VmSpecs[[#This Row],[VM Name]])-2))</f>
        <v>avail-vmpfbpf2crp</v>
      </c>
      <c r="T14" s="42" t="str">
        <f>_xlfn.CONCAT("asg-",LEFT(VmSpecs[[#This Row],[VM Name]],LEN(VmSpecs[[#This Row],[VM Name]])-2))</f>
        <v>asg-vmpfbpf2crp</v>
      </c>
      <c r="U14" s="42" t="str">
        <f>_xlfn.CONCAT("nsg-",VmSpecs[[#This Row],[Subnet]])</f>
        <v>nsg-sn-pfb-aue-pf2-app</v>
      </c>
      <c r="V14" s="42" t="s">
        <v>64</v>
      </c>
      <c r="W14" s="43" t="str">
        <f>VLOOKUP(VmSpecs[[#This Row],[Original Hostname (CMO)]],'SSOT Data'!A:AX,50,FALSE)</f>
        <v>Standard_D8s_v4</v>
      </c>
      <c r="X14" s="43">
        <v>64</v>
      </c>
      <c r="Y14" s="43" t="s">
        <v>65</v>
      </c>
      <c r="Z14" s="43" t="str">
        <f>"osdisk-"&amp;VmSpecs[[#This Row],[VM Name]]</f>
        <v>osdisk-vmpfbpf2crp06</v>
      </c>
      <c r="AA14" s="47" t="s">
        <v>66</v>
      </c>
      <c r="AB14" s="73">
        <v>8</v>
      </c>
      <c r="AC14" s="74" t="s">
        <v>65</v>
      </c>
      <c r="AD14" s="75" t="str">
        <f>"disk-"&amp;VmSpecs[[#This Row],[VM Name]]&amp;"-001"</f>
        <v>disk-vmpfbpf2crp06-001</v>
      </c>
      <c r="AE14" s="73">
        <v>32</v>
      </c>
      <c r="AF14" s="74" t="s">
        <v>65</v>
      </c>
      <c r="AG14" s="43" t="str">
        <f>"disk-"&amp;VmSpecs[[#This Row],[VM Name]]&amp;"-002"</f>
        <v>disk-vmpfbpf2crp06-002</v>
      </c>
      <c r="AH14" s="59"/>
      <c r="AI14" s="42"/>
      <c r="AJ14" s="42"/>
      <c r="AK14" s="42"/>
      <c r="AL14" s="42" t="str">
        <f>MID(VmSpecs[[#This Row],[VM Name]],3,9)</f>
        <v>pfbpf2crp</v>
      </c>
      <c r="AM14" s="42" t="str" cm="1">
        <f t="array" ref="AM14">_xlfn.TEXTJOIN(CHAR(10), TRUE, IF(NfsExports[FMO Single VM IP]=VmSpecs[[#This Row],[IP]],NfsExports[FMO Export Summary],""))</f>
        <v>/apps/pcehr 30GB</v>
      </c>
      <c r="AN14" s="43" t="str" cm="1">
        <f t="array" ref="AN1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4" s="42"/>
      <c r="AP14" s="42" t="str">
        <f>VmSpecs[[#This Row],[Description]]</f>
        <v>OSB CRP Domain N6</v>
      </c>
      <c r="AQ14" s="43"/>
      <c r="AR14" s="43" t="s">
        <v>64</v>
      </c>
      <c r="AS14" s="43" t="s">
        <v>64</v>
      </c>
      <c r="AT14" s="43" t="s">
        <v>64</v>
      </c>
      <c r="AU14" s="43" t="s">
        <v>64</v>
      </c>
      <c r="AV14" s="42" t="s">
        <v>66</v>
      </c>
      <c r="AW14" s="42" t="s">
        <v>67</v>
      </c>
      <c r="AX14" s="42" t="s">
        <v>68</v>
      </c>
      <c r="AY14" s="42" t="s">
        <v>64</v>
      </c>
      <c r="AZ14" s="42" t="s">
        <v>64</v>
      </c>
      <c r="BA1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CRP Domain N6"
Application Service: "CRP"
Lifecycle: "PFB"</v>
      </c>
      <c r="BB14" s="78" t="s">
        <v>98</v>
      </c>
      <c r="BC14" s="42" t="str">
        <f>VLOOKUP(VmSpecs[[#This Row],[Original Hostname (CMO)]],'SSOT Data'!A:AJ,36,FALSE)</f>
        <v>OSB CRP Domain N6</v>
      </c>
      <c r="BD14" s="43"/>
    </row>
    <row r="15" spans="1:56" ht="29" x14ac:dyDescent="0.35">
      <c r="A15" s="42" t="s">
        <v>58</v>
      </c>
      <c r="B15" s="42" t="str">
        <f>_xlfn.XLOOKUP(VmSpecs[[#This Row],[Subnet]],NetworkReference[Subnet],NetworkReference[Subscription])</f>
        <v>NINP-PERF2</v>
      </c>
      <c r="C15" s="43" t="str">
        <f>_xlfn.XLOOKUP(VmSpecs[[#This Row],[Subnet]],NetworkReference[Subnet],NetworkReference[Virtual Network Resource Group])</f>
        <v>rg-pf2-network-aue-001</v>
      </c>
      <c r="D15" s="43" t="str">
        <f>_xlfn.XLOOKUP(VmSpecs[[#This Row],[Subnet]],NetworkReference[Subnet],NetworkReference[Virtual Network])</f>
        <v>vnet-pf2-workload-aue-001</v>
      </c>
      <c r="E15" s="132" t="s">
        <v>59</v>
      </c>
      <c r="F15" s="43" t="str">
        <f>_xlfn.XLOOKUP(VmSpecs[[#This Row],[Subnet]],NetworkReference[Subnet],NetworkReference[Virtual Network Peering])</f>
        <v>vnet-ninp-conn-pnp-hub-aue</v>
      </c>
      <c r="G15" s="43" t="str">
        <f>_xlfn.XLOOKUP(VmSpecs[[#This Row],[Subnet]],NetworkReference[Subnet],NetworkReference[Route Table])</f>
        <v>rt-sn-pfb-aue-pf2-app</v>
      </c>
      <c r="H15" s="43" t="str">
        <f>LOWER(VLOOKUP(VmSpecs[[#This Row],[Original Hostname (CMO)]],'SSOT Data'!A:K,10,FALSE))</f>
        <v>crp</v>
      </c>
      <c r="I1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5" s="44" t="s">
        <v>99</v>
      </c>
      <c r="K15" s="43" t="str">
        <f>_xlfn.CONCAT("vm",MID(VmSpecs[[#This Row],[Subnet]],4,3),VLOOKUP(VmSpecs[[#This Row],[Subscription]],NetworkReference[#All],2,FALSE),VmSpecs[[#This Row],[Service]],VmSpecs[[#This Row],[VM iteration (nn)]])</f>
        <v>vmpfbpf2crp07</v>
      </c>
      <c r="L15" s="45" t="s">
        <v>61</v>
      </c>
      <c r="M15" s="43" t="str">
        <f>VmSpecs[[#This Row],[VM Name]]&amp;".ninp.myhealthrecord.gov.au"</f>
        <v>vmpfbpf2crp07.ninp.myhealthrecord.gov.au</v>
      </c>
      <c r="N15" s="42" t="str">
        <f t="shared" si="0"/>
        <v>nic-001-vmpfbpf2crp07</v>
      </c>
      <c r="O15" s="94" t="s">
        <v>100</v>
      </c>
      <c r="P15" s="46" t="s">
        <v>63</v>
      </c>
      <c r="Q15" s="42" t="str">
        <f>VLOOKUP(VmSpecs[[#This Row],[Original Hostname (CMO)]],'SSOT Data'!A:E,5,FALSE)</f>
        <v>OEL7.9</v>
      </c>
      <c r="R15" s="42"/>
      <c r="S15" s="42" t="str">
        <f>_xlfn.CONCAT("avail-",LEFT(VmSpecs[[#This Row],[VM Name]],LEN(VmSpecs[[#This Row],[VM Name]])-2))</f>
        <v>avail-vmpfbpf2crp</v>
      </c>
      <c r="T15" s="42" t="str">
        <f>_xlfn.CONCAT("asg-",LEFT(VmSpecs[[#This Row],[VM Name]],LEN(VmSpecs[[#This Row],[VM Name]])-2))</f>
        <v>asg-vmpfbpf2crp</v>
      </c>
      <c r="U15" s="42" t="str">
        <f>_xlfn.CONCAT("nsg-",VmSpecs[[#This Row],[Subnet]])</f>
        <v>nsg-sn-pfb-aue-pf2-app</v>
      </c>
      <c r="V15" s="42" t="s">
        <v>64</v>
      </c>
      <c r="W15" s="43" t="str">
        <f>VLOOKUP(VmSpecs[[#This Row],[Original Hostname (CMO)]],'SSOT Data'!A:AX,50,FALSE)</f>
        <v>Standard_D8s_v4</v>
      </c>
      <c r="X15" s="43">
        <v>64</v>
      </c>
      <c r="Y15" s="43" t="s">
        <v>65</v>
      </c>
      <c r="Z15" s="43" t="str">
        <f>"osdisk-"&amp;VmSpecs[[#This Row],[VM Name]]</f>
        <v>osdisk-vmpfbpf2crp07</v>
      </c>
      <c r="AA15" s="47" t="s">
        <v>66</v>
      </c>
      <c r="AB15" s="73">
        <v>8</v>
      </c>
      <c r="AC15" s="74" t="s">
        <v>65</v>
      </c>
      <c r="AD15" s="75" t="str">
        <f>"disk-"&amp;VmSpecs[[#This Row],[VM Name]]&amp;"-001"</f>
        <v>disk-vmpfbpf2crp07-001</v>
      </c>
      <c r="AE15" s="73">
        <v>32</v>
      </c>
      <c r="AF15" s="74" t="s">
        <v>65</v>
      </c>
      <c r="AG15" s="43" t="str">
        <f>"disk-"&amp;VmSpecs[[#This Row],[VM Name]]&amp;"-002"</f>
        <v>disk-vmpfbpf2crp07-002</v>
      </c>
      <c r="AH15" s="59"/>
      <c r="AI15" s="42"/>
      <c r="AJ15" s="42"/>
      <c r="AK15" s="42"/>
      <c r="AL15" s="42" t="str">
        <f>MID(VmSpecs[[#This Row],[VM Name]],3,9)</f>
        <v>pfbpf2crp</v>
      </c>
      <c r="AM15" s="42" t="str" cm="1">
        <f t="array" ref="AM15">_xlfn.TEXTJOIN(CHAR(10), TRUE, IF(NfsExports[FMO Single VM IP]=VmSpecs[[#This Row],[IP]],NfsExports[FMO Export Summary],""))</f>
        <v>/apps/pcehr 30GB</v>
      </c>
      <c r="AN15" s="43" t="str" cm="1">
        <f t="array" ref="AN1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5" s="42"/>
      <c r="AP15" s="42" t="str">
        <f>VmSpecs[[#This Row],[Description]]</f>
        <v>OSB CRP Domain N7</v>
      </c>
      <c r="AQ15" s="43"/>
      <c r="AR15" s="43" t="s">
        <v>64</v>
      </c>
      <c r="AS15" s="43" t="s">
        <v>64</v>
      </c>
      <c r="AT15" s="43" t="s">
        <v>64</v>
      </c>
      <c r="AU15" s="43" t="s">
        <v>64</v>
      </c>
      <c r="AV15" s="42" t="s">
        <v>66</v>
      </c>
      <c r="AW15" s="42" t="s">
        <v>67</v>
      </c>
      <c r="AX15" s="42" t="s">
        <v>68</v>
      </c>
      <c r="AY15" s="42" t="s">
        <v>64</v>
      </c>
      <c r="AZ15" s="42" t="s">
        <v>64</v>
      </c>
      <c r="BA1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CRP Domain N7"
Application Service: "CRP"
Lifecycle: "PFB"</v>
      </c>
      <c r="BB15" s="78" t="s">
        <v>101</v>
      </c>
      <c r="BC15" s="42" t="str">
        <f>VLOOKUP(VmSpecs[[#This Row],[Original Hostname (CMO)]],'SSOT Data'!A:AJ,36,FALSE)</f>
        <v>OSB CRP Domain N7</v>
      </c>
      <c r="BD15" s="43"/>
    </row>
    <row r="16" spans="1:56" ht="29" x14ac:dyDescent="0.35">
      <c r="A16" s="42" t="s">
        <v>58</v>
      </c>
      <c r="B16" s="42" t="str">
        <f>_xlfn.XLOOKUP(VmSpecs[[#This Row],[Subnet]],NetworkReference[Subnet],NetworkReference[Subscription])</f>
        <v>NINP-PERF2</v>
      </c>
      <c r="C16" s="43" t="str">
        <f>_xlfn.XLOOKUP(VmSpecs[[#This Row],[Subnet]],NetworkReference[Subnet],NetworkReference[Virtual Network Resource Group])</f>
        <v>rg-pf2-network-aue-001</v>
      </c>
      <c r="D16" s="43" t="str">
        <f>_xlfn.XLOOKUP(VmSpecs[[#This Row],[Subnet]],NetworkReference[Subnet],NetworkReference[Virtual Network])</f>
        <v>vnet-pf2-workload-aue-001</v>
      </c>
      <c r="E16" s="132" t="s">
        <v>59</v>
      </c>
      <c r="F16" s="43" t="str">
        <f>_xlfn.XLOOKUP(VmSpecs[[#This Row],[Subnet]],NetworkReference[Subnet],NetworkReference[Virtual Network Peering])</f>
        <v>vnet-ninp-conn-pnp-hub-aue</v>
      </c>
      <c r="G16" s="43" t="str">
        <f>_xlfn.XLOOKUP(VmSpecs[[#This Row],[Subnet]],NetworkReference[Subnet],NetworkReference[Route Table])</f>
        <v>rt-sn-pfb-aue-pf2-app</v>
      </c>
      <c r="H16" s="43" t="str">
        <f>LOWER(VLOOKUP(VmSpecs[[#This Row],[Original Hostname (CMO)]],'SSOT Data'!A:K,10,FALSE))</f>
        <v>crp</v>
      </c>
      <c r="I1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6" s="44" t="s">
        <v>102</v>
      </c>
      <c r="K16" s="43" t="str">
        <f>_xlfn.CONCAT("vm",MID(VmSpecs[[#This Row],[Subnet]],4,3),VLOOKUP(VmSpecs[[#This Row],[Subscription]],NetworkReference[#All],2,FALSE),VmSpecs[[#This Row],[Service]],VmSpecs[[#This Row],[VM iteration (nn)]])</f>
        <v>vmpfbpf2crp08</v>
      </c>
      <c r="L16" s="45" t="s">
        <v>61</v>
      </c>
      <c r="M16" s="43" t="str">
        <f>VmSpecs[[#This Row],[VM Name]]&amp;".ninp.myhealthrecord.gov.au"</f>
        <v>vmpfbpf2crp08.ninp.myhealthrecord.gov.au</v>
      </c>
      <c r="N16" s="42" t="str">
        <f t="shared" si="0"/>
        <v>nic-001-vmpfbpf2crp08</v>
      </c>
      <c r="O16" s="94" t="s">
        <v>103</v>
      </c>
      <c r="P16" s="46" t="s">
        <v>63</v>
      </c>
      <c r="Q16" s="42" t="str">
        <f>VLOOKUP(VmSpecs[[#This Row],[Original Hostname (CMO)]],'SSOT Data'!A:E,5,FALSE)</f>
        <v>OEL7.9</v>
      </c>
      <c r="R16" s="42"/>
      <c r="S16" s="42" t="str">
        <f>_xlfn.CONCAT("avail-",LEFT(VmSpecs[[#This Row],[VM Name]],LEN(VmSpecs[[#This Row],[VM Name]])-2))</f>
        <v>avail-vmpfbpf2crp</v>
      </c>
      <c r="T16" s="42" t="str">
        <f>_xlfn.CONCAT("asg-",LEFT(VmSpecs[[#This Row],[VM Name]],LEN(VmSpecs[[#This Row],[VM Name]])-2))</f>
        <v>asg-vmpfbpf2crp</v>
      </c>
      <c r="U16" s="42" t="str">
        <f>_xlfn.CONCAT("nsg-",VmSpecs[[#This Row],[Subnet]])</f>
        <v>nsg-sn-pfb-aue-pf2-app</v>
      </c>
      <c r="V16" s="42" t="s">
        <v>64</v>
      </c>
      <c r="W16" s="43" t="str">
        <f>VLOOKUP(VmSpecs[[#This Row],[Original Hostname (CMO)]],'SSOT Data'!A:AX,50,FALSE)</f>
        <v>Standard_D8s_v4</v>
      </c>
      <c r="X16" s="43">
        <v>64</v>
      </c>
      <c r="Y16" s="43" t="s">
        <v>65</v>
      </c>
      <c r="Z16" s="43" t="str">
        <f>"osdisk-"&amp;VmSpecs[[#This Row],[VM Name]]</f>
        <v>osdisk-vmpfbpf2crp08</v>
      </c>
      <c r="AA16" s="47" t="s">
        <v>66</v>
      </c>
      <c r="AB16" s="73">
        <v>8</v>
      </c>
      <c r="AC16" s="74" t="s">
        <v>65</v>
      </c>
      <c r="AD16" s="75" t="str">
        <f>"disk-"&amp;VmSpecs[[#This Row],[VM Name]]&amp;"-001"</f>
        <v>disk-vmpfbpf2crp08-001</v>
      </c>
      <c r="AE16" s="73">
        <v>32</v>
      </c>
      <c r="AF16" s="74" t="s">
        <v>65</v>
      </c>
      <c r="AG16" s="43" t="str">
        <f>"disk-"&amp;VmSpecs[[#This Row],[VM Name]]&amp;"-002"</f>
        <v>disk-vmpfbpf2crp08-002</v>
      </c>
      <c r="AH16" s="59"/>
      <c r="AI16" s="42"/>
      <c r="AJ16" s="42"/>
      <c r="AK16" s="42"/>
      <c r="AL16" s="42" t="str">
        <f>MID(VmSpecs[[#This Row],[VM Name]],3,9)</f>
        <v>pfbpf2crp</v>
      </c>
      <c r="AM16" s="42" t="str" cm="1">
        <f t="array" ref="AM16">_xlfn.TEXTJOIN(CHAR(10), TRUE, IF(NfsExports[FMO Single VM IP]=VmSpecs[[#This Row],[IP]],NfsExports[FMO Export Summary],""))</f>
        <v>/apps/pcehr 30GB</v>
      </c>
      <c r="AN16" s="43" t="str" cm="1">
        <f t="array" ref="AN1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6" s="42"/>
      <c r="AP16" s="42" t="str">
        <f>VmSpecs[[#This Row],[Description]]</f>
        <v>OSB CRP Domain N8</v>
      </c>
      <c r="AQ16" s="43"/>
      <c r="AR16" s="43" t="s">
        <v>64</v>
      </c>
      <c r="AS16" s="43" t="s">
        <v>64</v>
      </c>
      <c r="AT16" s="43" t="s">
        <v>64</v>
      </c>
      <c r="AU16" s="43" t="s">
        <v>64</v>
      </c>
      <c r="AV16" s="42" t="s">
        <v>66</v>
      </c>
      <c r="AW16" s="42" t="s">
        <v>67</v>
      </c>
      <c r="AX16" s="42" t="s">
        <v>68</v>
      </c>
      <c r="AY16" s="42" t="s">
        <v>64</v>
      </c>
      <c r="AZ16" s="42" t="s">
        <v>64</v>
      </c>
      <c r="BA1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CRP Domain N8"
Application Service: "CRP"
Lifecycle: "PFB"</v>
      </c>
      <c r="BB16" s="78" t="s">
        <v>104</v>
      </c>
      <c r="BC16" s="42" t="str">
        <f>VLOOKUP(VmSpecs[[#This Row],[Original Hostname (CMO)]],'SSOT Data'!A:AJ,36,FALSE)</f>
        <v>OSB CRP Domain N8</v>
      </c>
      <c r="BD16" s="43"/>
    </row>
    <row r="17" spans="1:56" ht="29" x14ac:dyDescent="0.35">
      <c r="A17" s="42" t="s">
        <v>58</v>
      </c>
      <c r="B17" s="42" t="str">
        <f>_xlfn.XLOOKUP(VmSpecs[[#This Row],[Subnet]],NetworkReference[Subnet],NetworkReference[Subscription])</f>
        <v>NINP-PERF2</v>
      </c>
      <c r="C17" s="43" t="str">
        <f>_xlfn.XLOOKUP(VmSpecs[[#This Row],[Subnet]],NetworkReference[Subnet],NetworkReference[Virtual Network Resource Group])</f>
        <v>rg-pf2-network-aue-001</v>
      </c>
      <c r="D17" s="43" t="str">
        <f>_xlfn.XLOOKUP(VmSpecs[[#This Row],[Subnet]],NetworkReference[Subnet],NetworkReference[Virtual Network])</f>
        <v>vnet-pf2-workload-aue-001</v>
      </c>
      <c r="E17" s="132" t="s">
        <v>59</v>
      </c>
      <c r="F17" s="43" t="str">
        <f>_xlfn.XLOOKUP(VmSpecs[[#This Row],[Subnet]],NetworkReference[Subnet],NetworkReference[Virtual Network Peering])</f>
        <v>vnet-ninp-conn-pnp-hub-aue</v>
      </c>
      <c r="G17" s="43" t="str">
        <f>_xlfn.XLOOKUP(VmSpecs[[#This Row],[Subnet]],NetworkReference[Subnet],NetworkReference[Route Table])</f>
        <v>rt-sn-pfb-aue-pf2-app</v>
      </c>
      <c r="H17" s="43" t="str">
        <f>LOWER(VLOOKUP(VmSpecs[[#This Row],[Original Hostname (CMO)]],'SSOT Data'!A:K,10,FALSE))</f>
        <v>dcr</v>
      </c>
      <c r="I1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7" s="44" t="s">
        <v>60</v>
      </c>
      <c r="K17" s="43" t="str">
        <f>_xlfn.CONCAT("vm",MID(VmSpecs[[#This Row],[Subnet]],4,3),VLOOKUP(VmSpecs[[#This Row],[Subscription]],NetworkReference[#All],2,FALSE),VmSpecs[[#This Row],[Service]],VmSpecs[[#This Row],[VM iteration (nn)]])</f>
        <v>vmpfbpf2dcr01</v>
      </c>
      <c r="L17" s="45" t="s">
        <v>61</v>
      </c>
      <c r="M17" s="43" t="str">
        <f>VmSpecs[[#This Row],[VM Name]]&amp;".ninp.myhealthrecord.gov.au"</f>
        <v>vmpfbpf2dcr01.ninp.myhealthrecord.gov.au</v>
      </c>
      <c r="N17" s="42" t="str">
        <f t="shared" si="0"/>
        <v>nic-001-vmpfbpf2dcr01</v>
      </c>
      <c r="O17" s="94" t="s">
        <v>105</v>
      </c>
      <c r="P17" s="46" t="s">
        <v>63</v>
      </c>
      <c r="Q17" s="42" t="str">
        <f>VLOOKUP(VmSpecs[[#This Row],[Original Hostname (CMO)]],'SSOT Data'!A:E,5,FALSE)</f>
        <v>OEL7.9</v>
      </c>
      <c r="R17" s="42"/>
      <c r="S17" s="42" t="str">
        <f>_xlfn.CONCAT("avail-",LEFT(VmSpecs[[#This Row],[VM Name]],LEN(VmSpecs[[#This Row],[VM Name]])-2))</f>
        <v>avail-vmpfbpf2dcr</v>
      </c>
      <c r="T17" s="42" t="str">
        <f>_xlfn.CONCAT("asg-",LEFT(VmSpecs[[#This Row],[VM Name]],LEN(VmSpecs[[#This Row],[VM Name]])-2))</f>
        <v>asg-vmpfbpf2dcr</v>
      </c>
      <c r="U17" s="42" t="str">
        <f>_xlfn.CONCAT("nsg-",VmSpecs[[#This Row],[Subnet]])</f>
        <v>nsg-sn-pfb-aue-pf2-app</v>
      </c>
      <c r="V17" s="42" t="s">
        <v>64</v>
      </c>
      <c r="W17" s="43" t="str">
        <f>VLOOKUP(VmSpecs[[#This Row],[Original Hostname (CMO)]],'SSOT Data'!A:AX,50,FALSE)</f>
        <v>Standard_D8s_v4</v>
      </c>
      <c r="X17" s="43">
        <v>64</v>
      </c>
      <c r="Y17" s="43" t="s">
        <v>65</v>
      </c>
      <c r="Z17" s="43" t="str">
        <f>"osdisk-"&amp;VmSpecs[[#This Row],[VM Name]]</f>
        <v>osdisk-vmpfbpf2dcr01</v>
      </c>
      <c r="AA17" s="47" t="s">
        <v>66</v>
      </c>
      <c r="AB17" s="73">
        <v>8</v>
      </c>
      <c r="AC17" s="74" t="s">
        <v>65</v>
      </c>
      <c r="AD17" s="75" t="str">
        <f>"disk-"&amp;VmSpecs[[#This Row],[VM Name]]&amp;"-001"</f>
        <v>disk-vmpfbpf2dcr01-001</v>
      </c>
      <c r="AE17" s="73">
        <v>32</v>
      </c>
      <c r="AF17" s="74" t="s">
        <v>65</v>
      </c>
      <c r="AG17" s="43" t="str">
        <f>"disk-"&amp;VmSpecs[[#This Row],[VM Name]]&amp;"-002"</f>
        <v>disk-vmpfbpf2dcr01-002</v>
      </c>
      <c r="AH17" s="59"/>
      <c r="AI17" s="42"/>
      <c r="AJ17" s="42"/>
      <c r="AK17" s="42"/>
      <c r="AL17" s="42" t="str">
        <f>MID(VmSpecs[[#This Row],[VM Name]],3,9)</f>
        <v>pfbpf2dcr</v>
      </c>
      <c r="AM17" s="42" t="str" cm="1">
        <f t="array" ref="AM17">_xlfn.TEXTJOIN(CHAR(10), TRUE, IF(NfsExports[FMO Single VM IP]=VmSpecs[[#This Row],[IP]],NfsExports[FMO Export Summary],""))</f>
        <v>/apps/pcehr 30GB</v>
      </c>
      <c r="AN17" s="43" t="str" cm="1">
        <f t="array" ref="AN1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7" s="42"/>
      <c r="AP17" s="42" t="str">
        <f>VmSpecs[[#This Row],[Description]]</f>
        <v>OSB DCR N1</v>
      </c>
      <c r="AQ17" s="43"/>
      <c r="AR17" s="43" t="s">
        <v>64</v>
      </c>
      <c r="AS17" s="43" t="s">
        <v>64</v>
      </c>
      <c r="AT17" s="43" t="s">
        <v>64</v>
      </c>
      <c r="AU17" s="43" t="s">
        <v>64</v>
      </c>
      <c r="AV17" s="42" t="s">
        <v>66</v>
      </c>
      <c r="AW17" s="42" t="s">
        <v>67</v>
      </c>
      <c r="AX17" s="42" t="s">
        <v>68</v>
      </c>
      <c r="AY17" s="42" t="s">
        <v>64</v>
      </c>
      <c r="AZ17" s="42" t="s">
        <v>64</v>
      </c>
      <c r="BA1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DCR N1"
Application Service: "DCR"
Lifecycle: "PFB"</v>
      </c>
      <c r="BB17" s="78" t="s">
        <v>106</v>
      </c>
      <c r="BC17" s="42" t="str">
        <f>VLOOKUP(VmSpecs[[#This Row],[Original Hostname (CMO)]],'SSOT Data'!A:AJ,36,FALSE)</f>
        <v>OSB DCR N1</v>
      </c>
      <c r="BD17" s="43"/>
    </row>
    <row r="18" spans="1:56" ht="29" x14ac:dyDescent="0.35">
      <c r="A18" s="42" t="s">
        <v>58</v>
      </c>
      <c r="B18" s="42" t="str">
        <f>_xlfn.XLOOKUP(VmSpecs[[#This Row],[Subnet]],NetworkReference[Subnet],NetworkReference[Subscription])</f>
        <v>NINP-PERF2</v>
      </c>
      <c r="C18" s="43" t="str">
        <f>_xlfn.XLOOKUP(VmSpecs[[#This Row],[Subnet]],NetworkReference[Subnet],NetworkReference[Virtual Network Resource Group])</f>
        <v>rg-pf2-network-aue-001</v>
      </c>
      <c r="D18" s="43" t="str">
        <f>_xlfn.XLOOKUP(VmSpecs[[#This Row],[Subnet]],NetworkReference[Subnet],NetworkReference[Virtual Network])</f>
        <v>vnet-pf2-workload-aue-001</v>
      </c>
      <c r="E18" s="132" t="s">
        <v>59</v>
      </c>
      <c r="F18" s="43" t="str">
        <f>_xlfn.XLOOKUP(VmSpecs[[#This Row],[Subnet]],NetworkReference[Subnet],NetworkReference[Virtual Network Peering])</f>
        <v>vnet-ninp-conn-pnp-hub-aue</v>
      </c>
      <c r="G18" s="43" t="str">
        <f>_xlfn.XLOOKUP(VmSpecs[[#This Row],[Subnet]],NetworkReference[Subnet],NetworkReference[Route Table])</f>
        <v>rt-sn-pfb-aue-pf2-app</v>
      </c>
      <c r="H18" s="43" t="str">
        <f>LOWER(VLOOKUP(VmSpecs[[#This Row],[Original Hostname (CMO)]],'SSOT Data'!A:K,10,FALSE))</f>
        <v>dcr</v>
      </c>
      <c r="I1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8" s="44" t="s">
        <v>72</v>
      </c>
      <c r="K18" s="43" t="str">
        <f>_xlfn.CONCAT("vm",MID(VmSpecs[[#This Row],[Subnet]],4,3),VLOOKUP(VmSpecs[[#This Row],[Subscription]],NetworkReference[#All],2,FALSE),VmSpecs[[#This Row],[Service]],VmSpecs[[#This Row],[VM iteration (nn)]])</f>
        <v>vmpfbpf2dcr02</v>
      </c>
      <c r="L18" s="45" t="s">
        <v>61</v>
      </c>
      <c r="M18" s="43" t="str">
        <f>VmSpecs[[#This Row],[VM Name]]&amp;".ninp.myhealthrecord.gov.au"</f>
        <v>vmpfbpf2dcr02.ninp.myhealthrecord.gov.au</v>
      </c>
      <c r="N18" s="42" t="str">
        <f t="shared" si="0"/>
        <v>nic-001-vmpfbpf2dcr02</v>
      </c>
      <c r="O18" s="94" t="s">
        <v>107</v>
      </c>
      <c r="P18" s="46" t="s">
        <v>63</v>
      </c>
      <c r="Q18" s="42" t="str">
        <f>VLOOKUP(VmSpecs[[#This Row],[Original Hostname (CMO)]],'SSOT Data'!A:E,5,FALSE)</f>
        <v>OEL7.9</v>
      </c>
      <c r="R18" s="42"/>
      <c r="S18" s="42" t="str">
        <f>_xlfn.CONCAT("avail-",LEFT(VmSpecs[[#This Row],[VM Name]],LEN(VmSpecs[[#This Row],[VM Name]])-2))</f>
        <v>avail-vmpfbpf2dcr</v>
      </c>
      <c r="T18" s="42" t="str">
        <f>_xlfn.CONCAT("asg-",LEFT(VmSpecs[[#This Row],[VM Name]],LEN(VmSpecs[[#This Row],[VM Name]])-2))</f>
        <v>asg-vmpfbpf2dcr</v>
      </c>
      <c r="U18" s="42" t="str">
        <f>_xlfn.CONCAT("nsg-",VmSpecs[[#This Row],[Subnet]])</f>
        <v>nsg-sn-pfb-aue-pf2-app</v>
      </c>
      <c r="V18" s="42" t="s">
        <v>64</v>
      </c>
      <c r="W18" s="43" t="str">
        <f>VLOOKUP(VmSpecs[[#This Row],[Original Hostname (CMO)]],'SSOT Data'!A:AX,50,FALSE)</f>
        <v>Standard_D8s_v4</v>
      </c>
      <c r="X18" s="43">
        <v>64</v>
      </c>
      <c r="Y18" s="43" t="s">
        <v>65</v>
      </c>
      <c r="Z18" s="43" t="str">
        <f>"osdisk-"&amp;VmSpecs[[#This Row],[VM Name]]</f>
        <v>osdisk-vmpfbpf2dcr02</v>
      </c>
      <c r="AA18" s="47" t="s">
        <v>66</v>
      </c>
      <c r="AB18" s="73">
        <v>8</v>
      </c>
      <c r="AC18" s="74" t="s">
        <v>65</v>
      </c>
      <c r="AD18" s="75" t="str">
        <f>"disk-"&amp;VmSpecs[[#This Row],[VM Name]]&amp;"-001"</f>
        <v>disk-vmpfbpf2dcr02-001</v>
      </c>
      <c r="AE18" s="73">
        <v>32</v>
      </c>
      <c r="AF18" s="74" t="s">
        <v>65</v>
      </c>
      <c r="AG18" s="43" t="str">
        <f>"disk-"&amp;VmSpecs[[#This Row],[VM Name]]&amp;"-002"</f>
        <v>disk-vmpfbpf2dcr02-002</v>
      </c>
      <c r="AH18" s="59"/>
      <c r="AI18" s="42"/>
      <c r="AJ18" s="42"/>
      <c r="AK18" s="42"/>
      <c r="AL18" s="42" t="str">
        <f>MID(VmSpecs[[#This Row],[VM Name]],3,9)</f>
        <v>pfbpf2dcr</v>
      </c>
      <c r="AM18" s="42" t="str" cm="1">
        <f t="array" ref="AM18">_xlfn.TEXTJOIN(CHAR(10), TRUE, IF(NfsExports[FMO Single VM IP]=VmSpecs[[#This Row],[IP]],NfsExports[FMO Export Summary],""))</f>
        <v>/apps/pcehr 30GB</v>
      </c>
      <c r="AN18" s="43" t="str" cm="1">
        <f t="array" ref="AN1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8" s="42"/>
      <c r="AP18" s="42" t="str">
        <f>VmSpecs[[#This Row],[Description]]</f>
        <v>OSB DCR N2</v>
      </c>
      <c r="AQ18" s="43"/>
      <c r="AR18" s="43" t="s">
        <v>64</v>
      </c>
      <c r="AS18" s="43" t="s">
        <v>64</v>
      </c>
      <c r="AT18" s="43" t="s">
        <v>64</v>
      </c>
      <c r="AU18" s="43" t="s">
        <v>64</v>
      </c>
      <c r="AV18" s="42" t="s">
        <v>66</v>
      </c>
      <c r="AW18" s="42" t="s">
        <v>67</v>
      </c>
      <c r="AX18" s="42" t="s">
        <v>68</v>
      </c>
      <c r="AY18" s="42" t="s">
        <v>64</v>
      </c>
      <c r="AZ18" s="42" t="s">
        <v>64</v>
      </c>
      <c r="BA1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DCR N2"
Application Service: "DCR"
Lifecycle: "PFB"</v>
      </c>
      <c r="BB18" s="78" t="s">
        <v>108</v>
      </c>
      <c r="BC18" s="42" t="str">
        <f>VLOOKUP(VmSpecs[[#This Row],[Original Hostname (CMO)]],'SSOT Data'!A:AJ,36,FALSE)</f>
        <v>OSB DCR N2</v>
      </c>
      <c r="BD18" s="43"/>
    </row>
    <row r="19" spans="1:56" ht="29" x14ac:dyDescent="0.35">
      <c r="A19" s="42" t="s">
        <v>58</v>
      </c>
      <c r="B19" s="42" t="str">
        <f>_xlfn.XLOOKUP(VmSpecs[[#This Row],[Subnet]],NetworkReference[Subnet],NetworkReference[Subscription])</f>
        <v>NINP-PERF2</v>
      </c>
      <c r="C19" s="43" t="str">
        <f>_xlfn.XLOOKUP(VmSpecs[[#This Row],[Subnet]],NetworkReference[Subnet],NetworkReference[Virtual Network Resource Group])</f>
        <v>rg-pf2-network-aue-001</v>
      </c>
      <c r="D19" s="43" t="str">
        <f>_xlfn.XLOOKUP(VmSpecs[[#This Row],[Subnet]],NetworkReference[Subnet],NetworkReference[Virtual Network])</f>
        <v>vnet-pf2-workload-aue-001</v>
      </c>
      <c r="E19" s="132" t="s">
        <v>59</v>
      </c>
      <c r="F19" s="43" t="str">
        <f>_xlfn.XLOOKUP(VmSpecs[[#This Row],[Subnet]],NetworkReference[Subnet],NetworkReference[Virtual Network Peering])</f>
        <v>vnet-ninp-conn-pnp-hub-aue</v>
      </c>
      <c r="G19" s="43" t="str">
        <f>_xlfn.XLOOKUP(VmSpecs[[#This Row],[Subnet]],NetworkReference[Subnet],NetworkReference[Route Table])</f>
        <v>rt-sn-pfb-aue-pf2-app</v>
      </c>
      <c r="H19" s="43" t="str">
        <f>LOWER(VLOOKUP(VmSpecs[[#This Row],[Original Hostname (CMO)]],'SSOT Data'!A:K,10,FALSE))</f>
        <v>dcr</v>
      </c>
      <c r="I1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9" s="44" t="s">
        <v>75</v>
      </c>
      <c r="K19" s="43" t="str">
        <f>_xlfn.CONCAT("vm",MID(VmSpecs[[#This Row],[Subnet]],4,3),VLOOKUP(VmSpecs[[#This Row],[Subscription]],NetworkReference[#All],2,FALSE),VmSpecs[[#This Row],[Service]],VmSpecs[[#This Row],[VM iteration (nn)]])</f>
        <v>vmpfbpf2dcr03</v>
      </c>
      <c r="L19" s="45" t="s">
        <v>61</v>
      </c>
      <c r="M19" s="43" t="str">
        <f>VmSpecs[[#This Row],[VM Name]]&amp;".ninp.myhealthrecord.gov.au"</f>
        <v>vmpfbpf2dcr03.ninp.myhealthrecord.gov.au</v>
      </c>
      <c r="N19" s="42" t="str">
        <f t="shared" si="0"/>
        <v>nic-001-vmpfbpf2dcr03</v>
      </c>
      <c r="O19" s="94" t="s">
        <v>109</v>
      </c>
      <c r="P19" s="46" t="s">
        <v>63</v>
      </c>
      <c r="Q19" s="42" t="str">
        <f>VLOOKUP(VmSpecs[[#This Row],[Original Hostname (CMO)]],'SSOT Data'!A:E,5,FALSE)</f>
        <v>OEL7.9</v>
      </c>
      <c r="R19" s="42"/>
      <c r="S19" s="42" t="str">
        <f>_xlfn.CONCAT("avail-",LEFT(VmSpecs[[#This Row],[VM Name]],LEN(VmSpecs[[#This Row],[VM Name]])-2))</f>
        <v>avail-vmpfbpf2dcr</v>
      </c>
      <c r="T19" s="42" t="str">
        <f>_xlfn.CONCAT("asg-",LEFT(VmSpecs[[#This Row],[VM Name]],LEN(VmSpecs[[#This Row],[VM Name]])-2))</f>
        <v>asg-vmpfbpf2dcr</v>
      </c>
      <c r="U19" s="42" t="str">
        <f>_xlfn.CONCAT("nsg-",VmSpecs[[#This Row],[Subnet]])</f>
        <v>nsg-sn-pfb-aue-pf2-app</v>
      </c>
      <c r="V19" s="42" t="s">
        <v>64</v>
      </c>
      <c r="W19" s="43" t="str">
        <f>VLOOKUP(VmSpecs[[#This Row],[Original Hostname (CMO)]],'SSOT Data'!A:AX,50,FALSE)</f>
        <v>Standard_D8s_v4</v>
      </c>
      <c r="X19" s="43">
        <v>64</v>
      </c>
      <c r="Y19" s="43" t="s">
        <v>65</v>
      </c>
      <c r="Z19" s="43" t="str">
        <f>"osdisk-"&amp;VmSpecs[[#This Row],[VM Name]]</f>
        <v>osdisk-vmpfbpf2dcr03</v>
      </c>
      <c r="AA19" s="47" t="s">
        <v>66</v>
      </c>
      <c r="AB19" s="73">
        <v>8</v>
      </c>
      <c r="AC19" s="74" t="s">
        <v>65</v>
      </c>
      <c r="AD19" s="75" t="str">
        <f>"disk-"&amp;VmSpecs[[#This Row],[VM Name]]&amp;"-001"</f>
        <v>disk-vmpfbpf2dcr03-001</v>
      </c>
      <c r="AE19" s="73">
        <v>32</v>
      </c>
      <c r="AF19" s="74" t="s">
        <v>65</v>
      </c>
      <c r="AG19" s="43" t="str">
        <f>"disk-"&amp;VmSpecs[[#This Row],[VM Name]]&amp;"-002"</f>
        <v>disk-vmpfbpf2dcr03-002</v>
      </c>
      <c r="AH19" s="59"/>
      <c r="AI19" s="42"/>
      <c r="AJ19" s="42"/>
      <c r="AK19" s="42"/>
      <c r="AL19" s="42" t="str">
        <f>MID(VmSpecs[[#This Row],[VM Name]],3,9)</f>
        <v>pfbpf2dcr</v>
      </c>
      <c r="AM19" s="42" t="str" cm="1">
        <f t="array" ref="AM19">_xlfn.TEXTJOIN(CHAR(10), TRUE, IF(NfsExports[FMO Single VM IP]=VmSpecs[[#This Row],[IP]],NfsExports[FMO Export Summary],""))</f>
        <v>/apps/pcehr 30GB</v>
      </c>
      <c r="AN19" s="43" t="str" cm="1">
        <f t="array" ref="AN1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9" s="42"/>
      <c r="AP19" s="42" t="str">
        <f>VmSpecs[[#This Row],[Description]]</f>
        <v>OSB DCR N3</v>
      </c>
      <c r="AQ19" s="43"/>
      <c r="AR19" s="43" t="s">
        <v>64</v>
      </c>
      <c r="AS19" s="43" t="s">
        <v>64</v>
      </c>
      <c r="AT19" s="43" t="s">
        <v>64</v>
      </c>
      <c r="AU19" s="43" t="s">
        <v>64</v>
      </c>
      <c r="AV19" s="42" t="s">
        <v>66</v>
      </c>
      <c r="AW19" s="42" t="s">
        <v>67</v>
      </c>
      <c r="AX19" s="42" t="s">
        <v>68</v>
      </c>
      <c r="AY19" s="42" t="s">
        <v>64</v>
      </c>
      <c r="AZ19" s="42" t="s">
        <v>64</v>
      </c>
      <c r="BA1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DCR N3"
Application Service: "DCR"
Lifecycle: "PFB"</v>
      </c>
      <c r="BB19" s="78" t="s">
        <v>110</v>
      </c>
      <c r="BC19" s="42" t="str">
        <f>VLOOKUP(VmSpecs[[#This Row],[Original Hostname (CMO)]],'SSOT Data'!A:AJ,36,FALSE)</f>
        <v>OSB DCR N3</v>
      </c>
      <c r="BD19" s="43"/>
    </row>
    <row r="20" spans="1:56" ht="29" x14ac:dyDescent="0.35">
      <c r="A20" s="42"/>
      <c r="B20" s="42" t="str">
        <f>_xlfn.XLOOKUP(VmSpecs[[#This Row],[Subnet]],NetworkReference[Subnet],NetworkReference[Subscription])</f>
        <v>NINP-PERF2</v>
      </c>
      <c r="C20" s="43" t="str">
        <f>_xlfn.XLOOKUP(VmSpecs[[#This Row],[Subnet]],NetworkReference[Subnet],NetworkReference[Virtual Network Resource Group])</f>
        <v>rg-pf2-network-aue-001</v>
      </c>
      <c r="D20" s="43" t="str">
        <f>_xlfn.XLOOKUP(VmSpecs[[#This Row],[Subnet]],NetworkReference[Subnet],NetworkReference[Virtual Network])</f>
        <v>vnet-pf2-workload-aue-001</v>
      </c>
      <c r="E20" s="132" t="s">
        <v>59</v>
      </c>
      <c r="F20" s="43" t="str">
        <f>_xlfn.XLOOKUP(VmSpecs[[#This Row],[Subnet]],NetworkReference[Subnet],NetworkReference[Virtual Network Peering])</f>
        <v>vnet-ninp-conn-pnp-hub-aue</v>
      </c>
      <c r="G20" s="43" t="str">
        <f>_xlfn.XLOOKUP(VmSpecs[[#This Row],[Subnet]],NetworkReference[Subnet],NetworkReference[Route Table])</f>
        <v>rt-sn-pfb-aue-pf2-app</v>
      </c>
      <c r="H20" s="43" t="str">
        <f>LOWER(VLOOKUP(VmSpecs[[#This Row],[Original Hostname (CMO)]],'SSOT Data'!A:K,10,FALSE))</f>
        <v>dcr</v>
      </c>
      <c r="I2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20" s="44" t="s">
        <v>78</v>
      </c>
      <c r="K20" s="43" t="str">
        <f>_xlfn.CONCAT("vm",MID(VmSpecs[[#This Row],[Subnet]],4,3),VLOOKUP(VmSpecs[[#This Row],[Subscription]],NetworkReference[#All],2,FALSE),VmSpecs[[#This Row],[Service]],VmSpecs[[#This Row],[VM iteration (nn)]])</f>
        <v>vmpfbpf2dcr04</v>
      </c>
      <c r="L20" s="45" t="s">
        <v>61</v>
      </c>
      <c r="M20" s="43" t="str">
        <f>VmSpecs[[#This Row],[VM Name]]&amp;".ninp.myhealthrecord.gov.au"</f>
        <v>vmpfbpf2dcr04.ninp.myhealthrecord.gov.au</v>
      </c>
      <c r="N20" s="42" t="str">
        <f t="shared" si="0"/>
        <v>nic-001-vmpfbpf2dcr04</v>
      </c>
      <c r="O20" s="94" t="s">
        <v>111</v>
      </c>
      <c r="P20" s="46" t="s">
        <v>63</v>
      </c>
      <c r="Q20" s="42" t="str">
        <f>VLOOKUP(VmSpecs[[#This Row],[Original Hostname (CMO)]],'SSOT Data'!A:E,5,FALSE)</f>
        <v>OEL7.9</v>
      </c>
      <c r="R20" s="42"/>
      <c r="S20" s="42" t="str">
        <f>_xlfn.CONCAT("avail-",LEFT(VmSpecs[[#This Row],[VM Name]],LEN(VmSpecs[[#This Row],[VM Name]])-2))</f>
        <v>avail-vmpfbpf2dcr</v>
      </c>
      <c r="T20" s="42" t="str">
        <f>_xlfn.CONCAT("asg-",LEFT(VmSpecs[[#This Row],[VM Name]],LEN(VmSpecs[[#This Row],[VM Name]])-2))</f>
        <v>asg-vmpfbpf2dcr</v>
      </c>
      <c r="U20" s="42" t="str">
        <f>_xlfn.CONCAT("nsg-",VmSpecs[[#This Row],[Subnet]])</f>
        <v>nsg-sn-pfb-aue-pf2-app</v>
      </c>
      <c r="V20" s="42"/>
      <c r="W20" s="43" t="str">
        <f>VLOOKUP(VmSpecs[[#This Row],[Original Hostname (CMO)]],'SSOT Data'!A:AX,50,FALSE)</f>
        <v>Standard_D8s_v4</v>
      </c>
      <c r="X20" s="43">
        <v>64</v>
      </c>
      <c r="Y20" s="43" t="s">
        <v>65</v>
      </c>
      <c r="Z20" s="43" t="str">
        <f>"osdisk-"&amp;VmSpecs[[#This Row],[VM Name]]</f>
        <v>osdisk-vmpfbpf2dcr04</v>
      </c>
      <c r="AA20" s="47" t="s">
        <v>66</v>
      </c>
      <c r="AB20" s="73">
        <v>8</v>
      </c>
      <c r="AC20" s="74" t="s">
        <v>65</v>
      </c>
      <c r="AD20" s="75" t="str">
        <f>"disk-"&amp;VmSpecs[[#This Row],[VM Name]]&amp;"-001"</f>
        <v>disk-vmpfbpf2dcr04-001</v>
      </c>
      <c r="AE20" s="73">
        <v>32</v>
      </c>
      <c r="AF20" s="74" t="s">
        <v>65</v>
      </c>
      <c r="AG20" s="43" t="str">
        <f>"disk-"&amp;VmSpecs[[#This Row],[VM Name]]&amp;"-002"</f>
        <v>disk-vmpfbpf2dcr04-002</v>
      </c>
      <c r="AH20" s="59"/>
      <c r="AI20" s="42"/>
      <c r="AJ20" s="42"/>
      <c r="AK20" s="42"/>
      <c r="AL20" s="42" t="str">
        <f>MID(VmSpecs[[#This Row],[VM Name]],3,9)</f>
        <v>pfbpf2dcr</v>
      </c>
      <c r="AM20" s="42" t="str" cm="1">
        <f t="array" ref="AM20">_xlfn.TEXTJOIN(CHAR(10), TRUE, IF(NfsExports[FMO Single VM IP]=VmSpecs[[#This Row],[IP]],NfsExports[FMO Export Summary],""))</f>
        <v>/apps/pcehr 30GB</v>
      </c>
      <c r="AN20" s="43" t="str" cm="1">
        <f t="array" ref="AN2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20" s="42"/>
      <c r="AP20" s="42" t="str">
        <f>VmSpecs[[#This Row],[Description]]</f>
        <v>OSB DCR</v>
      </c>
      <c r="AQ20" s="43"/>
      <c r="AR20" s="43"/>
      <c r="AS20" s="43"/>
      <c r="AT20" s="43"/>
      <c r="AU20" s="43"/>
      <c r="AV20" s="42"/>
      <c r="AW20" s="42"/>
      <c r="AX20" s="42"/>
      <c r="AY20" s="42"/>
      <c r="AZ20" s="42"/>
      <c r="BA20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DCR"
Application Service: "DCR"
Lifecycle: "PFB"</v>
      </c>
      <c r="BB20" s="78" t="s">
        <v>112</v>
      </c>
      <c r="BC20" s="42" t="str">
        <f>VLOOKUP(VmSpecs[[#This Row],[Original Hostname (CMO)]],'SSOT Data'!A:AJ,36,FALSE)</f>
        <v>OSB DCR</v>
      </c>
      <c r="BD20" s="126">
        <f>VLOOKUP(VmSpecs[[#This Row],[Original Hostname (CMO)]],'SSOT Data'!A:AQ,43,FALSE)</f>
        <v>2</v>
      </c>
    </row>
    <row r="21" spans="1:56" ht="29" x14ac:dyDescent="0.35">
      <c r="A21" s="42" t="s">
        <v>58</v>
      </c>
      <c r="B21" s="42" t="str">
        <f>_xlfn.XLOOKUP(VmSpecs[[#This Row],[Subnet]],NetworkReference[Subnet],NetworkReference[Subscription])</f>
        <v>NINP-PERF2</v>
      </c>
      <c r="C21" s="43" t="str">
        <f>_xlfn.XLOOKUP(VmSpecs[[#This Row],[Subnet]],NetworkReference[Subnet],NetworkReference[Virtual Network Resource Group])</f>
        <v>rg-pf2-network-aue-001</v>
      </c>
      <c r="D21" s="43" t="str">
        <f>_xlfn.XLOOKUP(VmSpecs[[#This Row],[Subnet]],NetworkReference[Subnet],NetworkReference[Virtual Network])</f>
        <v>vnet-pf2-workload-aue-001</v>
      </c>
      <c r="E21" s="132" t="s">
        <v>59</v>
      </c>
      <c r="F21" s="43" t="str">
        <f>_xlfn.XLOOKUP(VmSpecs[[#This Row],[Subnet]],NetworkReference[Subnet],NetworkReference[Virtual Network Peering])</f>
        <v>vnet-ninp-conn-pnp-hub-aue</v>
      </c>
      <c r="G21" s="43" t="str">
        <f>_xlfn.XLOOKUP(VmSpecs[[#This Row],[Subnet]],NetworkReference[Subnet],NetworkReference[Route Table])</f>
        <v>rt-sn-pfb-aue-pf2-app</v>
      </c>
      <c r="H21" s="43" t="str">
        <f>LOWER(VLOOKUP(VmSpecs[[#This Row],[Original Hostname (CMO)]],'SSOT Data'!A:K,10,FALSE))</f>
        <v>dcx</v>
      </c>
      <c r="I2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21" s="44" t="s">
        <v>60</v>
      </c>
      <c r="K21" s="43" t="str">
        <f>_xlfn.CONCAT("vm",MID(VmSpecs[[#This Row],[Subnet]],4,3),VLOOKUP(VmSpecs[[#This Row],[Subscription]],NetworkReference[#All],2,FALSE),VmSpecs[[#This Row],[Service]],VmSpecs[[#This Row],[VM iteration (nn)]])</f>
        <v>vmpfbpf2dcx01</v>
      </c>
      <c r="L21" s="45" t="s">
        <v>61</v>
      </c>
      <c r="M21" s="43" t="str">
        <f>VmSpecs[[#This Row],[VM Name]]&amp;".ninp.myhealthrecord.gov.au"</f>
        <v>vmpfbpf2dcx01.ninp.myhealthrecord.gov.au</v>
      </c>
      <c r="N21" s="42" t="str">
        <f t="shared" si="0"/>
        <v>nic-001-vmpfbpf2dcx01</v>
      </c>
      <c r="O21" s="94" t="s">
        <v>113</v>
      </c>
      <c r="P21" s="46" t="s">
        <v>63</v>
      </c>
      <c r="Q21" s="42" t="str">
        <f>VLOOKUP(VmSpecs[[#This Row],[Original Hostname (CMO)]],'SSOT Data'!A:E,5,FALSE)</f>
        <v>OEL7.9</v>
      </c>
      <c r="R21" s="42"/>
      <c r="S21" s="42" t="str">
        <f>_xlfn.CONCAT("avail-",LEFT(VmSpecs[[#This Row],[VM Name]],LEN(VmSpecs[[#This Row],[VM Name]])-2))</f>
        <v>avail-vmpfbpf2dcx</v>
      </c>
      <c r="T21" s="42" t="str">
        <f>_xlfn.CONCAT("asg-",LEFT(VmSpecs[[#This Row],[VM Name]],LEN(VmSpecs[[#This Row],[VM Name]])-2))</f>
        <v>asg-vmpfbpf2dcx</v>
      </c>
      <c r="U21" s="42" t="str">
        <f>_xlfn.CONCAT("nsg-",VmSpecs[[#This Row],[Subnet]])</f>
        <v>nsg-sn-pfb-aue-pf2-app</v>
      </c>
      <c r="V21" s="42" t="s">
        <v>64</v>
      </c>
      <c r="W21" s="43" t="str">
        <f>VLOOKUP(VmSpecs[[#This Row],[Original Hostname (CMO)]],'SSOT Data'!A:AX,50,FALSE)</f>
        <v>Standard_D8s_v4</v>
      </c>
      <c r="X21" s="43">
        <v>64</v>
      </c>
      <c r="Y21" s="43" t="s">
        <v>65</v>
      </c>
      <c r="Z21" s="43" t="str">
        <f>"osdisk-"&amp;VmSpecs[[#This Row],[VM Name]]</f>
        <v>osdisk-vmpfbpf2dcx01</v>
      </c>
      <c r="AA21" s="47" t="s">
        <v>66</v>
      </c>
      <c r="AB21" s="73">
        <v>8</v>
      </c>
      <c r="AC21" s="74" t="s">
        <v>65</v>
      </c>
      <c r="AD21" s="75" t="str">
        <f>"disk-"&amp;VmSpecs[[#This Row],[VM Name]]&amp;"-001"</f>
        <v>disk-vmpfbpf2dcx01-001</v>
      </c>
      <c r="AE21" s="73">
        <v>32</v>
      </c>
      <c r="AF21" s="74" t="s">
        <v>65</v>
      </c>
      <c r="AG21" s="43" t="str">
        <f>"disk-"&amp;VmSpecs[[#This Row],[VM Name]]&amp;"-002"</f>
        <v>disk-vmpfbpf2dcx01-002</v>
      </c>
      <c r="AH21" s="59"/>
      <c r="AI21" s="42"/>
      <c r="AJ21" s="42"/>
      <c r="AK21" s="42"/>
      <c r="AL21" s="42" t="str">
        <f>MID(VmSpecs[[#This Row],[VM Name]],3,9)</f>
        <v>pfbpf2dcx</v>
      </c>
      <c r="AM21" s="42" t="str" cm="1">
        <f t="array" ref="AM21">_xlfn.TEXTJOIN(CHAR(10), TRUE, IF(NfsExports[FMO Single VM IP]=VmSpecs[[#This Row],[IP]],NfsExports[FMO Export Summary],""))</f>
        <v>/apps/pcehr 30GB</v>
      </c>
      <c r="AN21" s="43" t="str" cm="1">
        <f t="array" ref="AN2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1" s="42"/>
      <c r="AP21" s="42" t="str">
        <f>VmSpecs[[#This Row],[Description]]</f>
        <v>OSB DCX Domain N1</v>
      </c>
      <c r="AQ21" s="43"/>
      <c r="AR21" s="43" t="s">
        <v>64</v>
      </c>
      <c r="AS21" s="43" t="s">
        <v>64</v>
      </c>
      <c r="AT21" s="43" t="s">
        <v>64</v>
      </c>
      <c r="AU21" s="43" t="s">
        <v>64</v>
      </c>
      <c r="AV21" s="42" t="s">
        <v>66</v>
      </c>
      <c r="AW21" s="42" t="s">
        <v>67</v>
      </c>
      <c r="AX21" s="42" t="s">
        <v>68</v>
      </c>
      <c r="AY21" s="42" t="s">
        <v>64</v>
      </c>
      <c r="AZ21" s="42" t="s">
        <v>64</v>
      </c>
      <c r="BA2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N1"
Application Service: "DCX"
Lifecycle: "PFB"</v>
      </c>
      <c r="BB21" s="78" t="s">
        <v>114</v>
      </c>
      <c r="BC21" s="42" t="str">
        <f>VLOOKUP(VmSpecs[[#This Row],[Original Hostname (CMO)]],'SSOT Data'!A:AJ,36,FALSE)</f>
        <v>OSB DCX Domain N1</v>
      </c>
      <c r="BD21" s="43"/>
    </row>
    <row r="22" spans="1:56" ht="29" x14ac:dyDescent="0.35">
      <c r="A22" s="42" t="s">
        <v>58</v>
      </c>
      <c r="B22" s="42" t="str">
        <f>_xlfn.XLOOKUP(VmSpecs[[#This Row],[Subnet]],NetworkReference[Subnet],NetworkReference[Subscription])</f>
        <v>NINP-PERF2</v>
      </c>
      <c r="C22" s="43" t="str">
        <f>_xlfn.XLOOKUP(VmSpecs[[#This Row],[Subnet]],NetworkReference[Subnet],NetworkReference[Virtual Network Resource Group])</f>
        <v>rg-pf2-network-aue-001</v>
      </c>
      <c r="D22" s="43" t="str">
        <f>_xlfn.XLOOKUP(VmSpecs[[#This Row],[Subnet]],NetworkReference[Subnet],NetworkReference[Virtual Network])</f>
        <v>vnet-pf2-workload-aue-001</v>
      </c>
      <c r="E22" s="132" t="s">
        <v>59</v>
      </c>
      <c r="F22" s="43" t="str">
        <f>_xlfn.XLOOKUP(VmSpecs[[#This Row],[Subnet]],NetworkReference[Subnet],NetworkReference[Virtual Network Peering])</f>
        <v>vnet-ninp-conn-pnp-hub-aue</v>
      </c>
      <c r="G22" s="43" t="str">
        <f>_xlfn.XLOOKUP(VmSpecs[[#This Row],[Subnet]],NetworkReference[Subnet],NetworkReference[Route Table])</f>
        <v>rt-sn-pfb-aue-pf2-app</v>
      </c>
      <c r="H22" s="43" t="str">
        <f>LOWER(VLOOKUP(VmSpecs[[#This Row],[Original Hostname (CMO)]],'SSOT Data'!A:K,10,FALSE))</f>
        <v>dcx</v>
      </c>
      <c r="I2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22" s="44" t="s">
        <v>72</v>
      </c>
      <c r="K22" s="43" t="str">
        <f>_xlfn.CONCAT("vm",MID(VmSpecs[[#This Row],[Subnet]],4,3),VLOOKUP(VmSpecs[[#This Row],[Subscription]],NetworkReference[#All],2,FALSE),VmSpecs[[#This Row],[Service]],VmSpecs[[#This Row],[VM iteration (nn)]])</f>
        <v>vmpfbpf2dcx02</v>
      </c>
      <c r="L22" s="45" t="s">
        <v>61</v>
      </c>
      <c r="M22" s="43" t="str">
        <f>VmSpecs[[#This Row],[VM Name]]&amp;".ninp.myhealthrecord.gov.au"</f>
        <v>vmpfbpf2dcx02.ninp.myhealthrecord.gov.au</v>
      </c>
      <c r="N22" s="42" t="str">
        <f t="shared" si="0"/>
        <v>nic-001-vmpfbpf2dcx02</v>
      </c>
      <c r="O22" s="94" t="s">
        <v>115</v>
      </c>
      <c r="P22" s="46" t="s">
        <v>63</v>
      </c>
      <c r="Q22" s="42" t="str">
        <f>VLOOKUP(VmSpecs[[#This Row],[Original Hostname (CMO)]],'SSOT Data'!A:E,5,FALSE)</f>
        <v>OEL7.9</v>
      </c>
      <c r="R22" s="42"/>
      <c r="S22" s="42" t="str">
        <f>_xlfn.CONCAT("avail-",LEFT(VmSpecs[[#This Row],[VM Name]],LEN(VmSpecs[[#This Row],[VM Name]])-2))</f>
        <v>avail-vmpfbpf2dcx</v>
      </c>
      <c r="T22" s="42" t="str">
        <f>_xlfn.CONCAT("asg-",LEFT(VmSpecs[[#This Row],[VM Name]],LEN(VmSpecs[[#This Row],[VM Name]])-2))</f>
        <v>asg-vmpfbpf2dcx</v>
      </c>
      <c r="U22" s="42" t="str">
        <f>_xlfn.CONCAT("nsg-",VmSpecs[[#This Row],[Subnet]])</f>
        <v>nsg-sn-pfb-aue-pf2-app</v>
      </c>
      <c r="V22" s="42" t="s">
        <v>64</v>
      </c>
      <c r="W22" s="43" t="str">
        <f>VLOOKUP(VmSpecs[[#This Row],[Original Hostname (CMO)]],'SSOT Data'!A:AX,50,FALSE)</f>
        <v>Standard_D8s_v4</v>
      </c>
      <c r="X22" s="43">
        <v>64</v>
      </c>
      <c r="Y22" s="43" t="s">
        <v>65</v>
      </c>
      <c r="Z22" s="43" t="str">
        <f>"osdisk-"&amp;VmSpecs[[#This Row],[VM Name]]</f>
        <v>osdisk-vmpfbpf2dcx02</v>
      </c>
      <c r="AA22" s="47" t="s">
        <v>66</v>
      </c>
      <c r="AB22" s="73">
        <v>8</v>
      </c>
      <c r="AC22" s="74" t="s">
        <v>65</v>
      </c>
      <c r="AD22" s="75" t="str">
        <f>"disk-"&amp;VmSpecs[[#This Row],[VM Name]]&amp;"-001"</f>
        <v>disk-vmpfbpf2dcx02-001</v>
      </c>
      <c r="AE22" s="73">
        <v>32</v>
      </c>
      <c r="AF22" s="74" t="s">
        <v>65</v>
      </c>
      <c r="AG22" s="43" t="str">
        <f>"disk-"&amp;VmSpecs[[#This Row],[VM Name]]&amp;"-002"</f>
        <v>disk-vmpfbpf2dcx02-002</v>
      </c>
      <c r="AH22" s="59"/>
      <c r="AI22" s="42"/>
      <c r="AJ22" s="42"/>
      <c r="AK22" s="42"/>
      <c r="AL22" s="42" t="str">
        <f>MID(VmSpecs[[#This Row],[VM Name]],3,9)</f>
        <v>pfbpf2dcx</v>
      </c>
      <c r="AM22" s="42" t="str" cm="1">
        <f t="array" ref="AM22">_xlfn.TEXTJOIN(CHAR(10), TRUE, IF(NfsExports[FMO Single VM IP]=VmSpecs[[#This Row],[IP]],NfsExports[FMO Export Summary],""))</f>
        <v>/apps/pcehr 30GB</v>
      </c>
      <c r="AN22" s="43" t="str" cm="1">
        <f t="array" ref="AN2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2" s="42"/>
      <c r="AP22" s="42" t="str">
        <f>VmSpecs[[#This Row],[Description]]</f>
        <v>OSB DCX Domain N2</v>
      </c>
      <c r="AQ22" s="43"/>
      <c r="AR22" s="43" t="s">
        <v>64</v>
      </c>
      <c r="AS22" s="43" t="s">
        <v>64</v>
      </c>
      <c r="AT22" s="43" t="s">
        <v>64</v>
      </c>
      <c r="AU22" s="43" t="s">
        <v>64</v>
      </c>
      <c r="AV22" s="42" t="s">
        <v>66</v>
      </c>
      <c r="AW22" s="42" t="s">
        <v>67</v>
      </c>
      <c r="AX22" s="42" t="s">
        <v>68</v>
      </c>
      <c r="AY22" s="42" t="s">
        <v>64</v>
      </c>
      <c r="AZ22" s="42" t="s">
        <v>64</v>
      </c>
      <c r="BA2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N2"
Application Service: "DCX"
Lifecycle: "PFB"</v>
      </c>
      <c r="BB22" s="78" t="s">
        <v>116</v>
      </c>
      <c r="BC22" s="42" t="str">
        <f>VLOOKUP(VmSpecs[[#This Row],[Original Hostname (CMO)]],'SSOT Data'!A:AJ,36,FALSE)</f>
        <v>OSB DCX Domain N2</v>
      </c>
      <c r="BD22" s="43"/>
    </row>
    <row r="23" spans="1:56" ht="29" x14ac:dyDescent="0.35">
      <c r="A23" s="42" t="s">
        <v>58</v>
      </c>
      <c r="B23" s="42" t="str">
        <f>_xlfn.XLOOKUP(VmSpecs[[#This Row],[Subnet]],NetworkReference[Subnet],NetworkReference[Subscription])</f>
        <v>NINP-PERF2</v>
      </c>
      <c r="C23" s="43" t="str">
        <f>_xlfn.XLOOKUP(VmSpecs[[#This Row],[Subnet]],NetworkReference[Subnet],NetworkReference[Virtual Network Resource Group])</f>
        <v>rg-pf2-network-aue-001</v>
      </c>
      <c r="D23" s="43" t="str">
        <f>_xlfn.XLOOKUP(VmSpecs[[#This Row],[Subnet]],NetworkReference[Subnet],NetworkReference[Virtual Network])</f>
        <v>vnet-pf2-workload-aue-001</v>
      </c>
      <c r="E23" s="132" t="s">
        <v>59</v>
      </c>
      <c r="F23" s="43" t="str">
        <f>_xlfn.XLOOKUP(VmSpecs[[#This Row],[Subnet]],NetworkReference[Subnet],NetworkReference[Virtual Network Peering])</f>
        <v>vnet-ninp-conn-pnp-hub-aue</v>
      </c>
      <c r="G23" s="43" t="str">
        <f>_xlfn.XLOOKUP(VmSpecs[[#This Row],[Subnet]],NetworkReference[Subnet],NetworkReference[Route Table])</f>
        <v>rt-sn-pfb-aue-pf2-app</v>
      </c>
      <c r="H23" s="43" t="str">
        <f>LOWER(VLOOKUP(VmSpecs[[#This Row],[Original Hostname (CMO)]],'SSOT Data'!A:K,10,FALSE))</f>
        <v>dcx</v>
      </c>
      <c r="I2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23" s="44" t="s">
        <v>75</v>
      </c>
      <c r="K23" s="43" t="str">
        <f>_xlfn.CONCAT("vm",MID(VmSpecs[[#This Row],[Subnet]],4,3),VLOOKUP(VmSpecs[[#This Row],[Subscription]],NetworkReference[#All],2,FALSE),VmSpecs[[#This Row],[Service]],VmSpecs[[#This Row],[VM iteration (nn)]])</f>
        <v>vmpfbpf2dcx03</v>
      </c>
      <c r="L23" s="45" t="s">
        <v>61</v>
      </c>
      <c r="M23" s="43" t="str">
        <f>VmSpecs[[#This Row],[VM Name]]&amp;".ninp.myhealthrecord.gov.au"</f>
        <v>vmpfbpf2dcx03.ninp.myhealthrecord.gov.au</v>
      </c>
      <c r="N23" s="42" t="str">
        <f t="shared" si="0"/>
        <v>nic-001-vmpfbpf2dcx03</v>
      </c>
      <c r="O23" s="94" t="s">
        <v>117</v>
      </c>
      <c r="P23" s="46" t="s">
        <v>63</v>
      </c>
      <c r="Q23" s="42" t="str">
        <f>VLOOKUP(VmSpecs[[#This Row],[Original Hostname (CMO)]],'SSOT Data'!A:E,5,FALSE)</f>
        <v>OEL7.9</v>
      </c>
      <c r="R23" s="42"/>
      <c r="S23" s="42" t="str">
        <f>_xlfn.CONCAT("avail-",LEFT(VmSpecs[[#This Row],[VM Name]],LEN(VmSpecs[[#This Row],[VM Name]])-2))</f>
        <v>avail-vmpfbpf2dcx</v>
      </c>
      <c r="T23" s="42" t="str">
        <f>_xlfn.CONCAT("asg-",LEFT(VmSpecs[[#This Row],[VM Name]],LEN(VmSpecs[[#This Row],[VM Name]])-2))</f>
        <v>asg-vmpfbpf2dcx</v>
      </c>
      <c r="U23" s="42" t="str">
        <f>_xlfn.CONCAT("nsg-",VmSpecs[[#This Row],[Subnet]])</f>
        <v>nsg-sn-pfb-aue-pf2-app</v>
      </c>
      <c r="V23" s="42" t="s">
        <v>64</v>
      </c>
      <c r="W23" s="43" t="str">
        <f>VLOOKUP(VmSpecs[[#This Row],[Original Hostname (CMO)]],'SSOT Data'!A:AX,50,FALSE)</f>
        <v>Standard_D8s_v4</v>
      </c>
      <c r="X23" s="43">
        <v>64</v>
      </c>
      <c r="Y23" s="43" t="s">
        <v>65</v>
      </c>
      <c r="Z23" s="43" t="str">
        <f>"osdisk-"&amp;VmSpecs[[#This Row],[VM Name]]</f>
        <v>osdisk-vmpfbpf2dcx03</v>
      </c>
      <c r="AA23" s="47" t="s">
        <v>66</v>
      </c>
      <c r="AB23" s="73">
        <v>8</v>
      </c>
      <c r="AC23" s="74" t="s">
        <v>65</v>
      </c>
      <c r="AD23" s="75" t="str">
        <f>"disk-"&amp;VmSpecs[[#This Row],[VM Name]]&amp;"-001"</f>
        <v>disk-vmpfbpf2dcx03-001</v>
      </c>
      <c r="AE23" s="73">
        <v>32</v>
      </c>
      <c r="AF23" s="74" t="s">
        <v>65</v>
      </c>
      <c r="AG23" s="43" t="str">
        <f>"disk-"&amp;VmSpecs[[#This Row],[VM Name]]&amp;"-002"</f>
        <v>disk-vmpfbpf2dcx03-002</v>
      </c>
      <c r="AH23" s="59"/>
      <c r="AI23" s="42"/>
      <c r="AJ23" s="42"/>
      <c r="AK23" s="42"/>
      <c r="AL23" s="42" t="str">
        <f>MID(VmSpecs[[#This Row],[VM Name]],3,9)</f>
        <v>pfbpf2dcx</v>
      </c>
      <c r="AM23" s="42" t="str" cm="1">
        <f t="array" ref="AM23">_xlfn.TEXTJOIN(CHAR(10), TRUE, IF(NfsExports[FMO Single VM IP]=VmSpecs[[#This Row],[IP]],NfsExports[FMO Export Summary],""))</f>
        <v>/apps/pcehr 30GB</v>
      </c>
      <c r="AN23" s="43" t="str" cm="1">
        <f t="array" ref="AN2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3" s="42"/>
      <c r="AP23" s="42" t="str">
        <f>VmSpecs[[#This Row],[Description]]</f>
        <v>OSB DCX Domain N3</v>
      </c>
      <c r="AQ23" s="43"/>
      <c r="AR23" s="43" t="s">
        <v>64</v>
      </c>
      <c r="AS23" s="43" t="s">
        <v>64</v>
      </c>
      <c r="AT23" s="43" t="s">
        <v>64</v>
      </c>
      <c r="AU23" s="43" t="s">
        <v>64</v>
      </c>
      <c r="AV23" s="42" t="s">
        <v>66</v>
      </c>
      <c r="AW23" s="42" t="s">
        <v>67</v>
      </c>
      <c r="AX23" s="42" t="s">
        <v>68</v>
      </c>
      <c r="AY23" s="42" t="s">
        <v>64</v>
      </c>
      <c r="AZ23" s="42" t="s">
        <v>64</v>
      </c>
      <c r="BA2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N3"
Application Service: "DCX"
Lifecycle: "PFB"</v>
      </c>
      <c r="BB23" s="78" t="s">
        <v>118</v>
      </c>
      <c r="BC23" s="42" t="str">
        <f>VLOOKUP(VmSpecs[[#This Row],[Original Hostname (CMO)]],'SSOT Data'!A:AJ,36,FALSE)</f>
        <v>OSB DCX Domain N3</v>
      </c>
      <c r="BD23" s="43"/>
    </row>
    <row r="24" spans="1:56" ht="29" x14ac:dyDescent="0.35">
      <c r="A24" s="42" t="s">
        <v>58</v>
      </c>
      <c r="B24" s="42" t="str">
        <f>_xlfn.XLOOKUP(VmSpecs[[#This Row],[Subnet]],NetworkReference[Subnet],NetworkReference[Subscription])</f>
        <v>NINP-PERF2</v>
      </c>
      <c r="C24" s="43" t="str">
        <f>_xlfn.XLOOKUP(VmSpecs[[#This Row],[Subnet]],NetworkReference[Subnet],NetworkReference[Virtual Network Resource Group])</f>
        <v>rg-pf2-network-aue-001</v>
      </c>
      <c r="D24" s="43" t="str">
        <f>_xlfn.XLOOKUP(VmSpecs[[#This Row],[Subnet]],NetworkReference[Subnet],NetworkReference[Virtual Network])</f>
        <v>vnet-pf2-workload-aue-001</v>
      </c>
      <c r="E24" s="132" t="s">
        <v>59</v>
      </c>
      <c r="F24" s="43" t="str">
        <f>_xlfn.XLOOKUP(VmSpecs[[#This Row],[Subnet]],NetworkReference[Subnet],NetworkReference[Virtual Network Peering])</f>
        <v>vnet-ninp-conn-pnp-hub-aue</v>
      </c>
      <c r="G24" s="43" t="str">
        <f>_xlfn.XLOOKUP(VmSpecs[[#This Row],[Subnet]],NetworkReference[Subnet],NetworkReference[Route Table])</f>
        <v>rt-sn-pfb-aue-pf2-app</v>
      </c>
      <c r="H24" s="43" t="str">
        <f>LOWER(VLOOKUP(VmSpecs[[#This Row],[Original Hostname (CMO)]],'SSOT Data'!A:K,10,FALSE))</f>
        <v>dcx</v>
      </c>
      <c r="I2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24" s="44" t="s">
        <v>78</v>
      </c>
      <c r="K24" s="43" t="str">
        <f>_xlfn.CONCAT("vm",MID(VmSpecs[[#This Row],[Subnet]],4,3),VLOOKUP(VmSpecs[[#This Row],[Subscription]],NetworkReference[#All],2,FALSE),VmSpecs[[#This Row],[Service]],VmSpecs[[#This Row],[VM iteration (nn)]])</f>
        <v>vmpfbpf2dcx04</v>
      </c>
      <c r="L24" s="45" t="s">
        <v>61</v>
      </c>
      <c r="M24" s="43" t="str">
        <f>VmSpecs[[#This Row],[VM Name]]&amp;".ninp.myhealthrecord.gov.au"</f>
        <v>vmpfbpf2dcx04.ninp.myhealthrecord.gov.au</v>
      </c>
      <c r="N24" s="42" t="str">
        <f t="shared" si="0"/>
        <v>nic-001-vmpfbpf2dcx04</v>
      </c>
      <c r="O24" s="94" t="s">
        <v>119</v>
      </c>
      <c r="P24" s="46" t="s">
        <v>63</v>
      </c>
      <c r="Q24" s="42" t="str">
        <f>VLOOKUP(VmSpecs[[#This Row],[Original Hostname (CMO)]],'SSOT Data'!A:E,5,FALSE)</f>
        <v>OEL7.9</v>
      </c>
      <c r="R24" s="42"/>
      <c r="S24" s="42" t="str">
        <f>_xlfn.CONCAT("avail-",LEFT(VmSpecs[[#This Row],[VM Name]],LEN(VmSpecs[[#This Row],[VM Name]])-2))</f>
        <v>avail-vmpfbpf2dcx</v>
      </c>
      <c r="T24" s="42" t="str">
        <f>_xlfn.CONCAT("asg-",LEFT(VmSpecs[[#This Row],[VM Name]],LEN(VmSpecs[[#This Row],[VM Name]])-2))</f>
        <v>asg-vmpfbpf2dcx</v>
      </c>
      <c r="U24" s="42" t="str">
        <f>_xlfn.CONCAT("nsg-",VmSpecs[[#This Row],[Subnet]])</f>
        <v>nsg-sn-pfb-aue-pf2-app</v>
      </c>
      <c r="V24" s="42" t="s">
        <v>64</v>
      </c>
      <c r="W24" s="43" t="str">
        <f>VLOOKUP(VmSpecs[[#This Row],[Original Hostname (CMO)]],'SSOT Data'!A:AX,50,FALSE)</f>
        <v>Standard_D8s_v4</v>
      </c>
      <c r="X24" s="43">
        <v>64</v>
      </c>
      <c r="Y24" s="43" t="s">
        <v>65</v>
      </c>
      <c r="Z24" s="43" t="str">
        <f>"osdisk-"&amp;VmSpecs[[#This Row],[VM Name]]</f>
        <v>osdisk-vmpfbpf2dcx04</v>
      </c>
      <c r="AA24" s="47" t="s">
        <v>66</v>
      </c>
      <c r="AB24" s="73">
        <v>8</v>
      </c>
      <c r="AC24" s="74" t="s">
        <v>65</v>
      </c>
      <c r="AD24" s="75" t="str">
        <f>"disk-"&amp;VmSpecs[[#This Row],[VM Name]]&amp;"-001"</f>
        <v>disk-vmpfbpf2dcx04-001</v>
      </c>
      <c r="AE24" s="73">
        <v>32</v>
      </c>
      <c r="AF24" s="74" t="s">
        <v>65</v>
      </c>
      <c r="AG24" s="43" t="str">
        <f>"disk-"&amp;VmSpecs[[#This Row],[VM Name]]&amp;"-002"</f>
        <v>disk-vmpfbpf2dcx04-002</v>
      </c>
      <c r="AH24" s="59"/>
      <c r="AI24" s="42"/>
      <c r="AJ24" s="42"/>
      <c r="AK24" s="42"/>
      <c r="AL24" s="42" t="str">
        <f>MID(VmSpecs[[#This Row],[VM Name]],3,9)</f>
        <v>pfbpf2dcx</v>
      </c>
      <c r="AM24" s="42" t="str" cm="1">
        <f t="array" ref="AM24">_xlfn.TEXTJOIN(CHAR(10), TRUE, IF(NfsExports[FMO Single VM IP]=VmSpecs[[#This Row],[IP]],NfsExports[FMO Export Summary],""))</f>
        <v>/apps/pcehr 30GB</v>
      </c>
      <c r="AN24" s="43" t="str" cm="1">
        <f t="array" ref="AN2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4" s="42"/>
      <c r="AP24" s="42" t="str">
        <f>VmSpecs[[#This Row],[Description]]</f>
        <v>OSB DCX Domain N4</v>
      </c>
      <c r="AQ24" s="43"/>
      <c r="AR24" s="43" t="s">
        <v>64</v>
      </c>
      <c r="AS24" s="43" t="s">
        <v>64</v>
      </c>
      <c r="AT24" s="43" t="s">
        <v>64</v>
      </c>
      <c r="AU24" s="43" t="s">
        <v>64</v>
      </c>
      <c r="AV24" s="42" t="s">
        <v>66</v>
      </c>
      <c r="AW24" s="42" t="s">
        <v>67</v>
      </c>
      <c r="AX24" s="42" t="s">
        <v>68</v>
      </c>
      <c r="AY24" s="42" t="s">
        <v>64</v>
      </c>
      <c r="AZ24" s="42" t="s">
        <v>64</v>
      </c>
      <c r="BA2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N4"
Application Service: "DCX"
Lifecycle: "PFB"</v>
      </c>
      <c r="BB24" s="78" t="s">
        <v>120</v>
      </c>
      <c r="BC24" s="42" t="str">
        <f>VLOOKUP(VmSpecs[[#This Row],[Original Hostname (CMO)]],'SSOT Data'!A:AJ,36,FALSE)</f>
        <v>OSB DCX Domain N4</v>
      </c>
      <c r="BD24" s="43"/>
    </row>
    <row r="25" spans="1:56" ht="29" x14ac:dyDescent="0.35">
      <c r="A25" s="42" t="s">
        <v>58</v>
      </c>
      <c r="B25" s="42" t="str">
        <f>_xlfn.XLOOKUP(VmSpecs[[#This Row],[Subnet]],NetworkReference[Subnet],NetworkReference[Subscription])</f>
        <v>NINP-PERF2</v>
      </c>
      <c r="C25" s="43" t="str">
        <f>_xlfn.XLOOKUP(VmSpecs[[#This Row],[Subnet]],NetworkReference[Subnet],NetworkReference[Virtual Network Resource Group])</f>
        <v>rg-pf2-network-aue-001</v>
      </c>
      <c r="D25" s="43" t="str">
        <f>_xlfn.XLOOKUP(VmSpecs[[#This Row],[Subnet]],NetworkReference[Subnet],NetworkReference[Virtual Network])</f>
        <v>vnet-pf2-workload-aue-001</v>
      </c>
      <c r="E25" s="132" t="s">
        <v>59</v>
      </c>
      <c r="F25" s="43" t="str">
        <f>_xlfn.XLOOKUP(VmSpecs[[#This Row],[Subnet]],NetworkReference[Subnet],NetworkReference[Virtual Network Peering])</f>
        <v>vnet-ninp-conn-pnp-hub-aue</v>
      </c>
      <c r="G25" s="43" t="str">
        <f>_xlfn.XLOOKUP(VmSpecs[[#This Row],[Subnet]],NetworkReference[Subnet],NetworkReference[Route Table])</f>
        <v>rt-sn-pfb-aue-pf2-app</v>
      </c>
      <c r="H25" s="43" t="str">
        <f>LOWER(VLOOKUP(VmSpecs[[#This Row],[Original Hostname (CMO)]],'SSOT Data'!A:K,10,FALSE))</f>
        <v>dcx</v>
      </c>
      <c r="I2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25" s="44" t="s">
        <v>81</v>
      </c>
      <c r="K25" s="43" t="str">
        <f>_xlfn.CONCAT("vm",MID(VmSpecs[[#This Row],[Subnet]],4,3),VLOOKUP(VmSpecs[[#This Row],[Subscription]],NetworkReference[#All],2,FALSE),VmSpecs[[#This Row],[Service]],VmSpecs[[#This Row],[VM iteration (nn)]])</f>
        <v>vmpfbpf2dcx05</v>
      </c>
      <c r="L25" s="45" t="s">
        <v>61</v>
      </c>
      <c r="M25" s="43" t="str">
        <f>VmSpecs[[#This Row],[VM Name]]&amp;".ninp.myhealthrecord.gov.au"</f>
        <v>vmpfbpf2dcx05.ninp.myhealthrecord.gov.au</v>
      </c>
      <c r="N25" s="42" t="str">
        <f t="shared" si="0"/>
        <v>nic-001-vmpfbpf2dcx05</v>
      </c>
      <c r="O25" s="94" t="s">
        <v>121</v>
      </c>
      <c r="P25" s="46" t="s">
        <v>63</v>
      </c>
      <c r="Q25" s="42" t="str">
        <f>VLOOKUP(VmSpecs[[#This Row],[Original Hostname (CMO)]],'SSOT Data'!A:E,5,FALSE)</f>
        <v>OEL7.9</v>
      </c>
      <c r="R25" s="42"/>
      <c r="S25" s="42" t="str">
        <f>_xlfn.CONCAT("avail-",LEFT(VmSpecs[[#This Row],[VM Name]],LEN(VmSpecs[[#This Row],[VM Name]])-2))</f>
        <v>avail-vmpfbpf2dcx</v>
      </c>
      <c r="T25" s="42" t="str">
        <f>_xlfn.CONCAT("asg-",LEFT(VmSpecs[[#This Row],[VM Name]],LEN(VmSpecs[[#This Row],[VM Name]])-2))</f>
        <v>asg-vmpfbpf2dcx</v>
      </c>
      <c r="U25" s="42" t="str">
        <f>_xlfn.CONCAT("nsg-",VmSpecs[[#This Row],[Subnet]])</f>
        <v>nsg-sn-pfb-aue-pf2-app</v>
      </c>
      <c r="V25" s="42" t="s">
        <v>64</v>
      </c>
      <c r="W25" s="43" t="str">
        <f>VLOOKUP(VmSpecs[[#This Row],[Original Hostname (CMO)]],'SSOT Data'!A:AX,50,FALSE)</f>
        <v>Standard_D8s_v4</v>
      </c>
      <c r="X25" s="43">
        <v>64</v>
      </c>
      <c r="Y25" s="43" t="s">
        <v>65</v>
      </c>
      <c r="Z25" s="43" t="str">
        <f>"osdisk-"&amp;VmSpecs[[#This Row],[VM Name]]</f>
        <v>osdisk-vmpfbpf2dcx05</v>
      </c>
      <c r="AA25" s="47" t="s">
        <v>66</v>
      </c>
      <c r="AB25" s="73">
        <v>8</v>
      </c>
      <c r="AC25" s="74" t="s">
        <v>65</v>
      </c>
      <c r="AD25" s="75" t="str">
        <f>"disk-"&amp;VmSpecs[[#This Row],[VM Name]]&amp;"-001"</f>
        <v>disk-vmpfbpf2dcx05-001</v>
      </c>
      <c r="AE25" s="73">
        <v>32</v>
      </c>
      <c r="AF25" s="74" t="s">
        <v>65</v>
      </c>
      <c r="AG25" s="43" t="str">
        <f>"disk-"&amp;VmSpecs[[#This Row],[VM Name]]&amp;"-002"</f>
        <v>disk-vmpfbpf2dcx05-002</v>
      </c>
      <c r="AH25" s="59"/>
      <c r="AI25" s="42"/>
      <c r="AJ25" s="42"/>
      <c r="AK25" s="42"/>
      <c r="AL25" s="42" t="str">
        <f>MID(VmSpecs[[#This Row],[VM Name]],3,9)</f>
        <v>pfbpf2dcx</v>
      </c>
      <c r="AM25" s="42" t="str" cm="1">
        <f t="array" ref="AM25">_xlfn.TEXTJOIN(CHAR(10), TRUE, IF(NfsExports[FMO Single VM IP]=VmSpecs[[#This Row],[IP]],NfsExports[FMO Export Summary],""))</f>
        <v>/apps/pcehr 30GB</v>
      </c>
      <c r="AN25" s="43" t="str" cm="1">
        <f t="array" ref="AN2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5" s="42"/>
      <c r="AP25" s="42" t="str">
        <f>VmSpecs[[#This Row],[Description]]</f>
        <v>OSB DCX Domain N5</v>
      </c>
      <c r="AQ25" s="43"/>
      <c r="AR25" s="43" t="s">
        <v>64</v>
      </c>
      <c r="AS25" s="43" t="s">
        <v>64</v>
      </c>
      <c r="AT25" s="43" t="s">
        <v>64</v>
      </c>
      <c r="AU25" s="43" t="s">
        <v>64</v>
      </c>
      <c r="AV25" s="42" t="s">
        <v>66</v>
      </c>
      <c r="AW25" s="42" t="s">
        <v>67</v>
      </c>
      <c r="AX25" s="42" t="s">
        <v>68</v>
      </c>
      <c r="AY25" s="42" t="s">
        <v>64</v>
      </c>
      <c r="AZ25" s="42" t="s">
        <v>64</v>
      </c>
      <c r="BA2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N5"
Application Service: "DCX"
Lifecycle: "PFB"</v>
      </c>
      <c r="BB25" s="78" t="s">
        <v>122</v>
      </c>
      <c r="BC25" s="42" t="str">
        <f>VLOOKUP(VmSpecs[[#This Row],[Original Hostname (CMO)]],'SSOT Data'!A:AJ,36,FALSE)</f>
        <v>OSB DCX Domain N5</v>
      </c>
      <c r="BD25" s="43"/>
    </row>
    <row r="26" spans="1:56" ht="29" x14ac:dyDescent="0.35">
      <c r="A26" s="42" t="s">
        <v>58</v>
      </c>
      <c r="B26" s="42" t="str">
        <f>_xlfn.XLOOKUP(VmSpecs[[#This Row],[Subnet]],NetworkReference[Subnet],NetworkReference[Subscription])</f>
        <v>NINP-PERF2</v>
      </c>
      <c r="C26" s="43" t="str">
        <f>_xlfn.XLOOKUP(VmSpecs[[#This Row],[Subnet]],NetworkReference[Subnet],NetworkReference[Virtual Network Resource Group])</f>
        <v>rg-pf2-network-aue-001</v>
      </c>
      <c r="D26" s="43" t="str">
        <f>_xlfn.XLOOKUP(VmSpecs[[#This Row],[Subnet]],NetworkReference[Subnet],NetworkReference[Virtual Network])</f>
        <v>vnet-pf2-workload-aue-001</v>
      </c>
      <c r="E26" s="132" t="s">
        <v>59</v>
      </c>
      <c r="F26" s="43" t="str">
        <f>_xlfn.XLOOKUP(VmSpecs[[#This Row],[Subnet]],NetworkReference[Subnet],NetworkReference[Virtual Network Peering])</f>
        <v>vnet-ninp-conn-pnp-hub-aue</v>
      </c>
      <c r="G26" s="43" t="str">
        <f>_xlfn.XLOOKUP(VmSpecs[[#This Row],[Subnet]],NetworkReference[Subnet],NetworkReference[Route Table])</f>
        <v>rt-sn-pfb-aue-pf2-app</v>
      </c>
      <c r="H26" s="43" t="str">
        <f>LOWER(VLOOKUP(VmSpecs[[#This Row],[Original Hostname (CMO)]],'SSOT Data'!A:K,10,FALSE))</f>
        <v>dcx</v>
      </c>
      <c r="I2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26" s="44" t="s">
        <v>84</v>
      </c>
      <c r="K26" s="43" t="str">
        <f>_xlfn.CONCAT("vm",MID(VmSpecs[[#This Row],[Subnet]],4,3),VLOOKUP(VmSpecs[[#This Row],[Subscription]],NetworkReference[#All],2,FALSE),VmSpecs[[#This Row],[Service]],VmSpecs[[#This Row],[VM iteration (nn)]])</f>
        <v>vmpfbpf2dcx06</v>
      </c>
      <c r="L26" s="45" t="s">
        <v>61</v>
      </c>
      <c r="M26" s="43" t="str">
        <f>VmSpecs[[#This Row],[VM Name]]&amp;".ninp.myhealthrecord.gov.au"</f>
        <v>vmpfbpf2dcx06.ninp.myhealthrecord.gov.au</v>
      </c>
      <c r="N26" s="42" t="str">
        <f t="shared" si="0"/>
        <v>nic-001-vmpfbpf2dcx06</v>
      </c>
      <c r="O26" s="94" t="s">
        <v>123</v>
      </c>
      <c r="P26" s="46" t="s">
        <v>63</v>
      </c>
      <c r="Q26" s="42" t="str">
        <f>VLOOKUP(VmSpecs[[#This Row],[Original Hostname (CMO)]],'SSOT Data'!A:E,5,FALSE)</f>
        <v>OEL7.9</v>
      </c>
      <c r="R26" s="42"/>
      <c r="S26" s="42" t="str">
        <f>_xlfn.CONCAT("avail-",LEFT(VmSpecs[[#This Row],[VM Name]],LEN(VmSpecs[[#This Row],[VM Name]])-2))</f>
        <v>avail-vmpfbpf2dcx</v>
      </c>
      <c r="T26" s="42" t="str">
        <f>_xlfn.CONCAT("asg-",LEFT(VmSpecs[[#This Row],[VM Name]],LEN(VmSpecs[[#This Row],[VM Name]])-2))</f>
        <v>asg-vmpfbpf2dcx</v>
      </c>
      <c r="U26" s="42" t="str">
        <f>_xlfn.CONCAT("nsg-",VmSpecs[[#This Row],[Subnet]])</f>
        <v>nsg-sn-pfb-aue-pf2-app</v>
      </c>
      <c r="V26" s="42" t="s">
        <v>64</v>
      </c>
      <c r="W26" s="43" t="str">
        <f>VLOOKUP(VmSpecs[[#This Row],[Original Hostname (CMO)]],'SSOT Data'!A:AX,50,FALSE)</f>
        <v>Standard_D8s_v4</v>
      </c>
      <c r="X26" s="43">
        <v>64</v>
      </c>
      <c r="Y26" s="43" t="s">
        <v>65</v>
      </c>
      <c r="Z26" s="43" t="str">
        <f>"osdisk-"&amp;VmSpecs[[#This Row],[VM Name]]</f>
        <v>osdisk-vmpfbpf2dcx06</v>
      </c>
      <c r="AA26" s="47" t="s">
        <v>66</v>
      </c>
      <c r="AB26" s="73">
        <v>8</v>
      </c>
      <c r="AC26" s="74" t="s">
        <v>65</v>
      </c>
      <c r="AD26" s="75" t="str">
        <f>"disk-"&amp;VmSpecs[[#This Row],[VM Name]]&amp;"-001"</f>
        <v>disk-vmpfbpf2dcx06-001</v>
      </c>
      <c r="AE26" s="73">
        <v>32</v>
      </c>
      <c r="AF26" s="74" t="s">
        <v>65</v>
      </c>
      <c r="AG26" s="43" t="str">
        <f>"disk-"&amp;VmSpecs[[#This Row],[VM Name]]&amp;"-002"</f>
        <v>disk-vmpfbpf2dcx06-002</v>
      </c>
      <c r="AH26" s="59"/>
      <c r="AI26" s="42"/>
      <c r="AJ26" s="42"/>
      <c r="AK26" s="42"/>
      <c r="AL26" s="42" t="str">
        <f>MID(VmSpecs[[#This Row],[VM Name]],3,9)</f>
        <v>pfbpf2dcx</v>
      </c>
      <c r="AM26" s="42" t="str" cm="1">
        <f t="array" ref="AM26">_xlfn.TEXTJOIN(CHAR(10), TRUE, IF(NfsExports[FMO Single VM IP]=VmSpecs[[#This Row],[IP]],NfsExports[FMO Export Summary],""))</f>
        <v>/apps/pcehr 30GB</v>
      </c>
      <c r="AN26" s="43" t="str" cm="1">
        <f t="array" ref="AN2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6" s="42"/>
      <c r="AP26" s="42" t="str">
        <f>VmSpecs[[#This Row],[Description]]</f>
        <v>OSB DCX Domain N4</v>
      </c>
      <c r="AQ26" s="43"/>
      <c r="AR26" s="43" t="s">
        <v>64</v>
      </c>
      <c r="AS26" s="43" t="s">
        <v>64</v>
      </c>
      <c r="AT26" s="43" t="s">
        <v>64</v>
      </c>
      <c r="AU26" s="43" t="s">
        <v>64</v>
      </c>
      <c r="AV26" s="42" t="s">
        <v>66</v>
      </c>
      <c r="AW26" s="42" t="s">
        <v>67</v>
      </c>
      <c r="AX26" s="42" t="s">
        <v>68</v>
      </c>
      <c r="AY26" s="42" t="s">
        <v>64</v>
      </c>
      <c r="AZ26" s="42" t="s">
        <v>64</v>
      </c>
      <c r="BA2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N4"
Application Service: "DCX"
Lifecycle: "PFB"</v>
      </c>
      <c r="BB26" s="78" t="s">
        <v>124</v>
      </c>
      <c r="BC26" s="42" t="str">
        <f>VLOOKUP(VmSpecs[[#This Row],[Original Hostname (CMO)]],'SSOT Data'!A:AJ,36,FALSE)</f>
        <v>OSB DCX Domain N4</v>
      </c>
      <c r="BD26" s="43"/>
    </row>
    <row r="27" spans="1:56" ht="29" x14ac:dyDescent="0.35">
      <c r="A27" s="42" t="s">
        <v>58</v>
      </c>
      <c r="B27" s="42" t="str">
        <f>_xlfn.XLOOKUP(VmSpecs[[#This Row],[Subnet]],NetworkReference[Subnet],NetworkReference[Subscription])</f>
        <v>NINP-PERF2</v>
      </c>
      <c r="C27" s="43" t="str">
        <f>_xlfn.XLOOKUP(VmSpecs[[#This Row],[Subnet]],NetworkReference[Subnet],NetworkReference[Virtual Network Resource Group])</f>
        <v>rg-pf2-network-aue-001</v>
      </c>
      <c r="D27" s="43" t="str">
        <f>_xlfn.XLOOKUP(VmSpecs[[#This Row],[Subnet]],NetworkReference[Subnet],NetworkReference[Virtual Network])</f>
        <v>vnet-pf2-workload-aue-001</v>
      </c>
      <c r="E27" s="132" t="s">
        <v>59</v>
      </c>
      <c r="F27" s="43" t="str">
        <f>_xlfn.XLOOKUP(VmSpecs[[#This Row],[Subnet]],NetworkReference[Subnet],NetworkReference[Virtual Network Peering])</f>
        <v>vnet-ninp-conn-pnp-hub-aue</v>
      </c>
      <c r="G27" s="43" t="str">
        <f>_xlfn.XLOOKUP(VmSpecs[[#This Row],[Subnet]],NetworkReference[Subnet],NetworkReference[Route Table])</f>
        <v>rt-sn-pfb-aue-pf2-app</v>
      </c>
      <c r="H27" s="43" t="str">
        <f>LOWER(VLOOKUP(VmSpecs[[#This Row],[Original Hostname (CMO)]],'SSOT Data'!A:K,10,FALSE))</f>
        <v>dcx</v>
      </c>
      <c r="I2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27" s="44" t="s">
        <v>99</v>
      </c>
      <c r="K27" s="43" t="str">
        <f>_xlfn.CONCAT("vm",MID(VmSpecs[[#This Row],[Subnet]],4,3),VLOOKUP(VmSpecs[[#This Row],[Subscription]],NetworkReference[#All],2,FALSE),VmSpecs[[#This Row],[Service]],VmSpecs[[#This Row],[VM iteration (nn)]])</f>
        <v>vmpfbpf2dcx07</v>
      </c>
      <c r="L27" s="45" t="s">
        <v>61</v>
      </c>
      <c r="M27" s="43" t="str">
        <f>VmSpecs[[#This Row],[VM Name]]&amp;".ninp.myhealthrecord.gov.au"</f>
        <v>vmpfbpf2dcx07.ninp.myhealthrecord.gov.au</v>
      </c>
      <c r="N27" s="42" t="str">
        <f t="shared" si="0"/>
        <v>nic-001-vmpfbpf2dcx07</v>
      </c>
      <c r="O27" s="94" t="s">
        <v>125</v>
      </c>
      <c r="P27" s="46" t="s">
        <v>63</v>
      </c>
      <c r="Q27" s="42" t="str">
        <f>VLOOKUP(VmSpecs[[#This Row],[Original Hostname (CMO)]],'SSOT Data'!A:E,5,FALSE)</f>
        <v>OEL7.9</v>
      </c>
      <c r="R27" s="42"/>
      <c r="S27" s="42" t="str">
        <f>_xlfn.CONCAT("avail-",LEFT(VmSpecs[[#This Row],[VM Name]],LEN(VmSpecs[[#This Row],[VM Name]])-2))</f>
        <v>avail-vmpfbpf2dcx</v>
      </c>
      <c r="T27" s="42" t="str">
        <f>_xlfn.CONCAT("asg-",LEFT(VmSpecs[[#This Row],[VM Name]],LEN(VmSpecs[[#This Row],[VM Name]])-2))</f>
        <v>asg-vmpfbpf2dcx</v>
      </c>
      <c r="U27" s="42" t="str">
        <f>_xlfn.CONCAT("nsg-",VmSpecs[[#This Row],[Subnet]])</f>
        <v>nsg-sn-pfb-aue-pf2-app</v>
      </c>
      <c r="V27" s="42" t="s">
        <v>64</v>
      </c>
      <c r="W27" s="43" t="str">
        <f>VLOOKUP(VmSpecs[[#This Row],[Original Hostname (CMO)]],'SSOT Data'!A:AX,50,FALSE)</f>
        <v>Standard_D8s_v4</v>
      </c>
      <c r="X27" s="43">
        <v>64</v>
      </c>
      <c r="Y27" s="43" t="s">
        <v>65</v>
      </c>
      <c r="Z27" s="43" t="str">
        <f>"osdisk-"&amp;VmSpecs[[#This Row],[VM Name]]</f>
        <v>osdisk-vmpfbpf2dcx07</v>
      </c>
      <c r="AA27" s="47" t="s">
        <v>66</v>
      </c>
      <c r="AB27" s="73">
        <v>8</v>
      </c>
      <c r="AC27" s="74" t="s">
        <v>65</v>
      </c>
      <c r="AD27" s="75" t="str">
        <f>"disk-"&amp;VmSpecs[[#This Row],[VM Name]]&amp;"-001"</f>
        <v>disk-vmpfbpf2dcx07-001</v>
      </c>
      <c r="AE27" s="73">
        <v>32</v>
      </c>
      <c r="AF27" s="74" t="s">
        <v>65</v>
      </c>
      <c r="AG27" s="43" t="str">
        <f>"disk-"&amp;VmSpecs[[#This Row],[VM Name]]&amp;"-002"</f>
        <v>disk-vmpfbpf2dcx07-002</v>
      </c>
      <c r="AH27" s="59"/>
      <c r="AI27" s="42"/>
      <c r="AJ27" s="42"/>
      <c r="AK27" s="42"/>
      <c r="AL27" s="42" t="str">
        <f>MID(VmSpecs[[#This Row],[VM Name]],3,9)</f>
        <v>pfbpf2dcx</v>
      </c>
      <c r="AM27" s="42" t="str" cm="1">
        <f t="array" ref="AM27">_xlfn.TEXTJOIN(CHAR(10), TRUE, IF(NfsExports[FMO Single VM IP]=VmSpecs[[#This Row],[IP]],NfsExports[FMO Export Summary],""))</f>
        <v>/apps/pcehr 30GB</v>
      </c>
      <c r="AN27" s="43" t="str" cm="1">
        <f t="array" ref="AN2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7" s="42"/>
      <c r="AP27" s="42" t="str">
        <f>VmSpecs[[#This Row],[Description]]</f>
        <v>OSB DCX Domain N5</v>
      </c>
      <c r="AQ27" s="43"/>
      <c r="AR27" s="43" t="s">
        <v>64</v>
      </c>
      <c r="AS27" s="43" t="s">
        <v>64</v>
      </c>
      <c r="AT27" s="43" t="s">
        <v>64</v>
      </c>
      <c r="AU27" s="43" t="s">
        <v>64</v>
      </c>
      <c r="AV27" s="42" t="s">
        <v>66</v>
      </c>
      <c r="AW27" s="42" t="s">
        <v>67</v>
      </c>
      <c r="AX27" s="42" t="s">
        <v>68</v>
      </c>
      <c r="AY27" s="42" t="s">
        <v>64</v>
      </c>
      <c r="AZ27" s="42" t="s">
        <v>64</v>
      </c>
      <c r="BA2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N5"
Application Service: "DCX"
Lifecycle: "PFB"</v>
      </c>
      <c r="BB27" s="78" t="s">
        <v>126</v>
      </c>
      <c r="BC27" s="42" t="str">
        <f>VLOOKUP(VmSpecs[[#This Row],[Original Hostname (CMO)]],'SSOT Data'!A:AJ,36,FALSE)</f>
        <v>OSB DCX Domain N5</v>
      </c>
      <c r="BD27" s="43"/>
    </row>
    <row r="28" spans="1:56" ht="29" x14ac:dyDescent="0.35">
      <c r="A28" s="42" t="s">
        <v>58</v>
      </c>
      <c r="B28" s="42" t="str">
        <f>_xlfn.XLOOKUP(VmSpecs[[#This Row],[Subnet]],NetworkReference[Subnet],NetworkReference[Subscription])</f>
        <v>NINP-PERF2</v>
      </c>
      <c r="C28" s="43" t="str">
        <f>_xlfn.XLOOKUP(VmSpecs[[#This Row],[Subnet]],NetworkReference[Subnet],NetworkReference[Virtual Network Resource Group])</f>
        <v>rg-pf2-network-aue-001</v>
      </c>
      <c r="D28" s="43" t="str">
        <f>_xlfn.XLOOKUP(VmSpecs[[#This Row],[Subnet]],NetworkReference[Subnet],NetworkReference[Virtual Network])</f>
        <v>vnet-pf2-workload-aue-001</v>
      </c>
      <c r="E28" s="132" t="s">
        <v>59</v>
      </c>
      <c r="F28" s="43" t="str">
        <f>_xlfn.XLOOKUP(VmSpecs[[#This Row],[Subnet]],NetworkReference[Subnet],NetworkReference[Virtual Network Peering])</f>
        <v>vnet-ninp-conn-pnp-hub-aue</v>
      </c>
      <c r="G28" s="43" t="str">
        <f>_xlfn.XLOOKUP(VmSpecs[[#This Row],[Subnet]],NetworkReference[Subnet],NetworkReference[Route Table])</f>
        <v>rt-sn-pfb-aue-pf2-app</v>
      </c>
      <c r="H28" s="43" t="str">
        <f>LOWER(VLOOKUP(VmSpecs[[#This Row],[Original Hostname (CMO)]],'SSOT Data'!A:K,10,FALSE))</f>
        <v>dcx</v>
      </c>
      <c r="I2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28" s="44" t="s">
        <v>102</v>
      </c>
      <c r="K28" s="43" t="str">
        <f>_xlfn.CONCAT("vm",MID(VmSpecs[[#This Row],[Subnet]],4,3),VLOOKUP(VmSpecs[[#This Row],[Subscription]],NetworkReference[#All],2,FALSE),VmSpecs[[#This Row],[Service]],VmSpecs[[#This Row],[VM iteration (nn)]])</f>
        <v>vmpfbpf2dcx08</v>
      </c>
      <c r="L28" s="45" t="s">
        <v>61</v>
      </c>
      <c r="M28" s="43" t="str">
        <f>VmSpecs[[#This Row],[VM Name]]&amp;".ninp.myhealthrecord.gov.au"</f>
        <v>vmpfbpf2dcx08.ninp.myhealthrecord.gov.au</v>
      </c>
      <c r="N28" s="42" t="str">
        <f t="shared" si="0"/>
        <v>nic-001-vmpfbpf2dcx08</v>
      </c>
      <c r="O28" s="94" t="s">
        <v>127</v>
      </c>
      <c r="P28" s="46" t="s">
        <v>63</v>
      </c>
      <c r="Q28" s="42" t="str">
        <f>VLOOKUP(VmSpecs[[#This Row],[Original Hostname (CMO)]],'SSOT Data'!A:E,5,FALSE)</f>
        <v>OEL7.9</v>
      </c>
      <c r="R28" s="42"/>
      <c r="S28" s="42" t="str">
        <f>_xlfn.CONCAT("avail-",LEFT(VmSpecs[[#This Row],[VM Name]],LEN(VmSpecs[[#This Row],[VM Name]])-2))</f>
        <v>avail-vmpfbpf2dcx</v>
      </c>
      <c r="T28" s="42" t="str">
        <f>_xlfn.CONCAT("asg-",LEFT(VmSpecs[[#This Row],[VM Name]],LEN(VmSpecs[[#This Row],[VM Name]])-2))</f>
        <v>asg-vmpfbpf2dcx</v>
      </c>
      <c r="U28" s="42" t="str">
        <f>_xlfn.CONCAT("nsg-",VmSpecs[[#This Row],[Subnet]])</f>
        <v>nsg-sn-pfb-aue-pf2-app</v>
      </c>
      <c r="V28" s="42" t="s">
        <v>64</v>
      </c>
      <c r="W28" s="43" t="str">
        <f>VLOOKUP(VmSpecs[[#This Row],[Original Hostname (CMO)]],'SSOT Data'!A:AX,50,FALSE)</f>
        <v>Standard_D8s_v4</v>
      </c>
      <c r="X28" s="43">
        <v>64</v>
      </c>
      <c r="Y28" s="43" t="s">
        <v>65</v>
      </c>
      <c r="Z28" s="43" t="str">
        <f>"osdisk-"&amp;VmSpecs[[#This Row],[VM Name]]</f>
        <v>osdisk-vmpfbpf2dcx08</v>
      </c>
      <c r="AA28" s="47" t="s">
        <v>66</v>
      </c>
      <c r="AB28" s="73">
        <v>8</v>
      </c>
      <c r="AC28" s="74" t="s">
        <v>65</v>
      </c>
      <c r="AD28" s="75" t="str">
        <f>"disk-"&amp;VmSpecs[[#This Row],[VM Name]]&amp;"-001"</f>
        <v>disk-vmpfbpf2dcx08-001</v>
      </c>
      <c r="AE28" s="73">
        <v>32</v>
      </c>
      <c r="AF28" s="74" t="s">
        <v>65</v>
      </c>
      <c r="AG28" s="43" t="str">
        <f>"disk-"&amp;VmSpecs[[#This Row],[VM Name]]&amp;"-002"</f>
        <v>disk-vmpfbpf2dcx08-002</v>
      </c>
      <c r="AH28" s="59"/>
      <c r="AI28" s="42"/>
      <c r="AJ28" s="42"/>
      <c r="AK28" s="42"/>
      <c r="AL28" s="42" t="str">
        <f>MID(VmSpecs[[#This Row],[VM Name]],3,9)</f>
        <v>pfbpf2dcx</v>
      </c>
      <c r="AM28" s="42" t="str" cm="1">
        <f t="array" ref="AM28">_xlfn.TEXTJOIN(CHAR(10), TRUE, IF(NfsExports[FMO Single VM IP]=VmSpecs[[#This Row],[IP]],NfsExports[FMO Export Summary],""))</f>
        <v>/apps/pcehr 30GB</v>
      </c>
      <c r="AN28" s="43" t="str" cm="1">
        <f t="array" ref="AN2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8" s="42"/>
      <c r="AP28" s="42" t="str">
        <f>VmSpecs[[#This Row],[Description]]</f>
        <v>OSB DCX Domain N8</v>
      </c>
      <c r="AQ28" s="43"/>
      <c r="AR28" s="43" t="s">
        <v>64</v>
      </c>
      <c r="AS28" s="43" t="s">
        <v>64</v>
      </c>
      <c r="AT28" s="43" t="s">
        <v>64</v>
      </c>
      <c r="AU28" s="43" t="s">
        <v>64</v>
      </c>
      <c r="AV28" s="42" t="s">
        <v>66</v>
      </c>
      <c r="AW28" s="42" t="s">
        <v>67</v>
      </c>
      <c r="AX28" s="42" t="s">
        <v>68</v>
      </c>
      <c r="AY28" s="42" t="s">
        <v>64</v>
      </c>
      <c r="AZ28" s="42" t="s">
        <v>64</v>
      </c>
      <c r="BA2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N8"
Application Service: "DCX"
Lifecycle: "PFB"</v>
      </c>
      <c r="BB28" s="78" t="s">
        <v>128</v>
      </c>
      <c r="BC28" s="42" t="str">
        <f>VLOOKUP(VmSpecs[[#This Row],[Original Hostname (CMO)]],'SSOT Data'!A:AJ,36,FALSE)</f>
        <v>OSB DCX Domain N8</v>
      </c>
      <c r="BD28" s="43"/>
    </row>
    <row r="29" spans="1:56" ht="29" x14ac:dyDescent="0.35">
      <c r="A29" s="42" t="s">
        <v>58</v>
      </c>
      <c r="B29" s="42" t="str">
        <f>_xlfn.XLOOKUP(VmSpecs[[#This Row],[Subnet]],NetworkReference[Subnet],NetworkReference[Subscription])</f>
        <v>NINP-PERF2</v>
      </c>
      <c r="C29" s="43" t="str">
        <f>_xlfn.XLOOKUP(VmSpecs[[#This Row],[Subnet]],NetworkReference[Subnet],NetworkReference[Virtual Network Resource Group])</f>
        <v>rg-pf2-network-aue-001</v>
      </c>
      <c r="D29" s="43" t="str">
        <f>_xlfn.XLOOKUP(VmSpecs[[#This Row],[Subnet]],NetworkReference[Subnet],NetworkReference[Virtual Network])</f>
        <v>vnet-pf2-workload-aue-001</v>
      </c>
      <c r="E29" s="132" t="s">
        <v>59</v>
      </c>
      <c r="F29" s="43" t="str">
        <f>_xlfn.XLOOKUP(VmSpecs[[#This Row],[Subnet]],NetworkReference[Subnet],NetworkReference[Virtual Network Peering])</f>
        <v>vnet-ninp-conn-pnp-hub-aue</v>
      </c>
      <c r="G29" s="43" t="str">
        <f>_xlfn.XLOOKUP(VmSpecs[[#This Row],[Subnet]],NetworkReference[Subnet],NetworkReference[Route Table])</f>
        <v>rt-sn-pfb-aue-pf2-app</v>
      </c>
      <c r="H29" s="43" t="str">
        <f>LOWER(VLOOKUP(VmSpecs[[#This Row],[Original Hostname (CMO)]],'SSOT Data'!A:K,10,FALSE))</f>
        <v>dcx</v>
      </c>
      <c r="I2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29" s="44" t="s">
        <v>129</v>
      </c>
      <c r="K29" s="43" t="str">
        <f>_xlfn.CONCAT("vm",MID(VmSpecs[[#This Row],[Subnet]],4,3),VLOOKUP(VmSpecs[[#This Row],[Subscription]],NetworkReference[#All],2,FALSE),VmSpecs[[#This Row],[Service]],VmSpecs[[#This Row],[VM iteration (nn)]])</f>
        <v>vmpfbpf2dcx09</v>
      </c>
      <c r="L29" s="45" t="s">
        <v>61</v>
      </c>
      <c r="M29" s="43" t="str">
        <f>VmSpecs[[#This Row],[VM Name]]&amp;".ninp.myhealthrecord.gov.au"</f>
        <v>vmpfbpf2dcx09.ninp.myhealthrecord.gov.au</v>
      </c>
      <c r="N29" s="42" t="str">
        <f t="shared" si="0"/>
        <v>nic-001-vmpfbpf2dcx09</v>
      </c>
      <c r="O29" s="94" t="s">
        <v>130</v>
      </c>
      <c r="P29" s="46" t="s">
        <v>63</v>
      </c>
      <c r="Q29" s="42" t="str">
        <f>VLOOKUP(VmSpecs[[#This Row],[Original Hostname (CMO)]],'SSOT Data'!A:E,5,FALSE)</f>
        <v>OEL7.9</v>
      </c>
      <c r="R29" s="42"/>
      <c r="S29" s="42" t="str">
        <f>_xlfn.CONCAT("avail-",LEFT(VmSpecs[[#This Row],[VM Name]],LEN(VmSpecs[[#This Row],[VM Name]])-2))</f>
        <v>avail-vmpfbpf2dcx</v>
      </c>
      <c r="T29" s="42" t="str">
        <f>_xlfn.CONCAT("asg-",LEFT(VmSpecs[[#This Row],[VM Name]],LEN(VmSpecs[[#This Row],[VM Name]])-2))</f>
        <v>asg-vmpfbpf2dcx</v>
      </c>
      <c r="U29" s="42" t="str">
        <f>_xlfn.CONCAT("nsg-",VmSpecs[[#This Row],[Subnet]])</f>
        <v>nsg-sn-pfb-aue-pf2-app</v>
      </c>
      <c r="V29" s="42" t="s">
        <v>64</v>
      </c>
      <c r="W29" s="43" t="str">
        <f>VLOOKUP(VmSpecs[[#This Row],[Original Hostname (CMO)]],'SSOT Data'!A:AX,50,FALSE)</f>
        <v>Standard_D8s_v4</v>
      </c>
      <c r="X29" s="43">
        <v>64</v>
      </c>
      <c r="Y29" s="43" t="s">
        <v>65</v>
      </c>
      <c r="Z29" s="43" t="str">
        <f>"osdisk-"&amp;VmSpecs[[#This Row],[VM Name]]</f>
        <v>osdisk-vmpfbpf2dcx09</v>
      </c>
      <c r="AA29" s="47" t="s">
        <v>66</v>
      </c>
      <c r="AB29" s="73">
        <v>8</v>
      </c>
      <c r="AC29" s="74" t="s">
        <v>65</v>
      </c>
      <c r="AD29" s="75" t="str">
        <f>"disk-"&amp;VmSpecs[[#This Row],[VM Name]]&amp;"-001"</f>
        <v>disk-vmpfbpf2dcx09-001</v>
      </c>
      <c r="AE29" s="73">
        <v>32</v>
      </c>
      <c r="AF29" s="74" t="s">
        <v>65</v>
      </c>
      <c r="AG29" s="43" t="str">
        <f>"disk-"&amp;VmSpecs[[#This Row],[VM Name]]&amp;"-002"</f>
        <v>disk-vmpfbpf2dcx09-002</v>
      </c>
      <c r="AH29" s="59"/>
      <c r="AI29" s="42"/>
      <c r="AJ29" s="42"/>
      <c r="AK29" s="42"/>
      <c r="AL29" s="42" t="str">
        <f>MID(VmSpecs[[#This Row],[VM Name]],3,9)</f>
        <v>pfbpf2dcx</v>
      </c>
      <c r="AM29" s="42" t="str" cm="1">
        <f t="array" ref="AM29">_xlfn.TEXTJOIN(CHAR(10), TRUE, IF(NfsExports[FMO Single VM IP]=VmSpecs[[#This Row],[IP]],NfsExports[FMO Export Summary],""))</f>
        <v>/apps/pcehr 30GB</v>
      </c>
      <c r="AN29" s="43" t="str" cm="1">
        <f t="array" ref="AN2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9" s="42"/>
      <c r="AP29" s="42" t="str">
        <f>VmSpecs[[#This Row],[Description]]</f>
        <v>OSB DCX Domain N9</v>
      </c>
      <c r="AQ29" s="43"/>
      <c r="AR29" s="43" t="s">
        <v>64</v>
      </c>
      <c r="AS29" s="43" t="s">
        <v>64</v>
      </c>
      <c r="AT29" s="43" t="s">
        <v>64</v>
      </c>
      <c r="AU29" s="43" t="s">
        <v>64</v>
      </c>
      <c r="AV29" s="42" t="s">
        <v>66</v>
      </c>
      <c r="AW29" s="42" t="s">
        <v>67</v>
      </c>
      <c r="AX29" s="42" t="s">
        <v>68</v>
      </c>
      <c r="AY29" s="42" t="s">
        <v>64</v>
      </c>
      <c r="AZ29" s="42" t="s">
        <v>64</v>
      </c>
      <c r="BA2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N9"
Application Service: "DCX"
Lifecycle: "PFB"</v>
      </c>
      <c r="BB29" s="78" t="s">
        <v>131</v>
      </c>
      <c r="BC29" s="42" t="str">
        <f>VLOOKUP(VmSpecs[[#This Row],[Original Hostname (CMO)]],'SSOT Data'!A:AJ,36,FALSE)</f>
        <v>OSB DCX Domain N9</v>
      </c>
      <c r="BD29" s="43"/>
    </row>
    <row r="30" spans="1:56" ht="29" x14ac:dyDescent="0.35">
      <c r="A30" s="42" t="s">
        <v>58</v>
      </c>
      <c r="B30" s="42" t="str">
        <f>_xlfn.XLOOKUP(VmSpecs[[#This Row],[Subnet]],NetworkReference[Subnet],NetworkReference[Subscription])</f>
        <v>NINP-PERF2</v>
      </c>
      <c r="C30" s="43" t="str">
        <f>_xlfn.XLOOKUP(VmSpecs[[#This Row],[Subnet]],NetworkReference[Subnet],NetworkReference[Virtual Network Resource Group])</f>
        <v>rg-pf2-network-aue-001</v>
      </c>
      <c r="D30" s="43" t="str">
        <f>_xlfn.XLOOKUP(VmSpecs[[#This Row],[Subnet]],NetworkReference[Subnet],NetworkReference[Virtual Network])</f>
        <v>vnet-pf2-workload-aue-001</v>
      </c>
      <c r="E30" s="132" t="s">
        <v>59</v>
      </c>
      <c r="F30" s="43" t="str">
        <f>_xlfn.XLOOKUP(VmSpecs[[#This Row],[Subnet]],NetworkReference[Subnet],NetworkReference[Virtual Network Peering])</f>
        <v>vnet-ninp-conn-pnp-hub-aue</v>
      </c>
      <c r="G30" s="43" t="str">
        <f>_xlfn.XLOOKUP(VmSpecs[[#This Row],[Subnet]],NetworkReference[Subnet],NetworkReference[Route Table])</f>
        <v>rt-sn-pfb-aue-pf2-app</v>
      </c>
      <c r="H30" s="43" t="str">
        <f>LOWER(VLOOKUP(VmSpecs[[#This Row],[Original Hostname (CMO)]],'SSOT Data'!A:K,10,FALSE))</f>
        <v>dcx</v>
      </c>
      <c r="I3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30" s="44" t="s">
        <v>132</v>
      </c>
      <c r="K30" s="43" t="str">
        <f>_xlfn.CONCAT("vm",MID(VmSpecs[[#This Row],[Subnet]],4,3),VLOOKUP(VmSpecs[[#This Row],[Subscription]],NetworkReference[#All],2,FALSE),VmSpecs[[#This Row],[Service]],VmSpecs[[#This Row],[VM iteration (nn)]])</f>
        <v>vmpfbpf2dcx10</v>
      </c>
      <c r="L30" s="45" t="s">
        <v>61</v>
      </c>
      <c r="M30" s="43" t="str">
        <f>VmSpecs[[#This Row],[VM Name]]&amp;".ninp.myhealthrecord.gov.au"</f>
        <v>vmpfbpf2dcx10.ninp.myhealthrecord.gov.au</v>
      </c>
      <c r="N30" s="42" t="str">
        <f t="shared" si="0"/>
        <v>nic-001-vmpfbpf2dcx10</v>
      </c>
      <c r="O30" s="94" t="s">
        <v>133</v>
      </c>
      <c r="P30" s="46" t="s">
        <v>63</v>
      </c>
      <c r="Q30" s="42" t="str">
        <f>VLOOKUP(VmSpecs[[#This Row],[Original Hostname (CMO)]],'SSOT Data'!A:E,5,FALSE)</f>
        <v>OEL7.9</v>
      </c>
      <c r="R30" s="42"/>
      <c r="S30" s="42" t="str">
        <f>_xlfn.CONCAT("avail-",LEFT(VmSpecs[[#This Row],[VM Name]],LEN(VmSpecs[[#This Row],[VM Name]])-2))</f>
        <v>avail-vmpfbpf2dcx</v>
      </c>
      <c r="T30" s="42" t="str">
        <f>_xlfn.CONCAT("asg-",LEFT(VmSpecs[[#This Row],[VM Name]],LEN(VmSpecs[[#This Row],[VM Name]])-2))</f>
        <v>asg-vmpfbpf2dcx</v>
      </c>
      <c r="U30" s="42" t="str">
        <f>_xlfn.CONCAT("nsg-",VmSpecs[[#This Row],[Subnet]])</f>
        <v>nsg-sn-pfb-aue-pf2-app</v>
      </c>
      <c r="V30" s="42" t="s">
        <v>64</v>
      </c>
      <c r="W30" s="43" t="str">
        <f>VLOOKUP(VmSpecs[[#This Row],[Original Hostname (CMO)]],'SSOT Data'!A:AX,50,FALSE)</f>
        <v>Standard_D8s_v4</v>
      </c>
      <c r="X30" s="43">
        <v>64</v>
      </c>
      <c r="Y30" s="43" t="s">
        <v>65</v>
      </c>
      <c r="Z30" s="43" t="str">
        <f>"osdisk-"&amp;VmSpecs[[#This Row],[VM Name]]</f>
        <v>osdisk-vmpfbpf2dcx10</v>
      </c>
      <c r="AA30" s="47" t="s">
        <v>66</v>
      </c>
      <c r="AB30" s="73">
        <v>8</v>
      </c>
      <c r="AC30" s="74" t="s">
        <v>65</v>
      </c>
      <c r="AD30" s="75" t="str">
        <f>"disk-"&amp;VmSpecs[[#This Row],[VM Name]]&amp;"-001"</f>
        <v>disk-vmpfbpf2dcx10-001</v>
      </c>
      <c r="AE30" s="73">
        <v>32</v>
      </c>
      <c r="AF30" s="74" t="s">
        <v>65</v>
      </c>
      <c r="AG30" s="43" t="str">
        <f>"disk-"&amp;VmSpecs[[#This Row],[VM Name]]&amp;"-002"</f>
        <v>disk-vmpfbpf2dcx10-002</v>
      </c>
      <c r="AH30" s="59"/>
      <c r="AI30" s="42"/>
      <c r="AJ30" s="42"/>
      <c r="AK30" s="42"/>
      <c r="AL30" s="42" t="str">
        <f>MID(VmSpecs[[#This Row],[VM Name]],3,9)</f>
        <v>pfbpf2dcx</v>
      </c>
      <c r="AM30" s="42" t="str" cm="1">
        <f t="array" ref="AM30">_xlfn.TEXTJOIN(CHAR(10), TRUE, IF(NfsExports[FMO Single VM IP]=VmSpecs[[#This Row],[IP]],NfsExports[FMO Export Summary],""))</f>
        <v>/apps/pcehr 30GB</v>
      </c>
      <c r="AN30" s="43" t="str" cm="1">
        <f t="array" ref="AN3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30" s="42"/>
      <c r="AP30" s="42" t="str">
        <f>VmSpecs[[#This Row],[Description]]</f>
        <v>OSB DCX Domain N10</v>
      </c>
      <c r="AQ30" s="43"/>
      <c r="AR30" s="43" t="s">
        <v>64</v>
      </c>
      <c r="AS30" s="43" t="s">
        <v>64</v>
      </c>
      <c r="AT30" s="43" t="s">
        <v>64</v>
      </c>
      <c r="AU30" s="43" t="s">
        <v>64</v>
      </c>
      <c r="AV30" s="42" t="s">
        <v>66</v>
      </c>
      <c r="AW30" s="42" t="s">
        <v>67</v>
      </c>
      <c r="AX30" s="42" t="s">
        <v>68</v>
      </c>
      <c r="AY30" s="42" t="s">
        <v>64</v>
      </c>
      <c r="AZ30" s="42" t="s">
        <v>64</v>
      </c>
      <c r="BA3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N10"
Application Service: "DCX"
Lifecycle: "PFB"</v>
      </c>
      <c r="BB30" s="78" t="s">
        <v>134</v>
      </c>
      <c r="BC30" s="42" t="str">
        <f>VLOOKUP(VmSpecs[[#This Row],[Original Hostname (CMO)]],'SSOT Data'!A:AJ,36,FALSE)</f>
        <v>OSB DCX Domain N10</v>
      </c>
      <c r="BD30" s="43"/>
    </row>
    <row r="31" spans="1:56" ht="29" x14ac:dyDescent="0.35">
      <c r="A31" s="42"/>
      <c r="B31" s="42" t="str">
        <f>_xlfn.XLOOKUP(VmSpecs[[#This Row],[Subnet]],NetworkReference[Subnet],NetworkReference[Subscription])</f>
        <v>NINP-PERF2</v>
      </c>
      <c r="C31" s="43" t="str">
        <f>_xlfn.XLOOKUP(VmSpecs[[#This Row],[Subnet]],NetworkReference[Subnet],NetworkReference[Virtual Network Resource Group])</f>
        <v>rg-pf2-network-aue-001</v>
      </c>
      <c r="D31" s="43" t="str">
        <f>_xlfn.XLOOKUP(VmSpecs[[#This Row],[Subnet]],NetworkReference[Subnet],NetworkReference[Virtual Network])</f>
        <v>vnet-pf2-workload-aue-001</v>
      </c>
      <c r="E31" s="132" t="s">
        <v>59</v>
      </c>
      <c r="F31" s="43" t="str">
        <f>_xlfn.XLOOKUP(VmSpecs[[#This Row],[Subnet]],NetworkReference[Subnet],NetworkReference[Virtual Network Peering])</f>
        <v>vnet-ninp-conn-pnp-hub-aue</v>
      </c>
      <c r="G31" s="43" t="str">
        <f>_xlfn.XLOOKUP(VmSpecs[[#This Row],[Subnet]],NetworkReference[Subnet],NetworkReference[Route Table])</f>
        <v>rt-sn-pfb-aue-pf2-app</v>
      </c>
      <c r="H31" s="43" t="str">
        <f>LOWER(VLOOKUP(VmSpecs[[#This Row],[Original Hostname (CMO)]],'SSOT Data'!A:K,10,FALSE))</f>
        <v>dcx</v>
      </c>
      <c r="I3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31" s="44" t="s">
        <v>135</v>
      </c>
      <c r="K31" s="43" t="str">
        <f>_xlfn.CONCAT("vm",MID(VmSpecs[[#This Row],[Subnet]],4,3),VLOOKUP(VmSpecs[[#This Row],[Subscription]],NetworkReference[#All],2,FALSE),VmSpecs[[#This Row],[Service]],VmSpecs[[#This Row],[VM iteration (nn)]])</f>
        <v>vmpfbpf2dcx11</v>
      </c>
      <c r="L31" s="45" t="s">
        <v>61</v>
      </c>
      <c r="M31" s="43" t="str">
        <f>VmSpecs[[#This Row],[VM Name]]&amp;".ninp.myhealthrecord.gov.au"</f>
        <v>vmpfbpf2dcx11.ninp.myhealthrecord.gov.au</v>
      </c>
      <c r="N31" s="42" t="str">
        <f t="shared" si="0"/>
        <v>nic-001-vmpfbpf2dcx11</v>
      </c>
      <c r="O31" s="94" t="s">
        <v>136</v>
      </c>
      <c r="P31" s="46" t="s">
        <v>63</v>
      </c>
      <c r="Q31" s="42" t="str">
        <f>VLOOKUP(VmSpecs[[#This Row],[Original Hostname (CMO)]],'SSOT Data'!A:E,5,FALSE)</f>
        <v>OEL7.9</v>
      </c>
      <c r="R31" s="42"/>
      <c r="S31" s="42" t="str">
        <f>_xlfn.CONCAT("avail-",LEFT(VmSpecs[[#This Row],[VM Name]],LEN(VmSpecs[[#This Row],[VM Name]])-2))</f>
        <v>avail-vmpfbpf2dcx</v>
      </c>
      <c r="T31" s="42" t="str">
        <f>_xlfn.CONCAT("asg-",LEFT(VmSpecs[[#This Row],[VM Name]],LEN(VmSpecs[[#This Row],[VM Name]])-2))</f>
        <v>asg-vmpfbpf2dcx</v>
      </c>
      <c r="U31" s="42" t="str">
        <f>_xlfn.CONCAT("nsg-",VmSpecs[[#This Row],[Subnet]])</f>
        <v>nsg-sn-pfb-aue-pf2-app</v>
      </c>
      <c r="V31" s="42"/>
      <c r="W31" s="43" t="str">
        <f>VLOOKUP(VmSpecs[[#This Row],[Original Hostname (CMO)]],'SSOT Data'!A:AX,50,FALSE)</f>
        <v>Standard_D8s_v4</v>
      </c>
      <c r="X31" s="43">
        <v>64</v>
      </c>
      <c r="Y31" s="43" t="s">
        <v>65</v>
      </c>
      <c r="Z31" s="43" t="str">
        <f>"osdisk-"&amp;VmSpecs[[#This Row],[VM Name]]</f>
        <v>osdisk-vmpfbpf2dcx11</v>
      </c>
      <c r="AA31" s="47" t="s">
        <v>66</v>
      </c>
      <c r="AB31" s="73">
        <v>8</v>
      </c>
      <c r="AC31" s="74" t="s">
        <v>65</v>
      </c>
      <c r="AD31" s="75" t="str">
        <f>"disk-"&amp;VmSpecs[[#This Row],[VM Name]]&amp;"-001"</f>
        <v>disk-vmpfbpf2dcx11-001</v>
      </c>
      <c r="AE31" s="73">
        <v>32</v>
      </c>
      <c r="AF31" s="74" t="s">
        <v>65</v>
      </c>
      <c r="AG31" s="43" t="str">
        <f>"disk-"&amp;VmSpecs[[#This Row],[VM Name]]&amp;"-002"</f>
        <v>disk-vmpfbpf2dcx11-002</v>
      </c>
      <c r="AH31" s="59"/>
      <c r="AI31" s="42"/>
      <c r="AJ31" s="42"/>
      <c r="AK31" s="42"/>
      <c r="AL31" s="42" t="str">
        <f>MID(VmSpecs[[#This Row],[VM Name]],3,9)</f>
        <v>pfbpf2dcx</v>
      </c>
      <c r="AM31" s="42" t="str" cm="1">
        <f t="array" ref="AM31">_xlfn.TEXTJOIN(CHAR(10), TRUE, IF(NfsExports[FMO Single VM IP]=VmSpecs[[#This Row],[IP]],NfsExports[FMO Export Summary],""))</f>
        <v>/apps/pcehr 30GB</v>
      </c>
      <c r="AN31" s="43" t="str" cm="1">
        <f t="array" ref="AN3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31" s="42"/>
      <c r="AP31" s="42" t="str">
        <f>VmSpecs[[#This Row],[Description]]</f>
        <v>OSB DCX Domain N11</v>
      </c>
      <c r="AQ31" s="43"/>
      <c r="AR31" s="43"/>
      <c r="AS31" s="43"/>
      <c r="AT31" s="43"/>
      <c r="AU31" s="43"/>
      <c r="AV31" s="42"/>
      <c r="AW31" s="42"/>
      <c r="AX31" s="42"/>
      <c r="AY31" s="42"/>
      <c r="AZ31" s="42"/>
      <c r="BA31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N11"
Application Service: "DCX"
Lifecycle: "PFB"</v>
      </c>
      <c r="BB31" s="78" t="s">
        <v>137</v>
      </c>
      <c r="BC31" s="42" t="str">
        <f>VLOOKUP(VmSpecs[[#This Row],[Original Hostname (CMO)]],'SSOT Data'!A:AJ,36,FALSE)</f>
        <v>OSB DCX Domain N11</v>
      </c>
      <c r="BD31" s="126">
        <f>VLOOKUP(VmSpecs[[#This Row],[Original Hostname (CMO)]],'SSOT Data'!A:AQ,43,FALSE)</f>
        <v>2</v>
      </c>
    </row>
    <row r="32" spans="1:56" ht="29" x14ac:dyDescent="0.35">
      <c r="A32" s="42"/>
      <c r="B32" s="42" t="str">
        <f>_xlfn.XLOOKUP(VmSpecs[[#This Row],[Subnet]],NetworkReference[Subnet],NetworkReference[Subscription])</f>
        <v>NINP-PERF2</v>
      </c>
      <c r="C32" s="43" t="str">
        <f>_xlfn.XLOOKUP(VmSpecs[[#This Row],[Subnet]],NetworkReference[Subnet],NetworkReference[Virtual Network Resource Group])</f>
        <v>rg-pf2-network-aue-001</v>
      </c>
      <c r="D32" s="43" t="str">
        <f>_xlfn.XLOOKUP(VmSpecs[[#This Row],[Subnet]],NetworkReference[Subnet],NetworkReference[Virtual Network])</f>
        <v>vnet-pf2-workload-aue-001</v>
      </c>
      <c r="E32" s="132" t="s">
        <v>59</v>
      </c>
      <c r="F32" s="43" t="str">
        <f>_xlfn.XLOOKUP(VmSpecs[[#This Row],[Subnet]],NetworkReference[Subnet],NetworkReference[Virtual Network Peering])</f>
        <v>vnet-ninp-conn-pnp-hub-aue</v>
      </c>
      <c r="G32" s="43" t="str">
        <f>_xlfn.XLOOKUP(VmSpecs[[#This Row],[Subnet]],NetworkReference[Subnet],NetworkReference[Route Table])</f>
        <v>rt-sn-pfb-aue-pf2-app</v>
      </c>
      <c r="H32" s="43" t="str">
        <f>LOWER(VLOOKUP(VmSpecs[[#This Row],[Original Hostname (CMO)]],'SSOT Data'!A:K,10,FALSE))</f>
        <v>dcx</v>
      </c>
      <c r="I3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32" s="44" t="s">
        <v>138</v>
      </c>
      <c r="K32" s="43" t="str">
        <f>_xlfn.CONCAT("vm",MID(VmSpecs[[#This Row],[Subnet]],4,3),VLOOKUP(VmSpecs[[#This Row],[Subscription]],NetworkReference[#All],2,FALSE),VmSpecs[[#This Row],[Service]],VmSpecs[[#This Row],[VM iteration (nn)]])</f>
        <v>vmpfbpf2dcx12</v>
      </c>
      <c r="L32" s="45" t="s">
        <v>61</v>
      </c>
      <c r="M32" s="43" t="str">
        <f>VmSpecs[[#This Row],[VM Name]]&amp;".ninp.myhealthrecord.gov.au"</f>
        <v>vmpfbpf2dcx12.ninp.myhealthrecord.gov.au</v>
      </c>
      <c r="N32" s="42" t="str">
        <f t="shared" si="0"/>
        <v>nic-001-vmpfbpf2dcx12</v>
      </c>
      <c r="O32" s="94" t="s">
        <v>139</v>
      </c>
      <c r="P32" s="46" t="s">
        <v>63</v>
      </c>
      <c r="Q32" s="42" t="str">
        <f>VLOOKUP(VmSpecs[[#This Row],[Original Hostname (CMO)]],'SSOT Data'!A:E,5,FALSE)</f>
        <v>OEL7.9</v>
      </c>
      <c r="R32" s="42"/>
      <c r="S32" s="42" t="str">
        <f>_xlfn.CONCAT("avail-",LEFT(VmSpecs[[#This Row],[VM Name]],LEN(VmSpecs[[#This Row],[VM Name]])-2))</f>
        <v>avail-vmpfbpf2dcx</v>
      </c>
      <c r="T32" s="42" t="str">
        <f>_xlfn.CONCAT("asg-",LEFT(VmSpecs[[#This Row],[VM Name]],LEN(VmSpecs[[#This Row],[VM Name]])-2))</f>
        <v>asg-vmpfbpf2dcx</v>
      </c>
      <c r="U32" s="42" t="str">
        <f>_xlfn.CONCAT("nsg-",VmSpecs[[#This Row],[Subnet]])</f>
        <v>nsg-sn-pfb-aue-pf2-app</v>
      </c>
      <c r="V32" s="42"/>
      <c r="W32" s="43" t="str">
        <f>VLOOKUP(VmSpecs[[#This Row],[Original Hostname (CMO)]],'SSOT Data'!A:AX,50,FALSE)</f>
        <v>Standard_D8s_v4</v>
      </c>
      <c r="X32" s="43">
        <v>64</v>
      </c>
      <c r="Y32" s="43" t="s">
        <v>65</v>
      </c>
      <c r="Z32" s="43" t="str">
        <f>"osdisk-"&amp;VmSpecs[[#This Row],[VM Name]]</f>
        <v>osdisk-vmpfbpf2dcx12</v>
      </c>
      <c r="AA32" s="47" t="s">
        <v>66</v>
      </c>
      <c r="AB32" s="73">
        <v>8</v>
      </c>
      <c r="AC32" s="74" t="s">
        <v>65</v>
      </c>
      <c r="AD32" s="75" t="str">
        <f>"disk-"&amp;VmSpecs[[#This Row],[VM Name]]&amp;"-001"</f>
        <v>disk-vmpfbpf2dcx12-001</v>
      </c>
      <c r="AE32" s="73">
        <v>32</v>
      </c>
      <c r="AF32" s="74" t="s">
        <v>65</v>
      </c>
      <c r="AG32" s="43" t="str">
        <f>"disk-"&amp;VmSpecs[[#This Row],[VM Name]]&amp;"-002"</f>
        <v>disk-vmpfbpf2dcx12-002</v>
      </c>
      <c r="AH32" s="59"/>
      <c r="AI32" s="42"/>
      <c r="AJ32" s="42"/>
      <c r="AK32" s="42"/>
      <c r="AL32" s="42" t="str">
        <f>MID(VmSpecs[[#This Row],[VM Name]],3,9)</f>
        <v>pfbpf2dcx</v>
      </c>
      <c r="AM32" s="42" t="str" cm="1">
        <f t="array" ref="AM32">_xlfn.TEXTJOIN(CHAR(10), TRUE, IF(NfsExports[FMO Single VM IP]=VmSpecs[[#This Row],[IP]],NfsExports[FMO Export Summary],""))</f>
        <v>/apps/pcehr 30GB</v>
      </c>
      <c r="AN32" s="43" t="str" cm="1">
        <f t="array" ref="AN3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32" s="42"/>
      <c r="AP32" s="42" t="str">
        <f>VmSpecs[[#This Row],[Description]]</f>
        <v>OSB DCX Domain N12</v>
      </c>
      <c r="AQ32" s="43"/>
      <c r="AR32" s="43"/>
      <c r="AS32" s="43"/>
      <c r="AT32" s="43"/>
      <c r="AU32" s="43"/>
      <c r="AV32" s="42"/>
      <c r="AW32" s="42"/>
      <c r="AX32" s="42"/>
      <c r="AY32" s="42"/>
      <c r="AZ32" s="42"/>
      <c r="BA32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N12"
Application Service: "DCX"
Lifecycle: "PFB"</v>
      </c>
      <c r="BB32" s="78" t="s">
        <v>140</v>
      </c>
      <c r="BC32" s="42" t="str">
        <f>VLOOKUP(VmSpecs[[#This Row],[Original Hostname (CMO)]],'SSOT Data'!A:AJ,36,FALSE)</f>
        <v>OSB DCX Domain N12</v>
      </c>
      <c r="BD32" s="126">
        <f>VLOOKUP(VmSpecs[[#This Row],[Original Hostname (CMO)]],'SSOT Data'!A:AQ,43,FALSE)</f>
        <v>2</v>
      </c>
    </row>
    <row r="33" spans="1:56" ht="29" x14ac:dyDescent="0.35">
      <c r="A33" s="42"/>
      <c r="B33" s="42" t="str">
        <f>_xlfn.XLOOKUP(VmSpecs[[#This Row],[Subnet]],NetworkReference[Subnet],NetworkReference[Subscription])</f>
        <v>NINP-PERF2</v>
      </c>
      <c r="C33" s="43" t="str">
        <f>_xlfn.XLOOKUP(VmSpecs[[#This Row],[Subnet]],NetworkReference[Subnet],NetworkReference[Virtual Network Resource Group])</f>
        <v>rg-pf2-network-aue-001</v>
      </c>
      <c r="D33" s="43" t="str">
        <f>_xlfn.XLOOKUP(VmSpecs[[#This Row],[Subnet]],NetworkReference[Subnet],NetworkReference[Virtual Network])</f>
        <v>vnet-pf2-workload-aue-001</v>
      </c>
      <c r="E33" s="132" t="s">
        <v>59</v>
      </c>
      <c r="F33" s="43" t="str">
        <f>_xlfn.XLOOKUP(VmSpecs[[#This Row],[Subnet]],NetworkReference[Subnet],NetworkReference[Virtual Network Peering])</f>
        <v>vnet-ninp-conn-pnp-hub-aue</v>
      </c>
      <c r="G33" s="43" t="str">
        <f>_xlfn.XLOOKUP(VmSpecs[[#This Row],[Subnet]],NetworkReference[Subnet],NetworkReference[Route Table])</f>
        <v>rt-sn-pfb-aue-pf2-app</v>
      </c>
      <c r="H33" s="43" t="str">
        <f>LOWER(VLOOKUP(VmSpecs[[#This Row],[Original Hostname (CMO)]],'SSOT Data'!A:K,10,FALSE))</f>
        <v>dcx</v>
      </c>
      <c r="I3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33" s="44" t="s">
        <v>141</v>
      </c>
      <c r="K33" s="43" t="str">
        <f>_xlfn.CONCAT("vm",MID(VmSpecs[[#This Row],[Subnet]],4,3),VLOOKUP(VmSpecs[[#This Row],[Subscription]],NetworkReference[#All],2,FALSE),VmSpecs[[#This Row],[Service]],VmSpecs[[#This Row],[VM iteration (nn)]])</f>
        <v>vmpfbpf2dcx13</v>
      </c>
      <c r="L33" s="45" t="s">
        <v>61</v>
      </c>
      <c r="M33" s="43" t="str">
        <f>VmSpecs[[#This Row],[VM Name]]&amp;".ninp.myhealthrecord.gov.au"</f>
        <v>vmpfbpf2dcx13.ninp.myhealthrecord.gov.au</v>
      </c>
      <c r="N33" s="42" t="str">
        <f t="shared" si="0"/>
        <v>nic-001-vmpfbpf2dcx13</v>
      </c>
      <c r="O33" s="94" t="s">
        <v>142</v>
      </c>
      <c r="P33" s="46" t="s">
        <v>63</v>
      </c>
      <c r="Q33" s="42" t="str">
        <f>VLOOKUP(VmSpecs[[#This Row],[Original Hostname (CMO)]],'SSOT Data'!A:E,5,FALSE)</f>
        <v>OEL7.9</v>
      </c>
      <c r="R33" s="42"/>
      <c r="S33" s="42" t="str">
        <f>_xlfn.CONCAT("avail-",LEFT(VmSpecs[[#This Row],[VM Name]],LEN(VmSpecs[[#This Row],[VM Name]])-2))</f>
        <v>avail-vmpfbpf2dcx</v>
      </c>
      <c r="T33" s="42" t="str">
        <f>_xlfn.CONCAT("asg-",LEFT(VmSpecs[[#This Row],[VM Name]],LEN(VmSpecs[[#This Row],[VM Name]])-2))</f>
        <v>asg-vmpfbpf2dcx</v>
      </c>
      <c r="U33" s="42" t="str">
        <f>_xlfn.CONCAT("nsg-",VmSpecs[[#This Row],[Subnet]])</f>
        <v>nsg-sn-pfb-aue-pf2-app</v>
      </c>
      <c r="V33" s="42"/>
      <c r="W33" s="43" t="str">
        <f>VLOOKUP(VmSpecs[[#This Row],[Original Hostname (CMO)]],'SSOT Data'!A:AX,50,FALSE)</f>
        <v>Standard_D8s_v4</v>
      </c>
      <c r="X33" s="43">
        <v>64</v>
      </c>
      <c r="Y33" s="43" t="s">
        <v>65</v>
      </c>
      <c r="Z33" s="43" t="str">
        <f>"osdisk-"&amp;VmSpecs[[#This Row],[VM Name]]</f>
        <v>osdisk-vmpfbpf2dcx13</v>
      </c>
      <c r="AA33" s="47" t="s">
        <v>66</v>
      </c>
      <c r="AB33" s="73">
        <v>8</v>
      </c>
      <c r="AC33" s="74" t="s">
        <v>65</v>
      </c>
      <c r="AD33" s="75" t="str">
        <f>"disk-"&amp;VmSpecs[[#This Row],[VM Name]]&amp;"-001"</f>
        <v>disk-vmpfbpf2dcx13-001</v>
      </c>
      <c r="AE33" s="73">
        <v>32</v>
      </c>
      <c r="AF33" s="74" t="s">
        <v>65</v>
      </c>
      <c r="AG33" s="43" t="str">
        <f>"disk-"&amp;VmSpecs[[#This Row],[VM Name]]&amp;"-002"</f>
        <v>disk-vmpfbpf2dcx13-002</v>
      </c>
      <c r="AH33" s="59"/>
      <c r="AI33" s="42"/>
      <c r="AJ33" s="42"/>
      <c r="AK33" s="42"/>
      <c r="AL33" s="42" t="str">
        <f>MID(VmSpecs[[#This Row],[VM Name]],3,9)</f>
        <v>pfbpf2dcx</v>
      </c>
      <c r="AM33" s="42" t="str" cm="1">
        <f t="array" ref="AM33">_xlfn.TEXTJOIN(CHAR(10), TRUE, IF(NfsExports[FMO Single VM IP]=VmSpecs[[#This Row],[IP]],NfsExports[FMO Export Summary],""))</f>
        <v>/apps/pcehr 30GB</v>
      </c>
      <c r="AN33" s="43" t="str" cm="1">
        <f t="array" ref="AN3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33" s="42"/>
      <c r="AP33" s="42" t="str">
        <f>VmSpecs[[#This Row],[Description]]</f>
        <v>OSB DCX Domain N13</v>
      </c>
      <c r="AQ33" s="43"/>
      <c r="AR33" s="43"/>
      <c r="AS33" s="43"/>
      <c r="AT33" s="43"/>
      <c r="AU33" s="43"/>
      <c r="AV33" s="42"/>
      <c r="AW33" s="42"/>
      <c r="AX33" s="42"/>
      <c r="AY33" s="42"/>
      <c r="AZ33" s="42"/>
      <c r="BA33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N13"
Application Service: "DCX"
Lifecycle: "PFB"</v>
      </c>
      <c r="BB33" s="78" t="s">
        <v>143</v>
      </c>
      <c r="BC33" s="42" t="str">
        <f>VLOOKUP(VmSpecs[[#This Row],[Original Hostname (CMO)]],'SSOT Data'!A:AJ,36,FALSE)</f>
        <v>OSB DCX Domain N13</v>
      </c>
      <c r="BD33" s="126">
        <f>VLOOKUP(VmSpecs[[#This Row],[Original Hostname (CMO)]],'SSOT Data'!A:AQ,43,FALSE)</f>
        <v>2</v>
      </c>
    </row>
    <row r="34" spans="1:56" ht="29" x14ac:dyDescent="0.35">
      <c r="A34" s="42"/>
      <c r="B34" s="42" t="str">
        <f>_xlfn.XLOOKUP(VmSpecs[[#This Row],[Subnet]],NetworkReference[Subnet],NetworkReference[Subscription])</f>
        <v>NINP-PERF2</v>
      </c>
      <c r="C34" s="43" t="str">
        <f>_xlfn.XLOOKUP(VmSpecs[[#This Row],[Subnet]],NetworkReference[Subnet],NetworkReference[Virtual Network Resource Group])</f>
        <v>rg-pf2-network-aue-001</v>
      </c>
      <c r="D34" s="43" t="str">
        <f>_xlfn.XLOOKUP(VmSpecs[[#This Row],[Subnet]],NetworkReference[Subnet],NetworkReference[Virtual Network])</f>
        <v>vnet-pf2-workload-aue-001</v>
      </c>
      <c r="E34" s="132" t="s">
        <v>59</v>
      </c>
      <c r="F34" s="43" t="str">
        <f>_xlfn.XLOOKUP(VmSpecs[[#This Row],[Subnet]],NetworkReference[Subnet],NetworkReference[Virtual Network Peering])</f>
        <v>vnet-ninp-conn-pnp-hub-aue</v>
      </c>
      <c r="G34" s="43" t="str">
        <f>_xlfn.XLOOKUP(VmSpecs[[#This Row],[Subnet]],NetworkReference[Subnet],NetworkReference[Route Table])</f>
        <v>rt-sn-pfb-aue-pf2-app</v>
      </c>
      <c r="H34" s="43" t="str">
        <f>LOWER(VLOOKUP(VmSpecs[[#This Row],[Original Hostname (CMO)]],'SSOT Data'!A:K,10,FALSE))</f>
        <v>dcx</v>
      </c>
      <c r="I3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34" s="44" t="s">
        <v>144</v>
      </c>
      <c r="K34" s="43" t="str">
        <f>_xlfn.CONCAT("vm",MID(VmSpecs[[#This Row],[Subnet]],4,3),VLOOKUP(VmSpecs[[#This Row],[Subscription]],NetworkReference[#All],2,FALSE),VmSpecs[[#This Row],[Service]],VmSpecs[[#This Row],[VM iteration (nn)]])</f>
        <v>vmpfbpf2dcx14</v>
      </c>
      <c r="L34" s="45" t="s">
        <v>61</v>
      </c>
      <c r="M34" s="43" t="str">
        <f>VmSpecs[[#This Row],[VM Name]]&amp;".ninp.myhealthrecord.gov.au"</f>
        <v>vmpfbpf2dcx14.ninp.myhealthrecord.gov.au</v>
      </c>
      <c r="N34" s="42" t="str">
        <f t="shared" si="0"/>
        <v>nic-001-vmpfbpf2dcx14</v>
      </c>
      <c r="O34" s="94" t="s">
        <v>145</v>
      </c>
      <c r="P34" s="46" t="s">
        <v>63</v>
      </c>
      <c r="Q34" s="42" t="str">
        <f>VLOOKUP(VmSpecs[[#This Row],[Original Hostname (CMO)]],'SSOT Data'!A:E,5,FALSE)</f>
        <v>OEL7.9</v>
      </c>
      <c r="R34" s="42"/>
      <c r="S34" s="42" t="str">
        <f>_xlfn.CONCAT("avail-",LEFT(VmSpecs[[#This Row],[VM Name]],LEN(VmSpecs[[#This Row],[VM Name]])-2))</f>
        <v>avail-vmpfbpf2dcx</v>
      </c>
      <c r="T34" s="42" t="str">
        <f>_xlfn.CONCAT("asg-",LEFT(VmSpecs[[#This Row],[VM Name]],LEN(VmSpecs[[#This Row],[VM Name]])-2))</f>
        <v>asg-vmpfbpf2dcx</v>
      </c>
      <c r="U34" s="42" t="str">
        <f>_xlfn.CONCAT("nsg-",VmSpecs[[#This Row],[Subnet]])</f>
        <v>nsg-sn-pfb-aue-pf2-app</v>
      </c>
      <c r="V34" s="42"/>
      <c r="W34" s="43" t="str">
        <f>VLOOKUP(VmSpecs[[#This Row],[Original Hostname (CMO)]],'SSOT Data'!A:AX,50,FALSE)</f>
        <v>Standard_D8s_v4</v>
      </c>
      <c r="X34" s="43">
        <v>64</v>
      </c>
      <c r="Y34" s="43" t="s">
        <v>65</v>
      </c>
      <c r="Z34" s="43" t="str">
        <f>"osdisk-"&amp;VmSpecs[[#This Row],[VM Name]]</f>
        <v>osdisk-vmpfbpf2dcx14</v>
      </c>
      <c r="AA34" s="47" t="s">
        <v>66</v>
      </c>
      <c r="AB34" s="73">
        <v>8</v>
      </c>
      <c r="AC34" s="74" t="s">
        <v>65</v>
      </c>
      <c r="AD34" s="75" t="str">
        <f>"disk-"&amp;VmSpecs[[#This Row],[VM Name]]&amp;"-001"</f>
        <v>disk-vmpfbpf2dcx14-001</v>
      </c>
      <c r="AE34" s="73">
        <v>32</v>
      </c>
      <c r="AF34" s="74" t="s">
        <v>65</v>
      </c>
      <c r="AG34" s="43" t="str">
        <f>"disk-"&amp;VmSpecs[[#This Row],[VM Name]]&amp;"-002"</f>
        <v>disk-vmpfbpf2dcx14-002</v>
      </c>
      <c r="AH34" s="59"/>
      <c r="AI34" s="42"/>
      <c r="AJ34" s="42"/>
      <c r="AK34" s="42"/>
      <c r="AL34" s="42" t="str">
        <f>MID(VmSpecs[[#This Row],[VM Name]],3,9)</f>
        <v>pfbpf2dcx</v>
      </c>
      <c r="AM34" s="42" t="str" cm="1">
        <f t="array" ref="AM34">_xlfn.TEXTJOIN(CHAR(10), TRUE, IF(NfsExports[FMO Single VM IP]=VmSpecs[[#This Row],[IP]],NfsExports[FMO Export Summary],""))</f>
        <v>/apps/pcehr 30GB</v>
      </c>
      <c r="AN34" s="43" t="str" cm="1">
        <f t="array" ref="AN3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34" s="42"/>
      <c r="AP34" s="42" t="str">
        <f>VmSpecs[[#This Row],[Description]]</f>
        <v>OSB DCX Domain N14</v>
      </c>
      <c r="AQ34" s="43"/>
      <c r="AR34" s="43"/>
      <c r="AS34" s="43"/>
      <c r="AT34" s="43"/>
      <c r="AU34" s="43"/>
      <c r="AV34" s="42"/>
      <c r="AW34" s="42"/>
      <c r="AX34" s="42"/>
      <c r="AY34" s="42"/>
      <c r="AZ34" s="42"/>
      <c r="BA34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N14"
Application Service: "DCX"
Lifecycle: "PFB"</v>
      </c>
      <c r="BB34" s="78" t="s">
        <v>146</v>
      </c>
      <c r="BC34" s="42" t="str">
        <f>VLOOKUP(VmSpecs[[#This Row],[Original Hostname (CMO)]],'SSOT Data'!A:AJ,36,FALSE)</f>
        <v>OSB DCX Domain N14</v>
      </c>
      <c r="BD34" s="126">
        <f>VLOOKUP(VmSpecs[[#This Row],[Original Hostname (CMO)]],'SSOT Data'!A:AQ,43,FALSE)</f>
        <v>2</v>
      </c>
    </row>
    <row r="35" spans="1:56" ht="29" x14ac:dyDescent="0.35">
      <c r="A35" s="42"/>
      <c r="B35" s="42" t="str">
        <f>_xlfn.XLOOKUP(VmSpecs[[#This Row],[Subnet]],NetworkReference[Subnet],NetworkReference[Subscription])</f>
        <v>NINP-PERF2</v>
      </c>
      <c r="C35" s="43" t="str">
        <f>_xlfn.XLOOKUP(VmSpecs[[#This Row],[Subnet]],NetworkReference[Subnet],NetworkReference[Virtual Network Resource Group])</f>
        <v>rg-pf2-network-aue-001</v>
      </c>
      <c r="D35" s="43" t="str">
        <f>_xlfn.XLOOKUP(VmSpecs[[#This Row],[Subnet]],NetworkReference[Subnet],NetworkReference[Virtual Network])</f>
        <v>vnet-pf2-workload-aue-001</v>
      </c>
      <c r="E35" s="132" t="s">
        <v>59</v>
      </c>
      <c r="F35" s="43" t="str">
        <f>_xlfn.XLOOKUP(VmSpecs[[#This Row],[Subnet]],NetworkReference[Subnet],NetworkReference[Virtual Network Peering])</f>
        <v>vnet-ninp-conn-pnp-hub-aue</v>
      </c>
      <c r="G35" s="43" t="str">
        <f>_xlfn.XLOOKUP(VmSpecs[[#This Row],[Subnet]],NetworkReference[Subnet],NetworkReference[Route Table])</f>
        <v>rt-sn-pfb-aue-pf2-app</v>
      </c>
      <c r="H35" s="43" t="str">
        <f>LOWER(VLOOKUP(VmSpecs[[#This Row],[Original Hostname (CMO)]],'SSOT Data'!A:K,10,FALSE))</f>
        <v>dcx</v>
      </c>
      <c r="I3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35" s="44" t="s">
        <v>147</v>
      </c>
      <c r="K35" s="43" t="str">
        <f>_xlfn.CONCAT("vm",MID(VmSpecs[[#This Row],[Subnet]],4,3),VLOOKUP(VmSpecs[[#This Row],[Subscription]],NetworkReference[#All],2,FALSE),VmSpecs[[#This Row],[Service]],VmSpecs[[#This Row],[VM iteration (nn)]])</f>
        <v>vmpfbpf2dcx15</v>
      </c>
      <c r="L35" s="45" t="s">
        <v>61</v>
      </c>
      <c r="M35" s="43" t="str">
        <f>VmSpecs[[#This Row],[VM Name]]&amp;".ninp.myhealthrecord.gov.au"</f>
        <v>vmpfbpf2dcx15.ninp.myhealthrecord.gov.au</v>
      </c>
      <c r="N35" s="42" t="str">
        <f t="shared" si="0"/>
        <v>nic-001-vmpfbpf2dcx15</v>
      </c>
      <c r="O35" s="94" t="s">
        <v>148</v>
      </c>
      <c r="P35" s="46" t="s">
        <v>63</v>
      </c>
      <c r="Q35" s="42" t="str">
        <f>VLOOKUP(VmSpecs[[#This Row],[Original Hostname (CMO)]],'SSOT Data'!A:E,5,FALSE)</f>
        <v>OEL7.9</v>
      </c>
      <c r="R35" s="42"/>
      <c r="S35" s="42" t="str">
        <f>_xlfn.CONCAT("avail-",LEFT(VmSpecs[[#This Row],[VM Name]],LEN(VmSpecs[[#This Row],[VM Name]])-2))</f>
        <v>avail-vmpfbpf2dcx</v>
      </c>
      <c r="T35" s="42" t="str">
        <f>_xlfn.CONCAT("asg-",LEFT(VmSpecs[[#This Row],[VM Name]],LEN(VmSpecs[[#This Row],[VM Name]])-2))</f>
        <v>asg-vmpfbpf2dcx</v>
      </c>
      <c r="U35" s="42" t="str">
        <f>_xlfn.CONCAT("nsg-",VmSpecs[[#This Row],[Subnet]])</f>
        <v>nsg-sn-pfb-aue-pf2-app</v>
      </c>
      <c r="V35" s="42"/>
      <c r="W35" s="43" t="str">
        <f>VLOOKUP(VmSpecs[[#This Row],[Original Hostname (CMO)]],'SSOT Data'!A:AX,50,FALSE)</f>
        <v>Standard_D8s_v4</v>
      </c>
      <c r="X35" s="43">
        <v>64</v>
      </c>
      <c r="Y35" s="43" t="s">
        <v>65</v>
      </c>
      <c r="Z35" s="43" t="str">
        <f>"osdisk-"&amp;VmSpecs[[#This Row],[VM Name]]</f>
        <v>osdisk-vmpfbpf2dcx15</v>
      </c>
      <c r="AA35" s="47" t="s">
        <v>66</v>
      </c>
      <c r="AB35" s="73">
        <v>8</v>
      </c>
      <c r="AC35" s="74" t="s">
        <v>65</v>
      </c>
      <c r="AD35" s="75" t="str">
        <f>"disk-"&amp;VmSpecs[[#This Row],[VM Name]]&amp;"-001"</f>
        <v>disk-vmpfbpf2dcx15-001</v>
      </c>
      <c r="AE35" s="73">
        <v>32</v>
      </c>
      <c r="AF35" s="74" t="s">
        <v>65</v>
      </c>
      <c r="AG35" s="43" t="str">
        <f>"disk-"&amp;VmSpecs[[#This Row],[VM Name]]&amp;"-002"</f>
        <v>disk-vmpfbpf2dcx15-002</v>
      </c>
      <c r="AH35" s="59"/>
      <c r="AI35" s="42"/>
      <c r="AJ35" s="42"/>
      <c r="AK35" s="42"/>
      <c r="AL35" s="42" t="str">
        <f>MID(VmSpecs[[#This Row],[VM Name]],3,9)</f>
        <v>pfbpf2dcx</v>
      </c>
      <c r="AM35" s="42" t="str" cm="1">
        <f t="array" ref="AM35">_xlfn.TEXTJOIN(CHAR(10), TRUE, IF(NfsExports[FMO Single VM IP]=VmSpecs[[#This Row],[IP]],NfsExports[FMO Export Summary],""))</f>
        <v>/apps/pcehr 30GB</v>
      </c>
      <c r="AN35" s="43" t="str" cm="1">
        <f t="array" ref="AN3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35" s="42"/>
      <c r="AP35" s="42" t="str">
        <f>VmSpecs[[#This Row],[Description]]</f>
        <v>OSB DCX Domain N15</v>
      </c>
      <c r="AQ35" s="43"/>
      <c r="AR35" s="43"/>
      <c r="AS35" s="43"/>
      <c r="AT35" s="43"/>
      <c r="AU35" s="43"/>
      <c r="AV35" s="42"/>
      <c r="AW35" s="42"/>
      <c r="AX35" s="42"/>
      <c r="AY35" s="42"/>
      <c r="AZ35" s="42"/>
      <c r="BA35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N15"
Application Service: "DCX"
Lifecycle: "PFB"</v>
      </c>
      <c r="BB35" s="78" t="s">
        <v>149</v>
      </c>
      <c r="BC35" s="42" t="str">
        <f>VLOOKUP(VmSpecs[[#This Row],[Original Hostname (CMO)]],'SSOT Data'!A:AJ,36,FALSE)</f>
        <v>OSB DCX Domain N15</v>
      </c>
      <c r="BD35" s="126">
        <f>VLOOKUP(VmSpecs[[#This Row],[Original Hostname (CMO)]],'SSOT Data'!A:AQ,43,FALSE)</f>
        <v>2</v>
      </c>
    </row>
    <row r="36" spans="1:56" ht="29" x14ac:dyDescent="0.35">
      <c r="A36" s="42"/>
      <c r="B36" s="42" t="str">
        <f>_xlfn.XLOOKUP(VmSpecs[[#This Row],[Subnet]],NetworkReference[Subnet],NetworkReference[Subscription])</f>
        <v>NINP-PERF2</v>
      </c>
      <c r="C36" s="43" t="str">
        <f>_xlfn.XLOOKUP(VmSpecs[[#This Row],[Subnet]],NetworkReference[Subnet],NetworkReference[Virtual Network Resource Group])</f>
        <v>rg-pf2-network-aue-001</v>
      </c>
      <c r="D36" s="43" t="str">
        <f>_xlfn.XLOOKUP(VmSpecs[[#This Row],[Subnet]],NetworkReference[Subnet],NetworkReference[Virtual Network])</f>
        <v>vnet-pf2-workload-aue-001</v>
      </c>
      <c r="E36" s="132" t="s">
        <v>59</v>
      </c>
      <c r="F36" s="43" t="str">
        <f>_xlfn.XLOOKUP(VmSpecs[[#This Row],[Subnet]],NetworkReference[Subnet],NetworkReference[Virtual Network Peering])</f>
        <v>vnet-ninp-conn-pnp-hub-aue</v>
      </c>
      <c r="G36" s="43" t="str">
        <f>_xlfn.XLOOKUP(VmSpecs[[#This Row],[Subnet]],NetworkReference[Subnet],NetworkReference[Route Table])</f>
        <v>rt-sn-pfb-aue-pf2-app</v>
      </c>
      <c r="H36" s="43" t="str">
        <f>LOWER(VLOOKUP(VmSpecs[[#This Row],[Original Hostname (CMO)]],'SSOT Data'!A:K,10,FALSE))</f>
        <v>dcx</v>
      </c>
      <c r="I3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36" s="44" t="s">
        <v>150</v>
      </c>
      <c r="K36" s="43" t="str">
        <f>_xlfn.CONCAT("vm",MID(VmSpecs[[#This Row],[Subnet]],4,3),VLOOKUP(VmSpecs[[#This Row],[Subscription]],NetworkReference[#All],2,FALSE),VmSpecs[[#This Row],[Service]],VmSpecs[[#This Row],[VM iteration (nn)]])</f>
        <v>vmpfbpf2dcx16</v>
      </c>
      <c r="L36" s="45" t="s">
        <v>61</v>
      </c>
      <c r="M36" s="43" t="str">
        <f>VmSpecs[[#This Row],[VM Name]]&amp;".ninp.myhealthrecord.gov.au"</f>
        <v>vmpfbpf2dcx16.ninp.myhealthrecord.gov.au</v>
      </c>
      <c r="N36" s="42" t="str">
        <f t="shared" si="0"/>
        <v>nic-001-vmpfbpf2dcx16</v>
      </c>
      <c r="O36" s="94" t="s">
        <v>151</v>
      </c>
      <c r="P36" s="46" t="s">
        <v>63</v>
      </c>
      <c r="Q36" s="42" t="str">
        <f>VLOOKUP(VmSpecs[[#This Row],[Original Hostname (CMO)]],'SSOT Data'!A:E,5,FALSE)</f>
        <v>OEL7.9</v>
      </c>
      <c r="R36" s="42"/>
      <c r="S36" s="42" t="str">
        <f>_xlfn.CONCAT("avail-",LEFT(VmSpecs[[#This Row],[VM Name]],LEN(VmSpecs[[#This Row],[VM Name]])-2))</f>
        <v>avail-vmpfbpf2dcx</v>
      </c>
      <c r="T36" s="42" t="str">
        <f>_xlfn.CONCAT("asg-",LEFT(VmSpecs[[#This Row],[VM Name]],LEN(VmSpecs[[#This Row],[VM Name]])-2))</f>
        <v>asg-vmpfbpf2dcx</v>
      </c>
      <c r="U36" s="42" t="str">
        <f>_xlfn.CONCAT("nsg-",VmSpecs[[#This Row],[Subnet]])</f>
        <v>nsg-sn-pfb-aue-pf2-app</v>
      </c>
      <c r="V36" s="42"/>
      <c r="W36" s="43" t="str">
        <f>VLOOKUP(VmSpecs[[#This Row],[Original Hostname (CMO)]],'SSOT Data'!A:AX,50,FALSE)</f>
        <v>Standard_D8s_v4</v>
      </c>
      <c r="X36" s="43">
        <v>64</v>
      </c>
      <c r="Y36" s="43" t="s">
        <v>65</v>
      </c>
      <c r="Z36" s="43" t="str">
        <f>"osdisk-"&amp;VmSpecs[[#This Row],[VM Name]]</f>
        <v>osdisk-vmpfbpf2dcx16</v>
      </c>
      <c r="AA36" s="47" t="s">
        <v>66</v>
      </c>
      <c r="AB36" s="73">
        <v>8</v>
      </c>
      <c r="AC36" s="74" t="s">
        <v>65</v>
      </c>
      <c r="AD36" s="75" t="str">
        <f>"disk-"&amp;VmSpecs[[#This Row],[VM Name]]&amp;"-001"</f>
        <v>disk-vmpfbpf2dcx16-001</v>
      </c>
      <c r="AE36" s="73">
        <v>32</v>
      </c>
      <c r="AF36" s="74" t="s">
        <v>65</v>
      </c>
      <c r="AG36" s="43" t="str">
        <f>"disk-"&amp;VmSpecs[[#This Row],[VM Name]]&amp;"-002"</f>
        <v>disk-vmpfbpf2dcx16-002</v>
      </c>
      <c r="AH36" s="59"/>
      <c r="AI36" s="42"/>
      <c r="AJ36" s="42"/>
      <c r="AK36" s="42"/>
      <c r="AL36" s="42" t="str">
        <f>MID(VmSpecs[[#This Row],[VM Name]],3,9)</f>
        <v>pfbpf2dcx</v>
      </c>
      <c r="AM36" s="42" t="str" cm="1">
        <f t="array" ref="AM36">_xlfn.TEXTJOIN(CHAR(10), TRUE, IF(NfsExports[FMO Single VM IP]=VmSpecs[[#This Row],[IP]],NfsExports[FMO Export Summary],""))</f>
        <v>/apps/pcehr 30GB</v>
      </c>
      <c r="AN36" s="43" t="str" cm="1">
        <f t="array" ref="AN3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36" s="42"/>
      <c r="AP36" s="42" t="str">
        <f>VmSpecs[[#This Row],[Description]]</f>
        <v>OSB DCX Domain N16</v>
      </c>
      <c r="AQ36" s="43"/>
      <c r="AR36" s="43"/>
      <c r="AS36" s="43"/>
      <c r="AT36" s="43"/>
      <c r="AU36" s="43"/>
      <c r="AV36" s="42"/>
      <c r="AW36" s="42"/>
      <c r="AX36" s="42"/>
      <c r="AY36" s="42"/>
      <c r="AZ36" s="42"/>
      <c r="BA36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N16"
Application Service: "DCX"
Lifecycle: "PFB"</v>
      </c>
      <c r="BB36" s="78" t="s">
        <v>152</v>
      </c>
      <c r="BC36" s="42" t="str">
        <f>VLOOKUP(VmSpecs[[#This Row],[Original Hostname (CMO)]],'SSOT Data'!A:AJ,36,FALSE)</f>
        <v>OSB DCX Domain N16</v>
      </c>
      <c r="BD36" s="126">
        <f>VLOOKUP(VmSpecs[[#This Row],[Original Hostname (CMO)]],'SSOT Data'!A:AQ,43,FALSE)</f>
        <v>2</v>
      </c>
    </row>
    <row r="37" spans="1:56" ht="29" x14ac:dyDescent="0.35">
      <c r="A37" s="42"/>
      <c r="B37" s="42" t="str">
        <f>_xlfn.XLOOKUP(VmSpecs[[#This Row],[Subnet]],NetworkReference[Subnet],NetworkReference[Subscription])</f>
        <v>NINP-PERF2</v>
      </c>
      <c r="C37" s="43" t="str">
        <f>_xlfn.XLOOKUP(VmSpecs[[#This Row],[Subnet]],NetworkReference[Subnet],NetworkReference[Virtual Network Resource Group])</f>
        <v>rg-pf2-network-aue-001</v>
      </c>
      <c r="D37" s="43" t="str">
        <f>_xlfn.XLOOKUP(VmSpecs[[#This Row],[Subnet]],NetworkReference[Subnet],NetworkReference[Virtual Network])</f>
        <v>vnet-pf2-workload-aue-001</v>
      </c>
      <c r="E37" s="132" t="s">
        <v>59</v>
      </c>
      <c r="F37" s="43" t="str">
        <f>_xlfn.XLOOKUP(VmSpecs[[#This Row],[Subnet]],NetworkReference[Subnet],NetworkReference[Virtual Network Peering])</f>
        <v>vnet-ninp-conn-pnp-hub-aue</v>
      </c>
      <c r="G37" s="43" t="str">
        <f>_xlfn.XLOOKUP(VmSpecs[[#This Row],[Subnet]],NetworkReference[Subnet],NetworkReference[Route Table])</f>
        <v>rt-sn-pfb-aue-pf2-app</v>
      </c>
      <c r="H37" s="43" t="str">
        <f>LOWER(VLOOKUP(VmSpecs[[#This Row],[Original Hostname (CMO)]],'SSOT Data'!A:K,10,FALSE))</f>
        <v>dcx</v>
      </c>
      <c r="I3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37" s="44" t="s">
        <v>153</v>
      </c>
      <c r="K37" s="43" t="str">
        <f>_xlfn.CONCAT("vm",MID(VmSpecs[[#This Row],[Subnet]],4,3),VLOOKUP(VmSpecs[[#This Row],[Subscription]],NetworkReference[#All],2,FALSE),VmSpecs[[#This Row],[Service]],VmSpecs[[#This Row],[VM iteration (nn)]])</f>
        <v>vmpfbpf2dcx17</v>
      </c>
      <c r="L37" s="45" t="s">
        <v>61</v>
      </c>
      <c r="M37" s="43" t="str">
        <f>VmSpecs[[#This Row],[VM Name]]&amp;".ninp.myhealthrecord.gov.au"</f>
        <v>vmpfbpf2dcx17.ninp.myhealthrecord.gov.au</v>
      </c>
      <c r="N37" s="42" t="str">
        <f t="shared" si="0"/>
        <v>nic-001-vmpfbpf2dcx17</v>
      </c>
      <c r="O37" s="94" t="s">
        <v>154</v>
      </c>
      <c r="P37" s="46" t="s">
        <v>63</v>
      </c>
      <c r="Q37" s="42" t="str">
        <f>VLOOKUP(VmSpecs[[#This Row],[Original Hostname (CMO)]],'SSOT Data'!A:E,5,FALSE)</f>
        <v>OEL7.9</v>
      </c>
      <c r="R37" s="42"/>
      <c r="S37" s="42" t="str">
        <f>_xlfn.CONCAT("avail-",LEFT(VmSpecs[[#This Row],[VM Name]],LEN(VmSpecs[[#This Row],[VM Name]])-2))</f>
        <v>avail-vmpfbpf2dcx</v>
      </c>
      <c r="T37" s="42" t="str">
        <f>_xlfn.CONCAT("asg-",LEFT(VmSpecs[[#This Row],[VM Name]],LEN(VmSpecs[[#This Row],[VM Name]])-2))</f>
        <v>asg-vmpfbpf2dcx</v>
      </c>
      <c r="U37" s="42" t="str">
        <f>_xlfn.CONCAT("nsg-",VmSpecs[[#This Row],[Subnet]])</f>
        <v>nsg-sn-pfb-aue-pf2-app</v>
      </c>
      <c r="V37" s="42"/>
      <c r="W37" s="43" t="str">
        <f>VLOOKUP(VmSpecs[[#This Row],[Original Hostname (CMO)]],'SSOT Data'!A:AX,50,FALSE)</f>
        <v>Standard_D8s_v4</v>
      </c>
      <c r="X37" s="43">
        <v>64</v>
      </c>
      <c r="Y37" s="43" t="s">
        <v>65</v>
      </c>
      <c r="Z37" s="43" t="str">
        <f>"osdisk-"&amp;VmSpecs[[#This Row],[VM Name]]</f>
        <v>osdisk-vmpfbpf2dcx17</v>
      </c>
      <c r="AA37" s="47" t="s">
        <v>66</v>
      </c>
      <c r="AB37" s="73">
        <v>8</v>
      </c>
      <c r="AC37" s="74" t="s">
        <v>65</v>
      </c>
      <c r="AD37" s="75" t="str">
        <f>"disk-"&amp;VmSpecs[[#This Row],[VM Name]]&amp;"-001"</f>
        <v>disk-vmpfbpf2dcx17-001</v>
      </c>
      <c r="AE37" s="73">
        <v>32</v>
      </c>
      <c r="AF37" s="74" t="s">
        <v>65</v>
      </c>
      <c r="AG37" s="43" t="str">
        <f>"disk-"&amp;VmSpecs[[#This Row],[VM Name]]&amp;"-002"</f>
        <v>disk-vmpfbpf2dcx17-002</v>
      </c>
      <c r="AH37" s="59"/>
      <c r="AI37" s="42"/>
      <c r="AJ37" s="42"/>
      <c r="AK37" s="42"/>
      <c r="AL37" s="42" t="str">
        <f>MID(VmSpecs[[#This Row],[VM Name]],3,9)</f>
        <v>pfbpf2dcx</v>
      </c>
      <c r="AM37" s="42" t="str" cm="1">
        <f t="array" ref="AM37">_xlfn.TEXTJOIN(CHAR(10), TRUE, IF(NfsExports[FMO Single VM IP]=VmSpecs[[#This Row],[IP]],NfsExports[FMO Export Summary],""))</f>
        <v>/apps/pcehr 30GB</v>
      </c>
      <c r="AN37" s="43" t="str" cm="1">
        <f t="array" ref="AN3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37" s="42"/>
      <c r="AP37" s="42" t="str">
        <f>VmSpecs[[#This Row],[Description]]</f>
        <v>OSB DCX Domain N17</v>
      </c>
      <c r="AQ37" s="43"/>
      <c r="AR37" s="43"/>
      <c r="AS37" s="43"/>
      <c r="AT37" s="43"/>
      <c r="AU37" s="43"/>
      <c r="AV37" s="42"/>
      <c r="AW37" s="42"/>
      <c r="AX37" s="42"/>
      <c r="AY37" s="42"/>
      <c r="AZ37" s="42"/>
      <c r="BA37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N17"
Application Service: "DCX"
Lifecycle: "PFB"</v>
      </c>
      <c r="BB37" s="78" t="s">
        <v>155</v>
      </c>
      <c r="BC37" s="42" t="str">
        <f>VLOOKUP(VmSpecs[[#This Row],[Original Hostname (CMO)]],'SSOT Data'!A:AJ,36,FALSE)</f>
        <v>OSB DCX Domain N17</v>
      </c>
      <c r="BD37" s="126">
        <f>VLOOKUP(VmSpecs[[#This Row],[Original Hostname (CMO)]],'SSOT Data'!A:AQ,43,FALSE)</f>
        <v>2</v>
      </c>
    </row>
    <row r="38" spans="1:56" ht="29" x14ac:dyDescent="0.35">
      <c r="A38" s="42"/>
      <c r="B38" s="42" t="str">
        <f>_xlfn.XLOOKUP(VmSpecs[[#This Row],[Subnet]],NetworkReference[Subnet],NetworkReference[Subscription])</f>
        <v>NINP-PERF2</v>
      </c>
      <c r="C38" s="43" t="str">
        <f>_xlfn.XLOOKUP(VmSpecs[[#This Row],[Subnet]],NetworkReference[Subnet],NetworkReference[Virtual Network Resource Group])</f>
        <v>rg-pf2-network-aue-001</v>
      </c>
      <c r="D38" s="43" t="str">
        <f>_xlfn.XLOOKUP(VmSpecs[[#This Row],[Subnet]],NetworkReference[Subnet],NetworkReference[Virtual Network])</f>
        <v>vnet-pf2-workload-aue-001</v>
      </c>
      <c r="E38" s="132" t="s">
        <v>59</v>
      </c>
      <c r="F38" s="43" t="str">
        <f>_xlfn.XLOOKUP(VmSpecs[[#This Row],[Subnet]],NetworkReference[Subnet],NetworkReference[Virtual Network Peering])</f>
        <v>vnet-ninp-conn-pnp-hub-aue</v>
      </c>
      <c r="G38" s="43" t="str">
        <f>_xlfn.XLOOKUP(VmSpecs[[#This Row],[Subnet]],NetworkReference[Subnet],NetworkReference[Route Table])</f>
        <v>rt-sn-pfb-aue-pf2-app</v>
      </c>
      <c r="H38" s="43" t="str">
        <f>LOWER(VLOOKUP(VmSpecs[[#This Row],[Original Hostname (CMO)]],'SSOT Data'!A:K,10,FALSE))</f>
        <v>dcx</v>
      </c>
      <c r="I3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38" s="44" t="s">
        <v>156</v>
      </c>
      <c r="K38" s="43" t="str">
        <f>_xlfn.CONCAT("vm",MID(VmSpecs[[#This Row],[Subnet]],4,3),VLOOKUP(VmSpecs[[#This Row],[Subscription]],NetworkReference[#All],2,FALSE),VmSpecs[[#This Row],[Service]],VmSpecs[[#This Row],[VM iteration (nn)]])</f>
        <v>vmpfbpf2dcx18</v>
      </c>
      <c r="L38" s="45" t="s">
        <v>61</v>
      </c>
      <c r="M38" s="43" t="str">
        <f>VmSpecs[[#This Row],[VM Name]]&amp;".ninp.myhealthrecord.gov.au"</f>
        <v>vmpfbpf2dcx18.ninp.myhealthrecord.gov.au</v>
      </c>
      <c r="N38" s="42" t="str">
        <f t="shared" si="0"/>
        <v>nic-001-vmpfbpf2dcx18</v>
      </c>
      <c r="O38" s="94" t="s">
        <v>157</v>
      </c>
      <c r="P38" s="46" t="s">
        <v>63</v>
      </c>
      <c r="Q38" s="42" t="str">
        <f>VLOOKUP(VmSpecs[[#This Row],[Original Hostname (CMO)]],'SSOT Data'!A:E,5,FALSE)</f>
        <v>OEL7.9</v>
      </c>
      <c r="R38" s="42"/>
      <c r="S38" s="42" t="str">
        <f>_xlfn.CONCAT("avail-",LEFT(VmSpecs[[#This Row],[VM Name]],LEN(VmSpecs[[#This Row],[VM Name]])-2))</f>
        <v>avail-vmpfbpf2dcx</v>
      </c>
      <c r="T38" s="42" t="str">
        <f>_xlfn.CONCAT("asg-",LEFT(VmSpecs[[#This Row],[VM Name]],LEN(VmSpecs[[#This Row],[VM Name]])-2))</f>
        <v>asg-vmpfbpf2dcx</v>
      </c>
      <c r="U38" s="42" t="str">
        <f>_xlfn.CONCAT("nsg-",VmSpecs[[#This Row],[Subnet]])</f>
        <v>nsg-sn-pfb-aue-pf2-app</v>
      </c>
      <c r="V38" s="42"/>
      <c r="W38" s="43" t="str">
        <f>VLOOKUP(VmSpecs[[#This Row],[Original Hostname (CMO)]],'SSOT Data'!A:AX,50,FALSE)</f>
        <v>Standard_D8s_v4</v>
      </c>
      <c r="X38" s="43">
        <v>64</v>
      </c>
      <c r="Y38" s="43" t="s">
        <v>65</v>
      </c>
      <c r="Z38" s="43" t="str">
        <f>"osdisk-"&amp;VmSpecs[[#This Row],[VM Name]]</f>
        <v>osdisk-vmpfbpf2dcx18</v>
      </c>
      <c r="AA38" s="47" t="s">
        <v>66</v>
      </c>
      <c r="AB38" s="73">
        <v>8</v>
      </c>
      <c r="AC38" s="74" t="s">
        <v>65</v>
      </c>
      <c r="AD38" s="75" t="str">
        <f>"disk-"&amp;VmSpecs[[#This Row],[VM Name]]&amp;"-001"</f>
        <v>disk-vmpfbpf2dcx18-001</v>
      </c>
      <c r="AE38" s="73">
        <v>32</v>
      </c>
      <c r="AF38" s="74" t="s">
        <v>65</v>
      </c>
      <c r="AG38" s="43" t="str">
        <f>"disk-"&amp;VmSpecs[[#This Row],[VM Name]]&amp;"-002"</f>
        <v>disk-vmpfbpf2dcx18-002</v>
      </c>
      <c r="AH38" s="59"/>
      <c r="AI38" s="42"/>
      <c r="AJ38" s="42"/>
      <c r="AK38" s="42"/>
      <c r="AL38" s="42" t="str">
        <f>MID(VmSpecs[[#This Row],[VM Name]],3,9)</f>
        <v>pfbpf2dcx</v>
      </c>
      <c r="AM38" s="42" t="str" cm="1">
        <f t="array" ref="AM38">_xlfn.TEXTJOIN(CHAR(10), TRUE, IF(NfsExports[FMO Single VM IP]=VmSpecs[[#This Row],[IP]],NfsExports[FMO Export Summary],""))</f>
        <v>/apps/pcehr 30GB</v>
      </c>
      <c r="AN38" s="43" t="str" cm="1">
        <f t="array" ref="AN3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38" s="42"/>
      <c r="AP38" s="42" t="str">
        <f>VmSpecs[[#This Row],[Description]]</f>
        <v>OSB DCX Domain N18</v>
      </c>
      <c r="AQ38" s="43"/>
      <c r="AR38" s="43"/>
      <c r="AS38" s="43"/>
      <c r="AT38" s="43"/>
      <c r="AU38" s="43"/>
      <c r="AV38" s="42"/>
      <c r="AW38" s="42"/>
      <c r="AX38" s="42"/>
      <c r="AY38" s="42"/>
      <c r="AZ38" s="42"/>
      <c r="BA38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N18"
Application Service: "DCX"
Lifecycle: "PFB"</v>
      </c>
      <c r="BB38" s="78" t="s">
        <v>158</v>
      </c>
      <c r="BC38" s="42" t="str">
        <f>VLOOKUP(VmSpecs[[#This Row],[Original Hostname (CMO)]],'SSOT Data'!A:AJ,36,FALSE)</f>
        <v>OSB DCX Domain N18</v>
      </c>
      <c r="BD38" s="126">
        <f>VLOOKUP(VmSpecs[[#This Row],[Original Hostname (CMO)]],'SSOT Data'!A:AQ,43,FALSE)</f>
        <v>2</v>
      </c>
    </row>
    <row r="39" spans="1:56" ht="29" x14ac:dyDescent="0.35">
      <c r="A39" s="42"/>
      <c r="B39" s="42" t="str">
        <f>_xlfn.XLOOKUP(VmSpecs[[#This Row],[Subnet]],NetworkReference[Subnet],NetworkReference[Subscription])</f>
        <v>NINP-PERF2</v>
      </c>
      <c r="C39" s="43" t="str">
        <f>_xlfn.XLOOKUP(VmSpecs[[#This Row],[Subnet]],NetworkReference[Subnet],NetworkReference[Virtual Network Resource Group])</f>
        <v>rg-pf2-network-aue-001</v>
      </c>
      <c r="D39" s="43" t="str">
        <f>_xlfn.XLOOKUP(VmSpecs[[#This Row],[Subnet]],NetworkReference[Subnet],NetworkReference[Virtual Network])</f>
        <v>vnet-pf2-workload-aue-001</v>
      </c>
      <c r="E39" s="132" t="s">
        <v>59</v>
      </c>
      <c r="F39" s="43" t="str">
        <f>_xlfn.XLOOKUP(VmSpecs[[#This Row],[Subnet]],NetworkReference[Subnet],NetworkReference[Virtual Network Peering])</f>
        <v>vnet-ninp-conn-pnp-hub-aue</v>
      </c>
      <c r="G39" s="43" t="str">
        <f>_xlfn.XLOOKUP(VmSpecs[[#This Row],[Subnet]],NetworkReference[Subnet],NetworkReference[Route Table])</f>
        <v>rt-sn-pfb-aue-pf2-app</v>
      </c>
      <c r="H39" s="43" t="str">
        <f>LOWER(VLOOKUP(VmSpecs[[#This Row],[Original Hostname (CMO)]],'SSOT Data'!A:K,10,FALSE))</f>
        <v>dcx</v>
      </c>
      <c r="I3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39" s="44" t="s">
        <v>159</v>
      </c>
      <c r="K39" s="43" t="str">
        <f>_xlfn.CONCAT("vm",MID(VmSpecs[[#This Row],[Subnet]],4,3),VLOOKUP(VmSpecs[[#This Row],[Subscription]],NetworkReference[#All],2,FALSE),VmSpecs[[#This Row],[Service]],VmSpecs[[#This Row],[VM iteration (nn)]])</f>
        <v>vmpfbpf2dcx19</v>
      </c>
      <c r="L39" s="45" t="s">
        <v>61</v>
      </c>
      <c r="M39" s="43" t="str">
        <f>VmSpecs[[#This Row],[VM Name]]&amp;".ninp.myhealthrecord.gov.au"</f>
        <v>vmpfbpf2dcx19.ninp.myhealthrecord.gov.au</v>
      </c>
      <c r="N39" s="42" t="str">
        <f t="shared" si="0"/>
        <v>nic-001-vmpfbpf2dcx19</v>
      </c>
      <c r="O39" s="94" t="s">
        <v>160</v>
      </c>
      <c r="P39" s="46" t="s">
        <v>63</v>
      </c>
      <c r="Q39" s="42" t="str">
        <f>VLOOKUP(VmSpecs[[#This Row],[Original Hostname (CMO)]],'SSOT Data'!A:E,5,FALSE)</f>
        <v>OEL7.9</v>
      </c>
      <c r="R39" s="42"/>
      <c r="S39" s="42" t="str">
        <f>_xlfn.CONCAT("avail-",LEFT(VmSpecs[[#This Row],[VM Name]],LEN(VmSpecs[[#This Row],[VM Name]])-2))</f>
        <v>avail-vmpfbpf2dcx</v>
      </c>
      <c r="T39" s="42" t="str">
        <f>_xlfn.CONCAT("asg-",LEFT(VmSpecs[[#This Row],[VM Name]],LEN(VmSpecs[[#This Row],[VM Name]])-2))</f>
        <v>asg-vmpfbpf2dcx</v>
      </c>
      <c r="U39" s="42" t="str">
        <f>_xlfn.CONCAT("nsg-",VmSpecs[[#This Row],[Subnet]])</f>
        <v>nsg-sn-pfb-aue-pf2-app</v>
      </c>
      <c r="V39" s="42"/>
      <c r="W39" s="43" t="str">
        <f>VLOOKUP(VmSpecs[[#This Row],[Original Hostname (CMO)]],'SSOT Data'!A:AX,50,FALSE)</f>
        <v>Standard_D8s_v4</v>
      </c>
      <c r="X39" s="43">
        <v>64</v>
      </c>
      <c r="Y39" s="43" t="s">
        <v>65</v>
      </c>
      <c r="Z39" s="43" t="str">
        <f>"osdisk-"&amp;VmSpecs[[#This Row],[VM Name]]</f>
        <v>osdisk-vmpfbpf2dcx19</v>
      </c>
      <c r="AA39" s="47" t="s">
        <v>66</v>
      </c>
      <c r="AB39" s="73">
        <v>8</v>
      </c>
      <c r="AC39" s="74" t="s">
        <v>65</v>
      </c>
      <c r="AD39" s="75" t="str">
        <f>"disk-"&amp;VmSpecs[[#This Row],[VM Name]]&amp;"-001"</f>
        <v>disk-vmpfbpf2dcx19-001</v>
      </c>
      <c r="AE39" s="73">
        <v>32</v>
      </c>
      <c r="AF39" s="74" t="s">
        <v>65</v>
      </c>
      <c r="AG39" s="43" t="str">
        <f>"disk-"&amp;VmSpecs[[#This Row],[VM Name]]&amp;"-002"</f>
        <v>disk-vmpfbpf2dcx19-002</v>
      </c>
      <c r="AH39" s="59"/>
      <c r="AI39" s="42"/>
      <c r="AJ39" s="42"/>
      <c r="AK39" s="42"/>
      <c r="AL39" s="42" t="str">
        <f>MID(VmSpecs[[#This Row],[VM Name]],3,9)</f>
        <v>pfbpf2dcx</v>
      </c>
      <c r="AM39" s="42" t="str" cm="1">
        <f t="array" ref="AM39">_xlfn.TEXTJOIN(CHAR(10), TRUE, IF(NfsExports[FMO Single VM IP]=VmSpecs[[#This Row],[IP]],NfsExports[FMO Export Summary],""))</f>
        <v>/apps/pcehr 30GB</v>
      </c>
      <c r="AN39" s="43" t="str" cm="1">
        <f t="array" ref="AN3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39" s="42"/>
      <c r="AP39" s="42" t="str">
        <f>VmSpecs[[#This Row],[Description]]</f>
        <v>OSB DCX Domain N19</v>
      </c>
      <c r="AQ39" s="43"/>
      <c r="AR39" s="43"/>
      <c r="AS39" s="43"/>
      <c r="AT39" s="43"/>
      <c r="AU39" s="43"/>
      <c r="AV39" s="42"/>
      <c r="AW39" s="42"/>
      <c r="AX39" s="42"/>
      <c r="AY39" s="42"/>
      <c r="AZ39" s="42"/>
      <c r="BA39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N19"
Application Service: "DCX"
Lifecycle: "PFB"</v>
      </c>
      <c r="BB39" s="78" t="s">
        <v>161</v>
      </c>
      <c r="BC39" s="42" t="str">
        <f>VLOOKUP(VmSpecs[[#This Row],[Original Hostname (CMO)]],'SSOT Data'!A:AJ,36,FALSE)</f>
        <v>OSB DCX Domain N19</v>
      </c>
      <c r="BD39" s="126">
        <f>VLOOKUP(VmSpecs[[#This Row],[Original Hostname (CMO)]],'SSOT Data'!A:AQ,43,FALSE)</f>
        <v>2</v>
      </c>
    </row>
    <row r="40" spans="1:56" ht="29" x14ac:dyDescent="0.35">
      <c r="A40" s="42"/>
      <c r="B40" s="42" t="str">
        <f>_xlfn.XLOOKUP(VmSpecs[[#This Row],[Subnet]],NetworkReference[Subnet],NetworkReference[Subscription])</f>
        <v>NINP-PERF2</v>
      </c>
      <c r="C40" s="43" t="str">
        <f>_xlfn.XLOOKUP(VmSpecs[[#This Row],[Subnet]],NetworkReference[Subnet],NetworkReference[Virtual Network Resource Group])</f>
        <v>rg-pf2-network-aue-001</v>
      </c>
      <c r="D40" s="43" t="str">
        <f>_xlfn.XLOOKUP(VmSpecs[[#This Row],[Subnet]],NetworkReference[Subnet],NetworkReference[Virtual Network])</f>
        <v>vnet-pf2-workload-aue-001</v>
      </c>
      <c r="E40" s="132" t="s">
        <v>59</v>
      </c>
      <c r="F40" s="43" t="str">
        <f>_xlfn.XLOOKUP(VmSpecs[[#This Row],[Subnet]],NetworkReference[Subnet],NetworkReference[Virtual Network Peering])</f>
        <v>vnet-ninp-conn-pnp-hub-aue</v>
      </c>
      <c r="G40" s="43" t="str">
        <f>_xlfn.XLOOKUP(VmSpecs[[#This Row],[Subnet]],NetworkReference[Subnet],NetworkReference[Route Table])</f>
        <v>rt-sn-pfb-aue-pf2-app</v>
      </c>
      <c r="H40" s="43" t="str">
        <f>LOWER(VLOOKUP(VmSpecs[[#This Row],[Original Hostname (CMO)]],'SSOT Data'!A:K,10,FALSE))</f>
        <v>dcx</v>
      </c>
      <c r="I4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40" s="44" t="s">
        <v>162</v>
      </c>
      <c r="K40" s="43" t="str">
        <f>_xlfn.CONCAT("vm",MID(VmSpecs[[#This Row],[Subnet]],4,3),VLOOKUP(VmSpecs[[#This Row],[Subscription]],NetworkReference[#All],2,FALSE),VmSpecs[[#This Row],[Service]],VmSpecs[[#This Row],[VM iteration (nn)]])</f>
        <v>vmpfbpf2dcx20</v>
      </c>
      <c r="L40" s="45" t="s">
        <v>61</v>
      </c>
      <c r="M40" s="43" t="str">
        <f>VmSpecs[[#This Row],[VM Name]]&amp;".ninp.myhealthrecord.gov.au"</f>
        <v>vmpfbpf2dcx20.ninp.myhealthrecord.gov.au</v>
      </c>
      <c r="N40" s="42" t="str">
        <f t="shared" si="0"/>
        <v>nic-001-vmpfbpf2dcx20</v>
      </c>
      <c r="O40" s="94" t="s">
        <v>163</v>
      </c>
      <c r="P40" s="46" t="s">
        <v>63</v>
      </c>
      <c r="Q40" s="42" t="str">
        <f>VLOOKUP(VmSpecs[[#This Row],[Original Hostname (CMO)]],'SSOT Data'!A:E,5,FALSE)</f>
        <v>OEL7.9</v>
      </c>
      <c r="R40" s="42"/>
      <c r="S40" s="42" t="str">
        <f>_xlfn.CONCAT("avail-",LEFT(VmSpecs[[#This Row],[VM Name]],LEN(VmSpecs[[#This Row],[VM Name]])-2))</f>
        <v>avail-vmpfbpf2dcx</v>
      </c>
      <c r="T40" s="42" t="str">
        <f>_xlfn.CONCAT("asg-",LEFT(VmSpecs[[#This Row],[VM Name]],LEN(VmSpecs[[#This Row],[VM Name]])-2))</f>
        <v>asg-vmpfbpf2dcx</v>
      </c>
      <c r="U40" s="42" t="str">
        <f>_xlfn.CONCAT("nsg-",VmSpecs[[#This Row],[Subnet]])</f>
        <v>nsg-sn-pfb-aue-pf2-app</v>
      </c>
      <c r="V40" s="42"/>
      <c r="W40" s="43" t="str">
        <f>VLOOKUP(VmSpecs[[#This Row],[Original Hostname (CMO)]],'SSOT Data'!A:AX,50,FALSE)</f>
        <v>Standard_D8s_v4</v>
      </c>
      <c r="X40" s="43">
        <v>64</v>
      </c>
      <c r="Y40" s="43" t="s">
        <v>65</v>
      </c>
      <c r="Z40" s="43" t="str">
        <f>"osdisk-"&amp;VmSpecs[[#This Row],[VM Name]]</f>
        <v>osdisk-vmpfbpf2dcx20</v>
      </c>
      <c r="AA40" s="47" t="s">
        <v>66</v>
      </c>
      <c r="AB40" s="73">
        <v>8</v>
      </c>
      <c r="AC40" s="74" t="s">
        <v>65</v>
      </c>
      <c r="AD40" s="75" t="str">
        <f>"disk-"&amp;VmSpecs[[#This Row],[VM Name]]&amp;"-001"</f>
        <v>disk-vmpfbpf2dcx20-001</v>
      </c>
      <c r="AE40" s="73">
        <v>32</v>
      </c>
      <c r="AF40" s="74" t="s">
        <v>65</v>
      </c>
      <c r="AG40" s="43" t="str">
        <f>"disk-"&amp;VmSpecs[[#This Row],[VM Name]]&amp;"-002"</f>
        <v>disk-vmpfbpf2dcx20-002</v>
      </c>
      <c r="AH40" s="59"/>
      <c r="AI40" s="42"/>
      <c r="AJ40" s="42"/>
      <c r="AK40" s="42"/>
      <c r="AL40" s="42" t="str">
        <f>MID(VmSpecs[[#This Row],[VM Name]],3,9)</f>
        <v>pfbpf2dcx</v>
      </c>
      <c r="AM40" s="42" t="str" cm="1">
        <f t="array" ref="AM40">_xlfn.TEXTJOIN(CHAR(10), TRUE, IF(NfsExports[FMO Single VM IP]=VmSpecs[[#This Row],[IP]],NfsExports[FMO Export Summary],""))</f>
        <v>/apps/pcehr 30GB</v>
      </c>
      <c r="AN40" s="43" t="str" cm="1">
        <f t="array" ref="AN4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40" s="42"/>
      <c r="AP40" s="42" t="str">
        <f>VmSpecs[[#This Row],[Description]]</f>
        <v>OSB DCX Domain N20</v>
      </c>
      <c r="AQ40" s="43"/>
      <c r="AR40" s="43"/>
      <c r="AS40" s="43"/>
      <c r="AT40" s="43"/>
      <c r="AU40" s="43"/>
      <c r="AV40" s="42"/>
      <c r="AW40" s="42"/>
      <c r="AX40" s="42"/>
      <c r="AY40" s="42"/>
      <c r="AZ40" s="42"/>
      <c r="BA40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N20"
Application Service: "DCX"
Lifecycle: "PFB"</v>
      </c>
      <c r="BB40" s="78" t="s">
        <v>164</v>
      </c>
      <c r="BC40" s="42" t="str">
        <f>VLOOKUP(VmSpecs[[#This Row],[Original Hostname (CMO)]],'SSOT Data'!A:AJ,36,FALSE)</f>
        <v>OSB DCX Domain N20</v>
      </c>
      <c r="BD40" s="126">
        <f>VLOOKUP(VmSpecs[[#This Row],[Original Hostname (CMO)]],'SSOT Data'!A:AQ,43,FALSE)</f>
        <v>2</v>
      </c>
    </row>
    <row r="41" spans="1:56" ht="29" x14ac:dyDescent="0.35">
      <c r="A41" s="42"/>
      <c r="B41" s="42" t="str">
        <f>_xlfn.XLOOKUP(VmSpecs[[#This Row],[Subnet]],NetworkReference[Subnet],NetworkReference[Subscription])</f>
        <v>NINP-PERF2</v>
      </c>
      <c r="C41" s="43" t="str">
        <f>_xlfn.XLOOKUP(VmSpecs[[#This Row],[Subnet]],NetworkReference[Subnet],NetworkReference[Virtual Network Resource Group])</f>
        <v>rg-pf2-network-aue-001</v>
      </c>
      <c r="D41" s="43" t="str">
        <f>_xlfn.XLOOKUP(VmSpecs[[#This Row],[Subnet]],NetworkReference[Subnet],NetworkReference[Virtual Network])</f>
        <v>vnet-pf2-workload-aue-001</v>
      </c>
      <c r="E41" s="132" t="s">
        <v>59</v>
      </c>
      <c r="F41" s="43" t="str">
        <f>_xlfn.XLOOKUP(VmSpecs[[#This Row],[Subnet]],NetworkReference[Subnet],NetworkReference[Virtual Network Peering])</f>
        <v>vnet-ninp-conn-pnp-hub-aue</v>
      </c>
      <c r="G41" s="43" t="str">
        <f>_xlfn.XLOOKUP(VmSpecs[[#This Row],[Subnet]],NetworkReference[Subnet],NetworkReference[Route Table])</f>
        <v>rt-sn-pfb-aue-pf2-app</v>
      </c>
      <c r="H41" s="43" t="str">
        <f>LOWER(VLOOKUP(VmSpecs[[#This Row],[Original Hostname (CMO)]],'SSOT Data'!A:K,10,FALSE))</f>
        <v>dcx</v>
      </c>
      <c r="I4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41" s="44" t="s">
        <v>165</v>
      </c>
      <c r="K41" s="43" t="str">
        <f>_xlfn.CONCAT("vm",MID(VmSpecs[[#This Row],[Subnet]],4,3),VLOOKUP(VmSpecs[[#This Row],[Subscription]],NetworkReference[#All],2,FALSE),VmSpecs[[#This Row],[Service]],VmSpecs[[#This Row],[VM iteration (nn)]])</f>
        <v>vmpfbpf2dcx21</v>
      </c>
      <c r="L41" s="45" t="s">
        <v>61</v>
      </c>
      <c r="M41" s="43" t="str">
        <f>VmSpecs[[#This Row],[VM Name]]&amp;".ninp.myhealthrecord.gov.au"</f>
        <v>vmpfbpf2dcx21.ninp.myhealthrecord.gov.au</v>
      </c>
      <c r="N41" s="42" t="str">
        <f t="shared" si="0"/>
        <v>nic-001-vmpfbpf2dcx21</v>
      </c>
      <c r="O41" s="94" t="s">
        <v>166</v>
      </c>
      <c r="P41" s="46" t="s">
        <v>63</v>
      </c>
      <c r="Q41" s="42" t="str">
        <f>VLOOKUP(VmSpecs[[#This Row],[Original Hostname (CMO)]],'SSOT Data'!A:E,5,FALSE)</f>
        <v>OEL7.9</v>
      </c>
      <c r="R41" s="42"/>
      <c r="S41" s="42" t="str">
        <f>_xlfn.CONCAT("avail-",LEFT(VmSpecs[[#This Row],[VM Name]],LEN(VmSpecs[[#This Row],[VM Name]])-2))</f>
        <v>avail-vmpfbpf2dcx</v>
      </c>
      <c r="T41" s="42" t="str">
        <f>_xlfn.CONCAT("asg-",LEFT(VmSpecs[[#This Row],[VM Name]],LEN(VmSpecs[[#This Row],[VM Name]])-2))</f>
        <v>asg-vmpfbpf2dcx</v>
      </c>
      <c r="U41" s="42" t="str">
        <f>_xlfn.CONCAT("nsg-",VmSpecs[[#This Row],[Subnet]])</f>
        <v>nsg-sn-pfb-aue-pf2-app</v>
      </c>
      <c r="V41" s="42"/>
      <c r="W41" s="43" t="str">
        <f>VLOOKUP(VmSpecs[[#This Row],[Original Hostname (CMO)]],'SSOT Data'!A:AX,50,FALSE)</f>
        <v>Standard_D8s_v4</v>
      </c>
      <c r="X41" s="43">
        <v>64</v>
      </c>
      <c r="Y41" s="43" t="s">
        <v>65</v>
      </c>
      <c r="Z41" s="43" t="str">
        <f>"osdisk-"&amp;VmSpecs[[#This Row],[VM Name]]</f>
        <v>osdisk-vmpfbpf2dcx21</v>
      </c>
      <c r="AA41" s="47" t="s">
        <v>66</v>
      </c>
      <c r="AB41" s="73">
        <v>8</v>
      </c>
      <c r="AC41" s="74" t="s">
        <v>65</v>
      </c>
      <c r="AD41" s="75" t="str">
        <f>"disk-"&amp;VmSpecs[[#This Row],[VM Name]]&amp;"-001"</f>
        <v>disk-vmpfbpf2dcx21-001</v>
      </c>
      <c r="AE41" s="73">
        <v>32</v>
      </c>
      <c r="AF41" s="74" t="s">
        <v>65</v>
      </c>
      <c r="AG41" s="43" t="str">
        <f>"disk-"&amp;VmSpecs[[#This Row],[VM Name]]&amp;"-002"</f>
        <v>disk-vmpfbpf2dcx21-002</v>
      </c>
      <c r="AH41" s="59"/>
      <c r="AI41" s="42"/>
      <c r="AJ41" s="42"/>
      <c r="AK41" s="42"/>
      <c r="AL41" s="42" t="str">
        <f>MID(VmSpecs[[#This Row],[VM Name]],3,9)</f>
        <v>pfbpf2dcx</v>
      </c>
      <c r="AM41" s="42" t="str" cm="1">
        <f t="array" ref="AM41">_xlfn.TEXTJOIN(CHAR(10), TRUE, IF(NfsExports[FMO Single VM IP]=VmSpecs[[#This Row],[IP]],NfsExports[FMO Export Summary],""))</f>
        <v>/apps/pcehr 30GB</v>
      </c>
      <c r="AN41" s="43" t="str" cm="1">
        <f t="array" ref="AN4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41" s="42"/>
      <c r="AP41" s="42" t="str">
        <f>VmSpecs[[#This Row],[Description]]</f>
        <v>OSB DCX Domain N21</v>
      </c>
      <c r="AQ41" s="43"/>
      <c r="AR41" s="43"/>
      <c r="AS41" s="43"/>
      <c r="AT41" s="43"/>
      <c r="AU41" s="43"/>
      <c r="AV41" s="42"/>
      <c r="AW41" s="42"/>
      <c r="AX41" s="42"/>
      <c r="AY41" s="42"/>
      <c r="AZ41" s="42"/>
      <c r="BA41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N21"
Application Service: "DCX"
Lifecycle: "PFB"</v>
      </c>
      <c r="BB41" s="78" t="s">
        <v>167</v>
      </c>
      <c r="BC41" s="42" t="str">
        <f>VLOOKUP(VmSpecs[[#This Row],[Original Hostname (CMO)]],'SSOT Data'!A:AJ,36,FALSE)</f>
        <v>OSB DCX Domain N21</v>
      </c>
      <c r="BD41" s="126">
        <f>VLOOKUP(VmSpecs[[#This Row],[Original Hostname (CMO)]],'SSOT Data'!A:AQ,43,FALSE)</f>
        <v>2</v>
      </c>
    </row>
    <row r="42" spans="1:56" ht="29" x14ac:dyDescent="0.35">
      <c r="A42" s="42"/>
      <c r="B42" s="42" t="str">
        <f>_xlfn.XLOOKUP(VmSpecs[[#This Row],[Subnet]],NetworkReference[Subnet],NetworkReference[Subscription])</f>
        <v>NINP-PERF2</v>
      </c>
      <c r="C42" s="43" t="str">
        <f>_xlfn.XLOOKUP(VmSpecs[[#This Row],[Subnet]],NetworkReference[Subnet],NetworkReference[Virtual Network Resource Group])</f>
        <v>rg-pf2-network-aue-001</v>
      </c>
      <c r="D42" s="43" t="str">
        <f>_xlfn.XLOOKUP(VmSpecs[[#This Row],[Subnet]],NetworkReference[Subnet],NetworkReference[Virtual Network])</f>
        <v>vnet-pf2-workload-aue-001</v>
      </c>
      <c r="E42" s="132" t="s">
        <v>59</v>
      </c>
      <c r="F42" s="43" t="str">
        <f>_xlfn.XLOOKUP(VmSpecs[[#This Row],[Subnet]],NetworkReference[Subnet],NetworkReference[Virtual Network Peering])</f>
        <v>vnet-ninp-conn-pnp-hub-aue</v>
      </c>
      <c r="G42" s="43" t="str">
        <f>_xlfn.XLOOKUP(VmSpecs[[#This Row],[Subnet]],NetworkReference[Subnet],NetworkReference[Route Table])</f>
        <v>rt-sn-pfb-aue-pf2-app</v>
      </c>
      <c r="H42" s="43" t="str">
        <f>LOWER(VLOOKUP(VmSpecs[[#This Row],[Original Hostname (CMO)]],'SSOT Data'!A:K,10,FALSE))</f>
        <v>dcx</v>
      </c>
      <c r="I4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42" s="44" t="s">
        <v>168</v>
      </c>
      <c r="K42" s="43" t="str">
        <f>_xlfn.CONCAT("vm",MID(VmSpecs[[#This Row],[Subnet]],4,3),VLOOKUP(VmSpecs[[#This Row],[Subscription]],NetworkReference[#All],2,FALSE),VmSpecs[[#This Row],[Service]],VmSpecs[[#This Row],[VM iteration (nn)]])</f>
        <v>vmpfbpf2dcx22</v>
      </c>
      <c r="L42" s="45" t="s">
        <v>61</v>
      </c>
      <c r="M42" s="43" t="str">
        <f>VmSpecs[[#This Row],[VM Name]]&amp;".ninp.myhealthrecord.gov.au"</f>
        <v>vmpfbpf2dcx22.ninp.myhealthrecord.gov.au</v>
      </c>
      <c r="N42" s="42" t="str">
        <f t="shared" si="0"/>
        <v>nic-001-vmpfbpf2dcx22</v>
      </c>
      <c r="O42" s="94" t="s">
        <v>169</v>
      </c>
      <c r="P42" s="46" t="s">
        <v>63</v>
      </c>
      <c r="Q42" s="42" t="str">
        <f>VLOOKUP(VmSpecs[[#This Row],[Original Hostname (CMO)]],'SSOT Data'!A:E,5,FALSE)</f>
        <v>OEL7.9</v>
      </c>
      <c r="R42" s="42"/>
      <c r="S42" s="42" t="str">
        <f>_xlfn.CONCAT("avail-",LEFT(VmSpecs[[#This Row],[VM Name]],LEN(VmSpecs[[#This Row],[VM Name]])-2))</f>
        <v>avail-vmpfbpf2dcx</v>
      </c>
      <c r="T42" s="42" t="str">
        <f>_xlfn.CONCAT("asg-",LEFT(VmSpecs[[#This Row],[VM Name]],LEN(VmSpecs[[#This Row],[VM Name]])-2))</f>
        <v>asg-vmpfbpf2dcx</v>
      </c>
      <c r="U42" s="42" t="str">
        <f>_xlfn.CONCAT("nsg-",VmSpecs[[#This Row],[Subnet]])</f>
        <v>nsg-sn-pfb-aue-pf2-app</v>
      </c>
      <c r="V42" s="42"/>
      <c r="W42" s="43" t="str">
        <f>VLOOKUP(VmSpecs[[#This Row],[Original Hostname (CMO)]],'SSOT Data'!A:AX,50,FALSE)</f>
        <v>Standard_D8s_v4</v>
      </c>
      <c r="X42" s="43">
        <v>64</v>
      </c>
      <c r="Y42" s="43" t="s">
        <v>65</v>
      </c>
      <c r="Z42" s="43" t="str">
        <f>"osdisk-"&amp;VmSpecs[[#This Row],[VM Name]]</f>
        <v>osdisk-vmpfbpf2dcx22</v>
      </c>
      <c r="AA42" s="47" t="s">
        <v>66</v>
      </c>
      <c r="AB42" s="73">
        <v>8</v>
      </c>
      <c r="AC42" s="74" t="s">
        <v>65</v>
      </c>
      <c r="AD42" s="75" t="str">
        <f>"disk-"&amp;VmSpecs[[#This Row],[VM Name]]&amp;"-001"</f>
        <v>disk-vmpfbpf2dcx22-001</v>
      </c>
      <c r="AE42" s="73">
        <v>32</v>
      </c>
      <c r="AF42" s="74" t="s">
        <v>65</v>
      </c>
      <c r="AG42" s="43" t="str">
        <f>"disk-"&amp;VmSpecs[[#This Row],[VM Name]]&amp;"-002"</f>
        <v>disk-vmpfbpf2dcx22-002</v>
      </c>
      <c r="AH42" s="59"/>
      <c r="AI42" s="42"/>
      <c r="AJ42" s="42"/>
      <c r="AK42" s="42"/>
      <c r="AL42" s="42" t="str">
        <f>MID(VmSpecs[[#This Row],[VM Name]],3,9)</f>
        <v>pfbpf2dcx</v>
      </c>
      <c r="AM42" s="42" t="str" cm="1">
        <f t="array" ref="AM42">_xlfn.TEXTJOIN(CHAR(10), TRUE, IF(NfsExports[FMO Single VM IP]=VmSpecs[[#This Row],[IP]],NfsExports[FMO Export Summary],""))</f>
        <v>/apps/pcehr 30GB</v>
      </c>
      <c r="AN42" s="43" t="str" cm="1">
        <f t="array" ref="AN4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42" s="42"/>
      <c r="AP42" s="42" t="str">
        <f>VmSpecs[[#This Row],[Description]]</f>
        <v>OSB DCX Domain N22</v>
      </c>
      <c r="AQ42" s="43"/>
      <c r="AR42" s="43"/>
      <c r="AS42" s="43"/>
      <c r="AT42" s="43"/>
      <c r="AU42" s="43"/>
      <c r="AV42" s="42"/>
      <c r="AW42" s="42"/>
      <c r="AX42" s="42"/>
      <c r="AY42" s="42"/>
      <c r="AZ42" s="42"/>
      <c r="BA42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N22"
Application Service: "DCX"
Lifecycle: "PFB"</v>
      </c>
      <c r="BB42" s="78" t="s">
        <v>170</v>
      </c>
      <c r="BC42" s="42" t="str">
        <f>VLOOKUP(VmSpecs[[#This Row],[Original Hostname (CMO)]],'SSOT Data'!A:AJ,36,FALSE)</f>
        <v>OSB DCX Domain N22</v>
      </c>
      <c r="BD42" s="126">
        <f>VLOOKUP(VmSpecs[[#This Row],[Original Hostname (CMO)]],'SSOT Data'!A:AQ,43,FALSE)</f>
        <v>2</v>
      </c>
    </row>
    <row r="43" spans="1:56" ht="29" x14ac:dyDescent="0.35">
      <c r="A43" s="42"/>
      <c r="B43" s="42" t="str">
        <f>_xlfn.XLOOKUP(VmSpecs[[#This Row],[Subnet]],NetworkReference[Subnet],NetworkReference[Subscription])</f>
        <v>NINP-PERF2</v>
      </c>
      <c r="C43" s="43" t="str">
        <f>_xlfn.XLOOKUP(VmSpecs[[#This Row],[Subnet]],NetworkReference[Subnet],NetworkReference[Virtual Network Resource Group])</f>
        <v>rg-pf2-network-aue-001</v>
      </c>
      <c r="D43" s="43" t="str">
        <f>_xlfn.XLOOKUP(VmSpecs[[#This Row],[Subnet]],NetworkReference[Subnet],NetworkReference[Virtual Network])</f>
        <v>vnet-pf2-workload-aue-001</v>
      </c>
      <c r="E43" s="132" t="s">
        <v>59</v>
      </c>
      <c r="F43" s="43" t="str">
        <f>_xlfn.XLOOKUP(VmSpecs[[#This Row],[Subnet]],NetworkReference[Subnet],NetworkReference[Virtual Network Peering])</f>
        <v>vnet-ninp-conn-pnp-hub-aue</v>
      </c>
      <c r="G43" s="43" t="str">
        <f>_xlfn.XLOOKUP(VmSpecs[[#This Row],[Subnet]],NetworkReference[Subnet],NetworkReference[Route Table])</f>
        <v>rt-sn-pfb-aue-pf2-app</v>
      </c>
      <c r="H43" s="43" t="str">
        <f>LOWER(VLOOKUP(VmSpecs[[#This Row],[Original Hostname (CMO)]],'SSOT Data'!A:K,10,FALSE))</f>
        <v>dcx</v>
      </c>
      <c r="I4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43" s="44" t="s">
        <v>171</v>
      </c>
      <c r="K43" s="43" t="str">
        <f>_xlfn.CONCAT("vm",MID(VmSpecs[[#This Row],[Subnet]],4,3),VLOOKUP(VmSpecs[[#This Row],[Subscription]],NetworkReference[#All],2,FALSE),VmSpecs[[#This Row],[Service]],VmSpecs[[#This Row],[VM iteration (nn)]])</f>
        <v>vmpfbpf2dcx23</v>
      </c>
      <c r="L43" s="45" t="s">
        <v>61</v>
      </c>
      <c r="M43" s="43" t="str">
        <f>VmSpecs[[#This Row],[VM Name]]&amp;".ninp.myhealthrecord.gov.au"</f>
        <v>vmpfbpf2dcx23.ninp.myhealthrecord.gov.au</v>
      </c>
      <c r="N43" s="42" t="str">
        <f t="shared" si="0"/>
        <v>nic-001-vmpfbpf2dcx23</v>
      </c>
      <c r="O43" s="94" t="s">
        <v>172</v>
      </c>
      <c r="P43" s="46" t="s">
        <v>63</v>
      </c>
      <c r="Q43" s="42" t="str">
        <f>VLOOKUP(VmSpecs[[#This Row],[Original Hostname (CMO)]],'SSOT Data'!A:E,5,FALSE)</f>
        <v>OEL7.9</v>
      </c>
      <c r="R43" s="42"/>
      <c r="S43" s="42" t="str">
        <f>_xlfn.CONCAT("avail-",LEFT(VmSpecs[[#This Row],[VM Name]],LEN(VmSpecs[[#This Row],[VM Name]])-2))</f>
        <v>avail-vmpfbpf2dcx</v>
      </c>
      <c r="T43" s="42" t="str">
        <f>_xlfn.CONCAT("asg-",LEFT(VmSpecs[[#This Row],[VM Name]],LEN(VmSpecs[[#This Row],[VM Name]])-2))</f>
        <v>asg-vmpfbpf2dcx</v>
      </c>
      <c r="U43" s="42" t="str">
        <f>_xlfn.CONCAT("nsg-",VmSpecs[[#This Row],[Subnet]])</f>
        <v>nsg-sn-pfb-aue-pf2-app</v>
      </c>
      <c r="V43" s="42"/>
      <c r="W43" s="43" t="str">
        <f>VLOOKUP(VmSpecs[[#This Row],[Original Hostname (CMO)]],'SSOT Data'!A:AX,50,FALSE)</f>
        <v>Standard_D8s_v4</v>
      </c>
      <c r="X43" s="43">
        <v>64</v>
      </c>
      <c r="Y43" s="43" t="s">
        <v>65</v>
      </c>
      <c r="Z43" s="43" t="str">
        <f>"osdisk-"&amp;VmSpecs[[#This Row],[VM Name]]</f>
        <v>osdisk-vmpfbpf2dcx23</v>
      </c>
      <c r="AA43" s="47" t="s">
        <v>66</v>
      </c>
      <c r="AB43" s="73">
        <v>8</v>
      </c>
      <c r="AC43" s="74" t="s">
        <v>65</v>
      </c>
      <c r="AD43" s="75" t="str">
        <f>"disk-"&amp;VmSpecs[[#This Row],[VM Name]]&amp;"-001"</f>
        <v>disk-vmpfbpf2dcx23-001</v>
      </c>
      <c r="AE43" s="73">
        <v>32</v>
      </c>
      <c r="AF43" s="74" t="s">
        <v>65</v>
      </c>
      <c r="AG43" s="43" t="str">
        <f>"disk-"&amp;VmSpecs[[#This Row],[VM Name]]&amp;"-002"</f>
        <v>disk-vmpfbpf2dcx23-002</v>
      </c>
      <c r="AH43" s="59"/>
      <c r="AI43" s="42"/>
      <c r="AJ43" s="42"/>
      <c r="AK43" s="42"/>
      <c r="AL43" s="42" t="str">
        <f>MID(VmSpecs[[#This Row],[VM Name]],3,9)</f>
        <v>pfbpf2dcx</v>
      </c>
      <c r="AM43" s="42" t="str" cm="1">
        <f t="array" ref="AM43">_xlfn.TEXTJOIN(CHAR(10), TRUE, IF(NfsExports[FMO Single VM IP]=VmSpecs[[#This Row],[IP]],NfsExports[FMO Export Summary],""))</f>
        <v>/apps/pcehr 30GB</v>
      </c>
      <c r="AN43" s="43" t="str" cm="1">
        <f t="array" ref="AN4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43" s="42"/>
      <c r="AP43" s="42" t="str">
        <f>VmSpecs[[#This Row],[Description]]</f>
        <v>OSB DCX Domain N23</v>
      </c>
      <c r="AQ43" s="43"/>
      <c r="AR43" s="43"/>
      <c r="AS43" s="43"/>
      <c r="AT43" s="43"/>
      <c r="AU43" s="43"/>
      <c r="AV43" s="42"/>
      <c r="AW43" s="42"/>
      <c r="AX43" s="42"/>
      <c r="AY43" s="42"/>
      <c r="AZ43" s="42"/>
      <c r="BA43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N23"
Application Service: "DCX"
Lifecycle: "PFB"</v>
      </c>
      <c r="BB43" s="78" t="s">
        <v>173</v>
      </c>
      <c r="BC43" s="42" t="str">
        <f>VLOOKUP(VmSpecs[[#This Row],[Original Hostname (CMO)]],'SSOT Data'!A:AJ,36,FALSE)</f>
        <v>OSB DCX Domain N23</v>
      </c>
      <c r="BD43" s="126">
        <f>VLOOKUP(VmSpecs[[#This Row],[Original Hostname (CMO)]],'SSOT Data'!A:AQ,43,FALSE)</f>
        <v>2</v>
      </c>
    </row>
    <row r="44" spans="1:56" ht="29" x14ac:dyDescent="0.35">
      <c r="A44" s="42"/>
      <c r="B44" s="42" t="str">
        <f>_xlfn.XLOOKUP(VmSpecs[[#This Row],[Subnet]],NetworkReference[Subnet],NetworkReference[Subscription])</f>
        <v>NINP-PERF2</v>
      </c>
      <c r="C44" s="43" t="str">
        <f>_xlfn.XLOOKUP(VmSpecs[[#This Row],[Subnet]],NetworkReference[Subnet],NetworkReference[Virtual Network Resource Group])</f>
        <v>rg-pf2-network-aue-001</v>
      </c>
      <c r="D44" s="43" t="str">
        <f>_xlfn.XLOOKUP(VmSpecs[[#This Row],[Subnet]],NetworkReference[Subnet],NetworkReference[Virtual Network])</f>
        <v>vnet-pf2-workload-aue-001</v>
      </c>
      <c r="E44" s="132" t="s">
        <v>59</v>
      </c>
      <c r="F44" s="43" t="str">
        <f>_xlfn.XLOOKUP(VmSpecs[[#This Row],[Subnet]],NetworkReference[Subnet],NetworkReference[Virtual Network Peering])</f>
        <v>vnet-ninp-conn-pnp-hub-aue</v>
      </c>
      <c r="G44" s="43" t="str">
        <f>_xlfn.XLOOKUP(VmSpecs[[#This Row],[Subnet]],NetworkReference[Subnet],NetworkReference[Route Table])</f>
        <v>rt-sn-pfb-aue-pf2-app</v>
      </c>
      <c r="H44" s="43" t="str">
        <f>LOWER(VLOOKUP(VmSpecs[[#This Row],[Original Hostname (CMO)]],'SSOT Data'!A:K,10,FALSE))</f>
        <v>dcx</v>
      </c>
      <c r="I4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44" s="44" t="s">
        <v>174</v>
      </c>
      <c r="K44" s="43" t="str">
        <f>_xlfn.CONCAT("vm",MID(VmSpecs[[#This Row],[Subnet]],4,3),VLOOKUP(VmSpecs[[#This Row],[Subscription]],NetworkReference[#All],2,FALSE),VmSpecs[[#This Row],[Service]],VmSpecs[[#This Row],[VM iteration (nn)]])</f>
        <v>vmpfbpf2dcx24</v>
      </c>
      <c r="L44" s="45" t="s">
        <v>61</v>
      </c>
      <c r="M44" s="43" t="str">
        <f>VmSpecs[[#This Row],[VM Name]]&amp;".ninp.myhealthrecord.gov.au"</f>
        <v>vmpfbpf2dcx24.ninp.myhealthrecord.gov.au</v>
      </c>
      <c r="N44" s="42" t="str">
        <f t="shared" si="0"/>
        <v>nic-001-vmpfbpf2dcx24</v>
      </c>
      <c r="O44" s="94" t="s">
        <v>175</v>
      </c>
      <c r="P44" s="46" t="s">
        <v>63</v>
      </c>
      <c r="Q44" s="42" t="str">
        <f>VLOOKUP(VmSpecs[[#This Row],[Original Hostname (CMO)]],'SSOT Data'!A:E,5,FALSE)</f>
        <v>OEL7.9</v>
      </c>
      <c r="R44" s="42"/>
      <c r="S44" s="42" t="str">
        <f>_xlfn.CONCAT("avail-",LEFT(VmSpecs[[#This Row],[VM Name]],LEN(VmSpecs[[#This Row],[VM Name]])-2))</f>
        <v>avail-vmpfbpf2dcx</v>
      </c>
      <c r="T44" s="42" t="str">
        <f>_xlfn.CONCAT("asg-",LEFT(VmSpecs[[#This Row],[VM Name]],LEN(VmSpecs[[#This Row],[VM Name]])-2))</f>
        <v>asg-vmpfbpf2dcx</v>
      </c>
      <c r="U44" s="42" t="str">
        <f>_xlfn.CONCAT("nsg-",VmSpecs[[#This Row],[Subnet]])</f>
        <v>nsg-sn-pfb-aue-pf2-app</v>
      </c>
      <c r="V44" s="42"/>
      <c r="W44" s="43" t="str">
        <f>VLOOKUP(VmSpecs[[#This Row],[Original Hostname (CMO)]],'SSOT Data'!A:AX,50,FALSE)</f>
        <v>Standard_D8s_v4</v>
      </c>
      <c r="X44" s="43">
        <v>64</v>
      </c>
      <c r="Y44" s="43" t="s">
        <v>65</v>
      </c>
      <c r="Z44" s="43" t="str">
        <f>"osdisk-"&amp;VmSpecs[[#This Row],[VM Name]]</f>
        <v>osdisk-vmpfbpf2dcx24</v>
      </c>
      <c r="AA44" s="47" t="s">
        <v>66</v>
      </c>
      <c r="AB44" s="73">
        <v>8</v>
      </c>
      <c r="AC44" s="74" t="s">
        <v>65</v>
      </c>
      <c r="AD44" s="75" t="str">
        <f>"disk-"&amp;VmSpecs[[#This Row],[VM Name]]&amp;"-001"</f>
        <v>disk-vmpfbpf2dcx24-001</v>
      </c>
      <c r="AE44" s="73">
        <v>32</v>
      </c>
      <c r="AF44" s="74" t="s">
        <v>65</v>
      </c>
      <c r="AG44" s="43" t="str">
        <f>"disk-"&amp;VmSpecs[[#This Row],[VM Name]]&amp;"-002"</f>
        <v>disk-vmpfbpf2dcx24-002</v>
      </c>
      <c r="AH44" s="59"/>
      <c r="AI44" s="42"/>
      <c r="AJ44" s="42"/>
      <c r="AK44" s="42"/>
      <c r="AL44" s="42" t="str">
        <f>MID(VmSpecs[[#This Row],[VM Name]],3,9)</f>
        <v>pfbpf2dcx</v>
      </c>
      <c r="AM44" s="42" t="str" cm="1">
        <f t="array" ref="AM44">_xlfn.TEXTJOIN(CHAR(10), TRUE, IF(NfsExports[FMO Single VM IP]=VmSpecs[[#This Row],[IP]],NfsExports[FMO Export Summary],""))</f>
        <v>/apps/pcehr 30GB</v>
      </c>
      <c r="AN44" s="43" t="str" cm="1">
        <f t="array" ref="AN4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44" s="42"/>
      <c r="AP44" s="42" t="str">
        <f>VmSpecs[[#This Row],[Description]]</f>
        <v>OSB DCX Domain N24</v>
      </c>
      <c r="AQ44" s="43"/>
      <c r="AR44" s="43"/>
      <c r="AS44" s="43"/>
      <c r="AT44" s="43"/>
      <c r="AU44" s="43"/>
      <c r="AV44" s="42"/>
      <c r="AW44" s="42"/>
      <c r="AX44" s="42"/>
      <c r="AY44" s="42"/>
      <c r="AZ44" s="42"/>
      <c r="BA44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N24"
Application Service: "DCX"
Lifecycle: "PFB"</v>
      </c>
      <c r="BB44" s="78" t="s">
        <v>176</v>
      </c>
      <c r="BC44" s="42" t="str">
        <f>VLOOKUP(VmSpecs[[#This Row],[Original Hostname (CMO)]],'SSOT Data'!A:AJ,36,FALSE)</f>
        <v>OSB DCX Domain N24</v>
      </c>
      <c r="BD44" s="126">
        <f>VLOOKUP(VmSpecs[[#This Row],[Original Hostname (CMO)]],'SSOT Data'!A:AQ,43,FALSE)</f>
        <v>2</v>
      </c>
    </row>
    <row r="45" spans="1:56" ht="29" x14ac:dyDescent="0.35">
      <c r="A45" s="42" t="s">
        <v>58</v>
      </c>
      <c r="B45" s="42" t="str">
        <f>_xlfn.XLOOKUP(VmSpecs[[#This Row],[Subnet]],NetworkReference[Subnet],NetworkReference[Subscription])</f>
        <v>NINP-PERF2</v>
      </c>
      <c r="C45" s="43" t="str">
        <f>_xlfn.XLOOKUP(VmSpecs[[#This Row],[Subnet]],NetworkReference[Subnet],NetworkReference[Virtual Network Resource Group])</f>
        <v>rg-pf2-network-aue-001</v>
      </c>
      <c r="D45" s="43" t="str">
        <f>_xlfn.XLOOKUP(VmSpecs[[#This Row],[Subnet]],NetworkReference[Subnet],NetworkReference[Virtual Network])</f>
        <v>vnet-pf2-workload-aue-001</v>
      </c>
      <c r="E45" s="132" t="s">
        <v>59</v>
      </c>
      <c r="F45" s="43" t="str">
        <f>_xlfn.XLOOKUP(VmSpecs[[#This Row],[Subnet]],NetworkReference[Subnet],NetworkReference[Virtual Network Peering])</f>
        <v>vnet-ninp-conn-pnp-hub-aue</v>
      </c>
      <c r="G45" s="43" t="str">
        <f>_xlfn.XLOOKUP(VmSpecs[[#This Row],[Subnet]],NetworkReference[Subnet],NetworkReference[Route Table])</f>
        <v>rt-sn-pfb-aue-pf2-app</v>
      </c>
      <c r="H45" s="43" t="str">
        <f>LOWER(VLOOKUP(VmSpecs[[#This Row],[Original Hostname (CMO)]],'SSOT Data'!A:K,10,FALSE))</f>
        <v>dsm</v>
      </c>
      <c r="I4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45" s="44" t="s">
        <v>60</v>
      </c>
      <c r="K45" s="43" t="str">
        <f>_xlfn.CONCAT("vm",MID(VmSpecs[[#This Row],[Subnet]],4,3),VLOOKUP(VmSpecs[[#This Row],[Subscription]],NetworkReference[#All],2,FALSE),VmSpecs[[#This Row],[Service]],VmSpecs[[#This Row],[VM iteration (nn)]])</f>
        <v>vmpfbpf2dsm01</v>
      </c>
      <c r="L45" s="45" t="s">
        <v>61</v>
      </c>
      <c r="M45" s="43" t="str">
        <f>VmSpecs[[#This Row],[VM Name]]&amp;".ninp.myhealthrecord.gov.au"</f>
        <v>vmpfbpf2dsm01.ninp.myhealthrecord.gov.au</v>
      </c>
      <c r="N45" s="42" t="str">
        <f t="shared" si="0"/>
        <v>nic-001-vmpfbpf2dsm01</v>
      </c>
      <c r="O45" s="94" t="s">
        <v>177</v>
      </c>
      <c r="P45" s="46" t="s">
        <v>63</v>
      </c>
      <c r="Q45" s="42" t="str">
        <f>VLOOKUP(VmSpecs[[#This Row],[Original Hostname (CMO)]],'SSOT Data'!A:E,5,FALSE)</f>
        <v>OEL7.9</v>
      </c>
      <c r="R45" s="42"/>
      <c r="S45" s="42" t="str">
        <f>_xlfn.CONCAT("avail-",LEFT(VmSpecs[[#This Row],[VM Name]],LEN(VmSpecs[[#This Row],[VM Name]])-2))</f>
        <v>avail-vmpfbpf2dsm</v>
      </c>
      <c r="T45" s="42" t="str">
        <f>_xlfn.CONCAT("asg-",LEFT(VmSpecs[[#This Row],[VM Name]],LEN(VmSpecs[[#This Row],[VM Name]])-2))</f>
        <v>asg-vmpfbpf2dsm</v>
      </c>
      <c r="U45" s="42" t="str">
        <f>_xlfn.CONCAT("nsg-",VmSpecs[[#This Row],[Subnet]])</f>
        <v>nsg-sn-pfb-aue-pf2-app</v>
      </c>
      <c r="V45" s="42" t="s">
        <v>64</v>
      </c>
      <c r="W45" s="43" t="str">
        <f>VLOOKUP(VmSpecs[[#This Row],[Original Hostname (CMO)]],'SSOT Data'!A:AX,50,FALSE)</f>
        <v>Standard_D2s_v4</v>
      </c>
      <c r="X45" s="43">
        <v>64</v>
      </c>
      <c r="Y45" s="43" t="s">
        <v>65</v>
      </c>
      <c r="Z45" s="43" t="str">
        <f>"osdisk-"&amp;VmSpecs[[#This Row],[VM Name]]</f>
        <v>osdisk-vmpfbpf2dsm01</v>
      </c>
      <c r="AA45" s="47" t="s">
        <v>66</v>
      </c>
      <c r="AB45" s="73">
        <v>8</v>
      </c>
      <c r="AC45" s="74" t="s">
        <v>65</v>
      </c>
      <c r="AD45" s="75" t="str">
        <f>"disk-"&amp;VmSpecs[[#This Row],[VM Name]]&amp;"-001"</f>
        <v>disk-vmpfbpf2dsm01-001</v>
      </c>
      <c r="AE45" s="73">
        <v>32</v>
      </c>
      <c r="AF45" s="74" t="s">
        <v>65</v>
      </c>
      <c r="AG45" s="43" t="str">
        <f>"disk-"&amp;VmSpecs[[#This Row],[VM Name]]&amp;"-002"</f>
        <v>disk-vmpfbpf2dsm01-002</v>
      </c>
      <c r="AH45" s="59"/>
      <c r="AI45" s="42"/>
      <c r="AJ45" s="42"/>
      <c r="AK45" s="42"/>
      <c r="AL45" s="42" t="str">
        <f>MID(VmSpecs[[#This Row],[VM Name]],3,9)</f>
        <v>pfbpf2dsm</v>
      </c>
      <c r="AM45" s="42" t="str" cm="1">
        <f t="array" ref="AM45">_xlfn.TEXTJOIN(CHAR(10), TRUE, IF(NfsExports[FMO Single VM IP]=VmSpecs[[#This Row],[IP]],NfsExports[FMO Export Summary],""))</f>
        <v>/apps/pcehr 30GB</v>
      </c>
      <c r="AN45" s="43" t="str" cm="1">
        <f t="array" ref="AN4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45" s="42"/>
      <c r="AP45" s="42" t="str">
        <f>VmSpecs[[#This Row],[Description]]</f>
        <v>ODSM N1</v>
      </c>
      <c r="AQ45" s="43"/>
      <c r="AR45" s="43" t="s">
        <v>64</v>
      </c>
      <c r="AS45" s="43" t="s">
        <v>64</v>
      </c>
      <c r="AT45" s="43" t="s">
        <v>64</v>
      </c>
      <c r="AU45" s="43" t="s">
        <v>64</v>
      </c>
      <c r="AV45" s="42" t="s">
        <v>66</v>
      </c>
      <c r="AW45" s="42" t="s">
        <v>67</v>
      </c>
      <c r="AX45" s="42" t="s">
        <v>68</v>
      </c>
      <c r="AY45" s="42" t="s">
        <v>64</v>
      </c>
      <c r="AZ45" s="42" t="s">
        <v>64</v>
      </c>
      <c r="BA4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"ODSM N1"
Application Service: "DSM"
Lifecycle: "PFB"</v>
      </c>
      <c r="BB45" s="78" t="s">
        <v>178</v>
      </c>
      <c r="BC45" s="42" t="str">
        <f>VLOOKUP(VmSpecs[[#This Row],[Original Hostname (CMO)]],'SSOT Data'!A:AJ,36,FALSE)</f>
        <v>ODSM N1</v>
      </c>
      <c r="BD45" s="43"/>
    </row>
    <row r="46" spans="1:56" ht="29" x14ac:dyDescent="0.35">
      <c r="A46" s="42" t="s">
        <v>58</v>
      </c>
      <c r="B46" s="42" t="str">
        <f>_xlfn.XLOOKUP(VmSpecs[[#This Row],[Subnet]],NetworkReference[Subnet],NetworkReference[Subscription])</f>
        <v>NINP-PERF2</v>
      </c>
      <c r="C46" s="43" t="str">
        <f>_xlfn.XLOOKUP(VmSpecs[[#This Row],[Subnet]],NetworkReference[Subnet],NetworkReference[Virtual Network Resource Group])</f>
        <v>rg-pf2-network-aue-001</v>
      </c>
      <c r="D46" s="43" t="str">
        <f>_xlfn.XLOOKUP(VmSpecs[[#This Row],[Subnet]],NetworkReference[Subnet],NetworkReference[Virtual Network])</f>
        <v>vnet-pf2-workload-aue-001</v>
      </c>
      <c r="E46" s="132" t="s">
        <v>59</v>
      </c>
      <c r="F46" s="43" t="str">
        <f>_xlfn.XLOOKUP(VmSpecs[[#This Row],[Subnet]],NetworkReference[Subnet],NetworkReference[Virtual Network Peering])</f>
        <v>vnet-ninp-conn-pnp-hub-aue</v>
      </c>
      <c r="G46" s="43" t="str">
        <f>_xlfn.XLOOKUP(VmSpecs[[#This Row],[Subnet]],NetworkReference[Subnet],NetworkReference[Route Table])</f>
        <v>rt-sn-pfb-aue-pf2-app</v>
      </c>
      <c r="H46" s="43" t="str">
        <f>LOWER(VLOOKUP(VmSpecs[[#This Row],[Original Hostname (CMO)]],'SSOT Data'!A:K,10,FALSE))</f>
        <v>hdr</v>
      </c>
      <c r="I4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46" s="44" t="s">
        <v>60</v>
      </c>
      <c r="K46" s="43" t="str">
        <f>_xlfn.CONCAT("vm",MID(VmSpecs[[#This Row],[Subnet]],4,3),VLOOKUP(VmSpecs[[#This Row],[Subscription]],NetworkReference[#All],2,FALSE),VmSpecs[[#This Row],[Service]],VmSpecs[[#This Row],[VM iteration (nn)]])</f>
        <v>vmpfbpf2hdr01</v>
      </c>
      <c r="L46" s="45" t="s">
        <v>61</v>
      </c>
      <c r="M46" s="43" t="str">
        <f>VmSpecs[[#This Row],[VM Name]]&amp;".ninp.myhealthrecord.gov.au"</f>
        <v>vmpfbpf2hdr01.ninp.myhealthrecord.gov.au</v>
      </c>
      <c r="N46" s="42" t="str">
        <f t="shared" si="0"/>
        <v>nic-001-vmpfbpf2hdr01</v>
      </c>
      <c r="O46" s="94" t="s">
        <v>179</v>
      </c>
      <c r="P46" s="46" t="s">
        <v>63</v>
      </c>
      <c r="Q46" s="42" t="str">
        <f>VLOOKUP(VmSpecs[[#This Row],[Original Hostname (CMO)]],'SSOT Data'!A:E,5,FALSE)</f>
        <v>OEL7.9</v>
      </c>
      <c r="R46" s="42"/>
      <c r="S46" s="42" t="str">
        <f>_xlfn.CONCAT("avail-",LEFT(VmSpecs[[#This Row],[VM Name]],LEN(VmSpecs[[#This Row],[VM Name]])-2))</f>
        <v>avail-vmpfbpf2hdr</v>
      </c>
      <c r="T46" s="42" t="str">
        <f>_xlfn.CONCAT("asg-",LEFT(VmSpecs[[#This Row],[VM Name]],LEN(VmSpecs[[#This Row],[VM Name]])-2))</f>
        <v>asg-vmpfbpf2hdr</v>
      </c>
      <c r="U46" s="42" t="str">
        <f>_xlfn.CONCAT("nsg-",VmSpecs[[#This Row],[Subnet]])</f>
        <v>nsg-sn-pfb-aue-pf2-app</v>
      </c>
      <c r="V46" s="42" t="s">
        <v>64</v>
      </c>
      <c r="W46" s="43" t="str">
        <f>VLOOKUP(VmSpecs[[#This Row],[Original Hostname (CMO)]],'SSOT Data'!A:AX,50,FALSE)</f>
        <v>Standard_D8s_v4</v>
      </c>
      <c r="X46" s="43">
        <v>64</v>
      </c>
      <c r="Y46" s="43" t="s">
        <v>65</v>
      </c>
      <c r="Z46" s="43" t="str">
        <f>"osdisk-"&amp;VmSpecs[[#This Row],[VM Name]]</f>
        <v>osdisk-vmpfbpf2hdr01</v>
      </c>
      <c r="AA46" s="47" t="s">
        <v>66</v>
      </c>
      <c r="AB46" s="73">
        <v>8</v>
      </c>
      <c r="AC46" s="74" t="s">
        <v>65</v>
      </c>
      <c r="AD46" s="75" t="str">
        <f>"disk-"&amp;VmSpecs[[#This Row],[VM Name]]&amp;"-001"</f>
        <v>disk-vmpfbpf2hdr01-001</v>
      </c>
      <c r="AE46" s="73">
        <v>32</v>
      </c>
      <c r="AF46" s="74" t="s">
        <v>65</v>
      </c>
      <c r="AG46" s="43" t="str">
        <f>"disk-"&amp;VmSpecs[[#This Row],[VM Name]]&amp;"-002"</f>
        <v>disk-vmpfbpf2hdr01-002</v>
      </c>
      <c r="AH46" s="59"/>
      <c r="AI46" s="42"/>
      <c r="AJ46" s="42"/>
      <c r="AK46" s="42"/>
      <c r="AL46" s="42" t="str">
        <f>MID(VmSpecs[[#This Row],[VM Name]],3,9)</f>
        <v>pfbpf2hdr</v>
      </c>
      <c r="AM46" s="42" t="str" cm="1">
        <f t="array" ref="AM46">_xlfn.TEXTJOIN(CHAR(10), TRUE, IF(NfsExports[FMO Single VM IP]=VmSpecs[[#This Row],[IP]],NfsExports[FMO Export Summary],""))</f>
        <v>/apps/pcehr 45GB</v>
      </c>
      <c r="AN46" s="43" t="str" cm="1">
        <f t="array" ref="AN4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46" s="42"/>
      <c r="AP46" s="42" t="str">
        <f>VmSpecs[[#This Row],[Description]]</f>
        <v>HDR N1</v>
      </c>
      <c r="AQ46" s="43"/>
      <c r="AR46" s="43" t="s">
        <v>64</v>
      </c>
      <c r="AS46" s="43" t="s">
        <v>64</v>
      </c>
      <c r="AT46" s="43" t="s">
        <v>64</v>
      </c>
      <c r="AU46" s="43" t="s">
        <v>64</v>
      </c>
      <c r="AV46" s="42" t="s">
        <v>66</v>
      </c>
      <c r="AW46" s="42" t="s">
        <v>67</v>
      </c>
      <c r="AX46" s="42" t="s">
        <v>68</v>
      </c>
      <c r="AY46" s="42" t="s">
        <v>64</v>
      </c>
      <c r="AZ46" s="42" t="s">
        <v>64</v>
      </c>
      <c r="BA4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N1"
Application Service: "HDR"
Lifecycle: "PFB"</v>
      </c>
      <c r="BB46" s="78" t="s">
        <v>180</v>
      </c>
      <c r="BC46" s="42" t="str">
        <f>VLOOKUP(VmSpecs[[#This Row],[Original Hostname (CMO)]],'SSOT Data'!A:AJ,36,FALSE)</f>
        <v>HDR N1</v>
      </c>
      <c r="BD46" s="43"/>
    </row>
    <row r="47" spans="1:56" ht="29" x14ac:dyDescent="0.35">
      <c r="A47" s="42" t="s">
        <v>58</v>
      </c>
      <c r="B47" s="42" t="str">
        <f>_xlfn.XLOOKUP(VmSpecs[[#This Row],[Subnet]],NetworkReference[Subnet],NetworkReference[Subscription])</f>
        <v>NINP-PERF2</v>
      </c>
      <c r="C47" s="43" t="str">
        <f>_xlfn.XLOOKUP(VmSpecs[[#This Row],[Subnet]],NetworkReference[Subnet],NetworkReference[Virtual Network Resource Group])</f>
        <v>rg-pf2-network-aue-001</v>
      </c>
      <c r="D47" s="43" t="str">
        <f>_xlfn.XLOOKUP(VmSpecs[[#This Row],[Subnet]],NetworkReference[Subnet],NetworkReference[Virtual Network])</f>
        <v>vnet-pf2-workload-aue-001</v>
      </c>
      <c r="E47" s="132" t="s">
        <v>59</v>
      </c>
      <c r="F47" s="43" t="str">
        <f>_xlfn.XLOOKUP(VmSpecs[[#This Row],[Subnet]],NetworkReference[Subnet],NetworkReference[Virtual Network Peering])</f>
        <v>vnet-ninp-conn-pnp-hub-aue</v>
      </c>
      <c r="G47" s="43" t="str">
        <f>_xlfn.XLOOKUP(VmSpecs[[#This Row],[Subnet]],NetworkReference[Subnet],NetworkReference[Route Table])</f>
        <v>rt-sn-pfb-aue-pf2-app</v>
      </c>
      <c r="H47" s="43" t="str">
        <f>LOWER(VLOOKUP(VmSpecs[[#This Row],[Original Hostname (CMO)]],'SSOT Data'!A:K,10,FALSE))</f>
        <v>hdr</v>
      </c>
      <c r="I4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47" s="44" t="s">
        <v>72</v>
      </c>
      <c r="K47" s="43" t="str">
        <f>_xlfn.CONCAT("vm",MID(VmSpecs[[#This Row],[Subnet]],4,3),VLOOKUP(VmSpecs[[#This Row],[Subscription]],NetworkReference[#All],2,FALSE),VmSpecs[[#This Row],[Service]],VmSpecs[[#This Row],[VM iteration (nn)]])</f>
        <v>vmpfbpf2hdr02</v>
      </c>
      <c r="L47" s="45" t="s">
        <v>61</v>
      </c>
      <c r="M47" s="43" t="str">
        <f>VmSpecs[[#This Row],[VM Name]]&amp;".ninp.myhealthrecord.gov.au"</f>
        <v>vmpfbpf2hdr02.ninp.myhealthrecord.gov.au</v>
      </c>
      <c r="N47" s="42" t="str">
        <f t="shared" si="0"/>
        <v>nic-001-vmpfbpf2hdr02</v>
      </c>
      <c r="O47" s="94" t="s">
        <v>181</v>
      </c>
      <c r="P47" s="46" t="s">
        <v>63</v>
      </c>
      <c r="Q47" s="42" t="str">
        <f>VLOOKUP(VmSpecs[[#This Row],[Original Hostname (CMO)]],'SSOT Data'!A:E,5,FALSE)</f>
        <v>OEL7.9</v>
      </c>
      <c r="R47" s="42"/>
      <c r="S47" s="42" t="str">
        <f>_xlfn.CONCAT("avail-",LEFT(VmSpecs[[#This Row],[VM Name]],LEN(VmSpecs[[#This Row],[VM Name]])-2))</f>
        <v>avail-vmpfbpf2hdr</v>
      </c>
      <c r="T47" s="42" t="str">
        <f>_xlfn.CONCAT("asg-",LEFT(VmSpecs[[#This Row],[VM Name]],LEN(VmSpecs[[#This Row],[VM Name]])-2))</f>
        <v>asg-vmpfbpf2hdr</v>
      </c>
      <c r="U47" s="42" t="str">
        <f>_xlfn.CONCAT("nsg-",VmSpecs[[#This Row],[Subnet]])</f>
        <v>nsg-sn-pfb-aue-pf2-app</v>
      </c>
      <c r="V47" s="42" t="s">
        <v>64</v>
      </c>
      <c r="W47" s="43" t="str">
        <f>VLOOKUP(VmSpecs[[#This Row],[Original Hostname (CMO)]],'SSOT Data'!A:AX,50,FALSE)</f>
        <v>Standard_D8s_v4</v>
      </c>
      <c r="X47" s="43">
        <v>64</v>
      </c>
      <c r="Y47" s="43" t="s">
        <v>65</v>
      </c>
      <c r="Z47" s="43" t="str">
        <f>"osdisk-"&amp;VmSpecs[[#This Row],[VM Name]]</f>
        <v>osdisk-vmpfbpf2hdr02</v>
      </c>
      <c r="AA47" s="47" t="s">
        <v>66</v>
      </c>
      <c r="AB47" s="73">
        <v>8</v>
      </c>
      <c r="AC47" s="74" t="s">
        <v>65</v>
      </c>
      <c r="AD47" s="75" t="str">
        <f>"disk-"&amp;VmSpecs[[#This Row],[VM Name]]&amp;"-001"</f>
        <v>disk-vmpfbpf2hdr02-001</v>
      </c>
      <c r="AE47" s="73">
        <v>32</v>
      </c>
      <c r="AF47" s="74" t="s">
        <v>65</v>
      </c>
      <c r="AG47" s="43" t="str">
        <f>"disk-"&amp;VmSpecs[[#This Row],[VM Name]]&amp;"-002"</f>
        <v>disk-vmpfbpf2hdr02-002</v>
      </c>
      <c r="AH47" s="59"/>
      <c r="AI47" s="42"/>
      <c r="AJ47" s="42"/>
      <c r="AK47" s="42"/>
      <c r="AL47" s="42" t="str">
        <f>MID(VmSpecs[[#This Row],[VM Name]],3,9)</f>
        <v>pfbpf2hdr</v>
      </c>
      <c r="AM47" s="42" t="str" cm="1">
        <f t="array" ref="AM47">_xlfn.TEXTJOIN(CHAR(10), TRUE, IF(NfsExports[FMO Single VM IP]=VmSpecs[[#This Row],[IP]],NfsExports[FMO Export Summary],""))</f>
        <v>/apps/pcehr 45GB</v>
      </c>
      <c r="AN47" s="43" t="str" cm="1">
        <f t="array" ref="AN4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47" s="42"/>
      <c r="AP47" s="42" t="str">
        <f>VmSpecs[[#This Row],[Description]]</f>
        <v>HDR N2</v>
      </c>
      <c r="AQ47" s="43"/>
      <c r="AR47" s="43" t="s">
        <v>64</v>
      </c>
      <c r="AS47" s="43" t="s">
        <v>64</v>
      </c>
      <c r="AT47" s="43" t="s">
        <v>64</v>
      </c>
      <c r="AU47" s="43" t="s">
        <v>64</v>
      </c>
      <c r="AV47" s="42" t="s">
        <v>66</v>
      </c>
      <c r="AW47" s="42" t="s">
        <v>67</v>
      </c>
      <c r="AX47" s="42" t="s">
        <v>68</v>
      </c>
      <c r="AY47" s="42" t="s">
        <v>64</v>
      </c>
      <c r="AZ47" s="42" t="s">
        <v>64</v>
      </c>
      <c r="BA4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N2"
Application Service: "HDR"
Lifecycle: "PFB"</v>
      </c>
      <c r="BB47" s="78" t="s">
        <v>182</v>
      </c>
      <c r="BC47" s="42" t="str">
        <f>VLOOKUP(VmSpecs[[#This Row],[Original Hostname (CMO)]],'SSOT Data'!A:AJ,36,FALSE)</f>
        <v>HDR N2</v>
      </c>
      <c r="BD47" s="43"/>
    </row>
    <row r="48" spans="1:56" ht="29" x14ac:dyDescent="0.35">
      <c r="A48" s="42" t="s">
        <v>58</v>
      </c>
      <c r="B48" s="42" t="str">
        <f>_xlfn.XLOOKUP(VmSpecs[[#This Row],[Subnet]],NetworkReference[Subnet],NetworkReference[Subscription])</f>
        <v>NINP-PERF2</v>
      </c>
      <c r="C48" s="43" t="str">
        <f>_xlfn.XLOOKUP(VmSpecs[[#This Row],[Subnet]],NetworkReference[Subnet],NetworkReference[Virtual Network Resource Group])</f>
        <v>rg-pf2-network-aue-001</v>
      </c>
      <c r="D48" s="43" t="str">
        <f>_xlfn.XLOOKUP(VmSpecs[[#This Row],[Subnet]],NetworkReference[Subnet],NetworkReference[Virtual Network])</f>
        <v>vnet-pf2-workload-aue-001</v>
      </c>
      <c r="E48" s="132" t="s">
        <v>59</v>
      </c>
      <c r="F48" s="43" t="str">
        <f>_xlfn.XLOOKUP(VmSpecs[[#This Row],[Subnet]],NetworkReference[Subnet],NetworkReference[Virtual Network Peering])</f>
        <v>vnet-ninp-conn-pnp-hub-aue</v>
      </c>
      <c r="G48" s="43" t="str">
        <f>_xlfn.XLOOKUP(VmSpecs[[#This Row],[Subnet]],NetworkReference[Subnet],NetworkReference[Route Table])</f>
        <v>rt-sn-pfb-aue-pf2-app</v>
      </c>
      <c r="H48" s="43" t="str">
        <f>LOWER(VLOOKUP(VmSpecs[[#This Row],[Original Hostname (CMO)]],'SSOT Data'!A:K,10,FALSE))</f>
        <v>hdr</v>
      </c>
      <c r="I4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48" s="44" t="s">
        <v>75</v>
      </c>
      <c r="K48" s="43" t="str">
        <f>_xlfn.CONCAT("vm",MID(VmSpecs[[#This Row],[Subnet]],4,3),VLOOKUP(VmSpecs[[#This Row],[Subscription]],NetworkReference[#All],2,FALSE),VmSpecs[[#This Row],[Service]],VmSpecs[[#This Row],[VM iteration (nn)]])</f>
        <v>vmpfbpf2hdr03</v>
      </c>
      <c r="L48" s="45" t="s">
        <v>61</v>
      </c>
      <c r="M48" s="43" t="str">
        <f>VmSpecs[[#This Row],[VM Name]]&amp;".ninp.myhealthrecord.gov.au"</f>
        <v>vmpfbpf2hdr03.ninp.myhealthrecord.gov.au</v>
      </c>
      <c r="N48" s="42" t="str">
        <f t="shared" si="0"/>
        <v>nic-001-vmpfbpf2hdr03</v>
      </c>
      <c r="O48" s="94" t="s">
        <v>183</v>
      </c>
      <c r="P48" s="46" t="s">
        <v>63</v>
      </c>
      <c r="Q48" s="42" t="str">
        <f>VLOOKUP(VmSpecs[[#This Row],[Original Hostname (CMO)]],'SSOT Data'!A:E,5,FALSE)</f>
        <v>OEL7.9</v>
      </c>
      <c r="R48" s="42"/>
      <c r="S48" s="42" t="str">
        <f>_xlfn.CONCAT("avail-",LEFT(VmSpecs[[#This Row],[VM Name]],LEN(VmSpecs[[#This Row],[VM Name]])-2))</f>
        <v>avail-vmpfbpf2hdr</v>
      </c>
      <c r="T48" s="42" t="str">
        <f>_xlfn.CONCAT("asg-",LEFT(VmSpecs[[#This Row],[VM Name]],LEN(VmSpecs[[#This Row],[VM Name]])-2))</f>
        <v>asg-vmpfbpf2hdr</v>
      </c>
      <c r="U48" s="42" t="str">
        <f>_xlfn.CONCAT("nsg-",VmSpecs[[#This Row],[Subnet]])</f>
        <v>nsg-sn-pfb-aue-pf2-app</v>
      </c>
      <c r="V48" s="42" t="s">
        <v>64</v>
      </c>
      <c r="W48" s="43" t="str">
        <f>VLOOKUP(VmSpecs[[#This Row],[Original Hostname (CMO)]],'SSOT Data'!A:AX,50,FALSE)</f>
        <v>Standard_D8s_v4</v>
      </c>
      <c r="X48" s="43">
        <v>64</v>
      </c>
      <c r="Y48" s="43" t="s">
        <v>65</v>
      </c>
      <c r="Z48" s="43" t="str">
        <f>"osdisk-"&amp;VmSpecs[[#This Row],[VM Name]]</f>
        <v>osdisk-vmpfbpf2hdr03</v>
      </c>
      <c r="AA48" s="47" t="s">
        <v>66</v>
      </c>
      <c r="AB48" s="73">
        <v>8</v>
      </c>
      <c r="AC48" s="74" t="s">
        <v>65</v>
      </c>
      <c r="AD48" s="75" t="str">
        <f>"disk-"&amp;VmSpecs[[#This Row],[VM Name]]&amp;"-001"</f>
        <v>disk-vmpfbpf2hdr03-001</v>
      </c>
      <c r="AE48" s="73">
        <v>32</v>
      </c>
      <c r="AF48" s="74" t="s">
        <v>65</v>
      </c>
      <c r="AG48" s="43" t="str">
        <f>"disk-"&amp;VmSpecs[[#This Row],[VM Name]]&amp;"-002"</f>
        <v>disk-vmpfbpf2hdr03-002</v>
      </c>
      <c r="AH48" s="59"/>
      <c r="AI48" s="42"/>
      <c r="AJ48" s="42"/>
      <c r="AK48" s="42"/>
      <c r="AL48" s="42" t="str">
        <f>MID(VmSpecs[[#This Row],[VM Name]],3,9)</f>
        <v>pfbpf2hdr</v>
      </c>
      <c r="AM48" s="42" t="str" cm="1">
        <f t="array" ref="AM48">_xlfn.TEXTJOIN(CHAR(10), TRUE, IF(NfsExports[FMO Single VM IP]=VmSpecs[[#This Row],[IP]],NfsExports[FMO Export Summary],""))</f>
        <v>/apps/pcehr 45GB</v>
      </c>
      <c r="AN48" s="43" t="str" cm="1">
        <f t="array" ref="AN4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48" s="42"/>
      <c r="AP48" s="42" t="str">
        <f>VmSpecs[[#This Row],[Description]]</f>
        <v>HDR N3</v>
      </c>
      <c r="AQ48" s="43"/>
      <c r="AR48" s="43" t="s">
        <v>64</v>
      </c>
      <c r="AS48" s="43" t="s">
        <v>64</v>
      </c>
      <c r="AT48" s="43" t="s">
        <v>64</v>
      </c>
      <c r="AU48" s="43" t="s">
        <v>64</v>
      </c>
      <c r="AV48" s="42" t="s">
        <v>66</v>
      </c>
      <c r="AW48" s="42" t="s">
        <v>67</v>
      </c>
      <c r="AX48" s="42" t="s">
        <v>68</v>
      </c>
      <c r="AY48" s="42" t="s">
        <v>64</v>
      </c>
      <c r="AZ48" s="42" t="s">
        <v>64</v>
      </c>
      <c r="BA4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N3"
Application Service: "HDR"
Lifecycle: "PFB"</v>
      </c>
      <c r="BB48" s="78" t="s">
        <v>184</v>
      </c>
      <c r="BC48" s="42" t="str">
        <f>VLOOKUP(VmSpecs[[#This Row],[Original Hostname (CMO)]],'SSOT Data'!A:AJ,36,FALSE)</f>
        <v>HDR N3</v>
      </c>
      <c r="BD48" s="43"/>
    </row>
    <row r="49" spans="1:56" ht="29" x14ac:dyDescent="0.35">
      <c r="A49" s="42" t="s">
        <v>58</v>
      </c>
      <c r="B49" s="42" t="str">
        <f>_xlfn.XLOOKUP(VmSpecs[[#This Row],[Subnet]],NetworkReference[Subnet],NetworkReference[Subscription])</f>
        <v>NINP-PERF2</v>
      </c>
      <c r="C49" s="43" t="str">
        <f>_xlfn.XLOOKUP(VmSpecs[[#This Row],[Subnet]],NetworkReference[Subnet],NetworkReference[Virtual Network Resource Group])</f>
        <v>rg-pf2-network-aue-001</v>
      </c>
      <c r="D49" s="43" t="str">
        <f>_xlfn.XLOOKUP(VmSpecs[[#This Row],[Subnet]],NetworkReference[Subnet],NetworkReference[Virtual Network])</f>
        <v>vnet-pf2-workload-aue-001</v>
      </c>
      <c r="E49" s="132" t="s">
        <v>59</v>
      </c>
      <c r="F49" s="43" t="str">
        <f>_xlfn.XLOOKUP(VmSpecs[[#This Row],[Subnet]],NetworkReference[Subnet],NetworkReference[Virtual Network Peering])</f>
        <v>vnet-ninp-conn-pnp-hub-aue</v>
      </c>
      <c r="G49" s="43" t="str">
        <f>_xlfn.XLOOKUP(VmSpecs[[#This Row],[Subnet]],NetworkReference[Subnet],NetworkReference[Route Table])</f>
        <v>rt-sn-pfb-aue-pf2-app</v>
      </c>
      <c r="H49" s="43" t="str">
        <f>LOWER(VLOOKUP(VmSpecs[[#This Row],[Original Hostname (CMO)]],'SSOT Data'!A:K,10,FALSE))</f>
        <v>hdr</v>
      </c>
      <c r="I4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49" s="44" t="s">
        <v>78</v>
      </c>
      <c r="K49" s="43" t="str">
        <f>_xlfn.CONCAT("vm",MID(VmSpecs[[#This Row],[Subnet]],4,3),VLOOKUP(VmSpecs[[#This Row],[Subscription]],NetworkReference[#All],2,FALSE),VmSpecs[[#This Row],[Service]],VmSpecs[[#This Row],[VM iteration (nn)]])</f>
        <v>vmpfbpf2hdr04</v>
      </c>
      <c r="L49" s="45" t="s">
        <v>61</v>
      </c>
      <c r="M49" s="43" t="str">
        <f>VmSpecs[[#This Row],[VM Name]]&amp;".ninp.myhealthrecord.gov.au"</f>
        <v>vmpfbpf2hdr04.ninp.myhealthrecord.gov.au</v>
      </c>
      <c r="N49" s="42" t="str">
        <f t="shared" si="0"/>
        <v>nic-001-vmpfbpf2hdr04</v>
      </c>
      <c r="O49" s="94" t="s">
        <v>185</v>
      </c>
      <c r="P49" s="46" t="s">
        <v>63</v>
      </c>
      <c r="Q49" s="42" t="str">
        <f>VLOOKUP(VmSpecs[[#This Row],[Original Hostname (CMO)]],'SSOT Data'!A:E,5,FALSE)</f>
        <v>OEL7.9</v>
      </c>
      <c r="R49" s="42"/>
      <c r="S49" s="42" t="str">
        <f>_xlfn.CONCAT("avail-",LEFT(VmSpecs[[#This Row],[VM Name]],LEN(VmSpecs[[#This Row],[VM Name]])-2))</f>
        <v>avail-vmpfbpf2hdr</v>
      </c>
      <c r="T49" s="42" t="str">
        <f>_xlfn.CONCAT("asg-",LEFT(VmSpecs[[#This Row],[VM Name]],LEN(VmSpecs[[#This Row],[VM Name]])-2))</f>
        <v>asg-vmpfbpf2hdr</v>
      </c>
      <c r="U49" s="42" t="str">
        <f>_xlfn.CONCAT("nsg-",VmSpecs[[#This Row],[Subnet]])</f>
        <v>nsg-sn-pfb-aue-pf2-app</v>
      </c>
      <c r="V49" s="42" t="s">
        <v>64</v>
      </c>
      <c r="W49" s="43" t="str">
        <f>VLOOKUP(VmSpecs[[#This Row],[Original Hostname (CMO)]],'SSOT Data'!A:AX,50,FALSE)</f>
        <v>Standard_D8s_v4</v>
      </c>
      <c r="X49" s="43">
        <v>64</v>
      </c>
      <c r="Y49" s="43" t="s">
        <v>65</v>
      </c>
      <c r="Z49" s="43" t="str">
        <f>"osdisk-"&amp;VmSpecs[[#This Row],[VM Name]]</f>
        <v>osdisk-vmpfbpf2hdr04</v>
      </c>
      <c r="AA49" s="47" t="s">
        <v>66</v>
      </c>
      <c r="AB49" s="73">
        <v>8</v>
      </c>
      <c r="AC49" s="74" t="s">
        <v>65</v>
      </c>
      <c r="AD49" s="75" t="str">
        <f>"disk-"&amp;VmSpecs[[#This Row],[VM Name]]&amp;"-001"</f>
        <v>disk-vmpfbpf2hdr04-001</v>
      </c>
      <c r="AE49" s="73">
        <v>32</v>
      </c>
      <c r="AF49" s="74" t="s">
        <v>65</v>
      </c>
      <c r="AG49" s="43" t="str">
        <f>"disk-"&amp;VmSpecs[[#This Row],[VM Name]]&amp;"-002"</f>
        <v>disk-vmpfbpf2hdr04-002</v>
      </c>
      <c r="AH49" s="59"/>
      <c r="AI49" s="42"/>
      <c r="AJ49" s="42"/>
      <c r="AK49" s="42"/>
      <c r="AL49" s="42" t="str">
        <f>MID(VmSpecs[[#This Row],[VM Name]],3,9)</f>
        <v>pfbpf2hdr</v>
      </c>
      <c r="AM49" s="42" t="str" cm="1">
        <f t="array" ref="AM49">_xlfn.TEXTJOIN(CHAR(10), TRUE, IF(NfsExports[FMO Single VM IP]=VmSpecs[[#This Row],[IP]],NfsExports[FMO Export Summary],""))</f>
        <v>/apps/pcehr 45GB</v>
      </c>
      <c r="AN49" s="43" t="str" cm="1">
        <f t="array" ref="AN4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49" s="42"/>
      <c r="AP49" s="42" t="str">
        <f>VmSpecs[[#This Row],[Description]]</f>
        <v>HDR N4</v>
      </c>
      <c r="AQ49" s="43"/>
      <c r="AR49" s="43" t="s">
        <v>64</v>
      </c>
      <c r="AS49" s="43" t="s">
        <v>64</v>
      </c>
      <c r="AT49" s="43" t="s">
        <v>64</v>
      </c>
      <c r="AU49" s="43" t="s">
        <v>64</v>
      </c>
      <c r="AV49" s="42" t="s">
        <v>66</v>
      </c>
      <c r="AW49" s="42" t="s">
        <v>67</v>
      </c>
      <c r="AX49" s="42" t="s">
        <v>68</v>
      </c>
      <c r="AY49" s="42" t="s">
        <v>64</v>
      </c>
      <c r="AZ49" s="42" t="s">
        <v>64</v>
      </c>
      <c r="BA4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N4"
Application Service: "HDR"
Lifecycle: "PFB"</v>
      </c>
      <c r="BB49" s="78" t="s">
        <v>186</v>
      </c>
      <c r="BC49" s="42" t="str">
        <f>VLOOKUP(VmSpecs[[#This Row],[Original Hostname (CMO)]],'SSOT Data'!A:AJ,36,FALSE)</f>
        <v>HDR N4</v>
      </c>
      <c r="BD49" s="43"/>
    </row>
    <row r="50" spans="1:56" ht="29" x14ac:dyDescent="0.35">
      <c r="A50" s="42" t="s">
        <v>58</v>
      </c>
      <c r="B50" s="42" t="str">
        <f>_xlfn.XLOOKUP(VmSpecs[[#This Row],[Subnet]],NetworkReference[Subnet],NetworkReference[Subscription])</f>
        <v>NINP-PERF2</v>
      </c>
      <c r="C50" s="43" t="str">
        <f>_xlfn.XLOOKUP(VmSpecs[[#This Row],[Subnet]],NetworkReference[Subnet],NetworkReference[Virtual Network Resource Group])</f>
        <v>rg-pf2-network-aue-001</v>
      </c>
      <c r="D50" s="43" t="str">
        <f>_xlfn.XLOOKUP(VmSpecs[[#This Row],[Subnet]],NetworkReference[Subnet],NetworkReference[Virtual Network])</f>
        <v>vnet-pf2-workload-aue-001</v>
      </c>
      <c r="E50" s="132" t="s">
        <v>59</v>
      </c>
      <c r="F50" s="43" t="str">
        <f>_xlfn.XLOOKUP(VmSpecs[[#This Row],[Subnet]],NetworkReference[Subnet],NetworkReference[Virtual Network Peering])</f>
        <v>vnet-ninp-conn-pnp-hub-aue</v>
      </c>
      <c r="G50" s="43" t="str">
        <f>_xlfn.XLOOKUP(VmSpecs[[#This Row],[Subnet]],NetworkReference[Subnet],NetworkReference[Route Table])</f>
        <v>rt-sn-pfb-aue-pf2-app</v>
      </c>
      <c r="H50" s="43" t="str">
        <f>LOWER(VLOOKUP(VmSpecs[[#This Row],[Original Hostname (CMO)]],'SSOT Data'!A:K,10,FALSE))</f>
        <v>hdr</v>
      </c>
      <c r="I5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50" s="44" t="s">
        <v>81</v>
      </c>
      <c r="K50" s="43" t="str">
        <f>_xlfn.CONCAT("vm",MID(VmSpecs[[#This Row],[Subnet]],4,3),VLOOKUP(VmSpecs[[#This Row],[Subscription]],NetworkReference[#All],2,FALSE),VmSpecs[[#This Row],[Service]],VmSpecs[[#This Row],[VM iteration (nn)]])</f>
        <v>vmpfbpf2hdr05</v>
      </c>
      <c r="L50" s="45" t="s">
        <v>61</v>
      </c>
      <c r="M50" s="43" t="str">
        <f>VmSpecs[[#This Row],[VM Name]]&amp;".ninp.myhealthrecord.gov.au"</f>
        <v>vmpfbpf2hdr05.ninp.myhealthrecord.gov.au</v>
      </c>
      <c r="N50" s="42" t="str">
        <f t="shared" si="0"/>
        <v>nic-001-vmpfbpf2hdr05</v>
      </c>
      <c r="O50" s="94" t="s">
        <v>187</v>
      </c>
      <c r="P50" s="46" t="s">
        <v>63</v>
      </c>
      <c r="Q50" s="42" t="str">
        <f>VLOOKUP(VmSpecs[[#This Row],[Original Hostname (CMO)]],'SSOT Data'!A:E,5,FALSE)</f>
        <v>OEL7.9</v>
      </c>
      <c r="R50" s="42"/>
      <c r="S50" s="42" t="str">
        <f>_xlfn.CONCAT("avail-",LEFT(VmSpecs[[#This Row],[VM Name]],LEN(VmSpecs[[#This Row],[VM Name]])-2))</f>
        <v>avail-vmpfbpf2hdr</v>
      </c>
      <c r="T50" s="42" t="str">
        <f>_xlfn.CONCAT("asg-",LEFT(VmSpecs[[#This Row],[VM Name]],LEN(VmSpecs[[#This Row],[VM Name]])-2))</f>
        <v>asg-vmpfbpf2hdr</v>
      </c>
      <c r="U50" s="42" t="str">
        <f>_xlfn.CONCAT("nsg-",VmSpecs[[#This Row],[Subnet]])</f>
        <v>nsg-sn-pfb-aue-pf2-app</v>
      </c>
      <c r="V50" s="42" t="s">
        <v>64</v>
      </c>
      <c r="W50" s="43" t="str">
        <f>VLOOKUP(VmSpecs[[#This Row],[Original Hostname (CMO)]],'SSOT Data'!A:AX,50,FALSE)</f>
        <v>Standard_D8s_v4</v>
      </c>
      <c r="X50" s="43">
        <v>64</v>
      </c>
      <c r="Y50" s="43" t="s">
        <v>65</v>
      </c>
      <c r="Z50" s="43" t="str">
        <f>"osdisk-"&amp;VmSpecs[[#This Row],[VM Name]]</f>
        <v>osdisk-vmpfbpf2hdr05</v>
      </c>
      <c r="AA50" s="47" t="s">
        <v>66</v>
      </c>
      <c r="AB50" s="73">
        <v>8</v>
      </c>
      <c r="AC50" s="74" t="s">
        <v>65</v>
      </c>
      <c r="AD50" s="75" t="str">
        <f>"disk-"&amp;VmSpecs[[#This Row],[VM Name]]&amp;"-001"</f>
        <v>disk-vmpfbpf2hdr05-001</v>
      </c>
      <c r="AE50" s="73">
        <v>32</v>
      </c>
      <c r="AF50" s="74" t="s">
        <v>65</v>
      </c>
      <c r="AG50" s="43" t="str">
        <f>"disk-"&amp;VmSpecs[[#This Row],[VM Name]]&amp;"-002"</f>
        <v>disk-vmpfbpf2hdr05-002</v>
      </c>
      <c r="AH50" s="59"/>
      <c r="AI50" s="42"/>
      <c r="AJ50" s="42"/>
      <c r="AK50" s="42"/>
      <c r="AL50" s="42" t="str">
        <f>MID(VmSpecs[[#This Row],[VM Name]],3,9)</f>
        <v>pfbpf2hdr</v>
      </c>
      <c r="AM50" s="42" t="str" cm="1">
        <f t="array" ref="AM50">_xlfn.TEXTJOIN(CHAR(10), TRUE, IF(NfsExports[FMO Single VM IP]=VmSpecs[[#This Row],[IP]],NfsExports[FMO Export Summary],""))</f>
        <v>/apps/pcehr 45GB</v>
      </c>
      <c r="AN50" s="43" t="str" cm="1">
        <f t="array" ref="AN5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50" s="42"/>
      <c r="AP50" s="42" t="str">
        <f>VmSpecs[[#This Row],[Description]]</f>
        <v>HDR N5</v>
      </c>
      <c r="AQ50" s="43"/>
      <c r="AR50" s="43" t="s">
        <v>64</v>
      </c>
      <c r="AS50" s="43" t="s">
        <v>64</v>
      </c>
      <c r="AT50" s="43" t="s">
        <v>64</v>
      </c>
      <c r="AU50" s="43" t="s">
        <v>64</v>
      </c>
      <c r="AV50" s="42" t="s">
        <v>66</v>
      </c>
      <c r="AW50" s="42" t="s">
        <v>67</v>
      </c>
      <c r="AX50" s="42" t="s">
        <v>68</v>
      </c>
      <c r="AY50" s="42" t="s">
        <v>64</v>
      </c>
      <c r="AZ50" s="42" t="s">
        <v>64</v>
      </c>
      <c r="BA5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N5"
Application Service: "HDR"
Lifecycle: "PFB"</v>
      </c>
      <c r="BB50" s="78" t="s">
        <v>188</v>
      </c>
      <c r="BC50" s="42" t="str">
        <f>VLOOKUP(VmSpecs[[#This Row],[Original Hostname (CMO)]],'SSOT Data'!A:AJ,36,FALSE)</f>
        <v>HDR N5</v>
      </c>
      <c r="BD50" s="43"/>
    </row>
    <row r="51" spans="1:56" ht="29" x14ac:dyDescent="0.35">
      <c r="A51" s="42" t="s">
        <v>58</v>
      </c>
      <c r="B51" s="42" t="str">
        <f>_xlfn.XLOOKUP(VmSpecs[[#This Row],[Subnet]],NetworkReference[Subnet],NetworkReference[Subscription])</f>
        <v>NINP-PERF2</v>
      </c>
      <c r="C51" s="43" t="str">
        <f>_xlfn.XLOOKUP(VmSpecs[[#This Row],[Subnet]],NetworkReference[Subnet],NetworkReference[Virtual Network Resource Group])</f>
        <v>rg-pf2-network-aue-001</v>
      </c>
      <c r="D51" s="43" t="str">
        <f>_xlfn.XLOOKUP(VmSpecs[[#This Row],[Subnet]],NetworkReference[Subnet],NetworkReference[Virtual Network])</f>
        <v>vnet-pf2-workload-aue-001</v>
      </c>
      <c r="E51" s="132" t="s">
        <v>59</v>
      </c>
      <c r="F51" s="43" t="str">
        <f>_xlfn.XLOOKUP(VmSpecs[[#This Row],[Subnet]],NetworkReference[Subnet],NetworkReference[Virtual Network Peering])</f>
        <v>vnet-ninp-conn-pnp-hub-aue</v>
      </c>
      <c r="G51" s="43" t="str">
        <f>_xlfn.XLOOKUP(VmSpecs[[#This Row],[Subnet]],NetworkReference[Subnet],NetworkReference[Route Table])</f>
        <v>rt-sn-pfb-aue-pf2-app</v>
      </c>
      <c r="H51" s="43" t="str">
        <f>LOWER(VLOOKUP(VmSpecs[[#This Row],[Original Hostname (CMO)]],'SSOT Data'!A:K,10,FALSE))</f>
        <v>hdr</v>
      </c>
      <c r="I5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51" s="44" t="s">
        <v>84</v>
      </c>
      <c r="K51" s="43" t="str">
        <f>_xlfn.CONCAT("vm",MID(VmSpecs[[#This Row],[Subnet]],4,3),VLOOKUP(VmSpecs[[#This Row],[Subscription]],NetworkReference[#All],2,FALSE),VmSpecs[[#This Row],[Service]],VmSpecs[[#This Row],[VM iteration (nn)]])</f>
        <v>vmpfbpf2hdr06</v>
      </c>
      <c r="L51" s="45" t="s">
        <v>61</v>
      </c>
      <c r="M51" s="43" t="str">
        <f>VmSpecs[[#This Row],[VM Name]]&amp;".ninp.myhealthrecord.gov.au"</f>
        <v>vmpfbpf2hdr06.ninp.myhealthrecord.gov.au</v>
      </c>
      <c r="N51" s="42" t="str">
        <f t="shared" si="0"/>
        <v>nic-001-vmpfbpf2hdr06</v>
      </c>
      <c r="O51" s="94" t="s">
        <v>189</v>
      </c>
      <c r="P51" s="46" t="s">
        <v>63</v>
      </c>
      <c r="Q51" s="42" t="str">
        <f>VLOOKUP(VmSpecs[[#This Row],[Original Hostname (CMO)]],'SSOT Data'!A:E,5,FALSE)</f>
        <v>OEL7.9</v>
      </c>
      <c r="R51" s="42"/>
      <c r="S51" s="42" t="str">
        <f>_xlfn.CONCAT("avail-",LEFT(VmSpecs[[#This Row],[VM Name]],LEN(VmSpecs[[#This Row],[VM Name]])-2))</f>
        <v>avail-vmpfbpf2hdr</v>
      </c>
      <c r="T51" s="42" t="str">
        <f>_xlfn.CONCAT("asg-",LEFT(VmSpecs[[#This Row],[VM Name]],LEN(VmSpecs[[#This Row],[VM Name]])-2))</f>
        <v>asg-vmpfbpf2hdr</v>
      </c>
      <c r="U51" s="42" t="str">
        <f>_xlfn.CONCAT("nsg-",VmSpecs[[#This Row],[Subnet]])</f>
        <v>nsg-sn-pfb-aue-pf2-app</v>
      </c>
      <c r="V51" s="42" t="s">
        <v>64</v>
      </c>
      <c r="W51" s="43" t="str">
        <f>VLOOKUP(VmSpecs[[#This Row],[Original Hostname (CMO)]],'SSOT Data'!A:AX,50,FALSE)</f>
        <v>Standard_D8s_v4</v>
      </c>
      <c r="X51" s="43">
        <v>64</v>
      </c>
      <c r="Y51" s="43" t="s">
        <v>65</v>
      </c>
      <c r="Z51" s="43" t="str">
        <f>"osdisk-"&amp;VmSpecs[[#This Row],[VM Name]]</f>
        <v>osdisk-vmpfbpf2hdr06</v>
      </c>
      <c r="AA51" s="47" t="s">
        <v>66</v>
      </c>
      <c r="AB51" s="73">
        <v>8</v>
      </c>
      <c r="AC51" s="74" t="s">
        <v>65</v>
      </c>
      <c r="AD51" s="75" t="str">
        <f>"disk-"&amp;VmSpecs[[#This Row],[VM Name]]&amp;"-001"</f>
        <v>disk-vmpfbpf2hdr06-001</v>
      </c>
      <c r="AE51" s="73">
        <v>32</v>
      </c>
      <c r="AF51" s="74" t="s">
        <v>65</v>
      </c>
      <c r="AG51" s="43" t="str">
        <f>"disk-"&amp;VmSpecs[[#This Row],[VM Name]]&amp;"-002"</f>
        <v>disk-vmpfbpf2hdr06-002</v>
      </c>
      <c r="AH51" s="59"/>
      <c r="AI51" s="42"/>
      <c r="AJ51" s="42"/>
      <c r="AK51" s="42"/>
      <c r="AL51" s="42" t="str">
        <f>MID(VmSpecs[[#This Row],[VM Name]],3,9)</f>
        <v>pfbpf2hdr</v>
      </c>
      <c r="AM51" s="42" t="str" cm="1">
        <f t="array" ref="AM51">_xlfn.TEXTJOIN(CHAR(10), TRUE, IF(NfsExports[FMO Single VM IP]=VmSpecs[[#This Row],[IP]],NfsExports[FMO Export Summary],""))</f>
        <v>/apps/pcehr 45GB</v>
      </c>
      <c r="AN51" s="43" t="str" cm="1">
        <f t="array" ref="AN5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51" s="42"/>
      <c r="AP51" s="42" t="str">
        <f>VmSpecs[[#This Row],[Description]]</f>
        <v>HDR N6</v>
      </c>
      <c r="AQ51" s="43"/>
      <c r="AR51" s="43" t="s">
        <v>64</v>
      </c>
      <c r="AS51" s="43" t="s">
        <v>64</v>
      </c>
      <c r="AT51" s="43" t="s">
        <v>64</v>
      </c>
      <c r="AU51" s="43" t="s">
        <v>64</v>
      </c>
      <c r="AV51" s="42" t="s">
        <v>66</v>
      </c>
      <c r="AW51" s="42" t="s">
        <v>67</v>
      </c>
      <c r="AX51" s="42" t="s">
        <v>68</v>
      </c>
      <c r="AY51" s="42" t="s">
        <v>64</v>
      </c>
      <c r="AZ51" s="42" t="s">
        <v>64</v>
      </c>
      <c r="BA5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N6"
Application Service: "HDR"
Lifecycle: "PFB"</v>
      </c>
      <c r="BB51" s="78" t="s">
        <v>190</v>
      </c>
      <c r="BC51" s="42" t="str">
        <f>VLOOKUP(VmSpecs[[#This Row],[Original Hostname (CMO)]],'SSOT Data'!A:AJ,36,FALSE)</f>
        <v>HDR N6</v>
      </c>
      <c r="BD51" s="43"/>
    </row>
    <row r="52" spans="1:56" ht="29" x14ac:dyDescent="0.35">
      <c r="A52" s="42" t="s">
        <v>58</v>
      </c>
      <c r="B52" s="42" t="str">
        <f>_xlfn.XLOOKUP(VmSpecs[[#This Row],[Subnet]],NetworkReference[Subnet],NetworkReference[Subscription])</f>
        <v>NINP-PERF2</v>
      </c>
      <c r="C52" s="43" t="str">
        <f>_xlfn.XLOOKUP(VmSpecs[[#This Row],[Subnet]],NetworkReference[Subnet],NetworkReference[Virtual Network Resource Group])</f>
        <v>rg-pf2-network-aue-001</v>
      </c>
      <c r="D52" s="43" t="str">
        <f>_xlfn.XLOOKUP(VmSpecs[[#This Row],[Subnet]],NetworkReference[Subnet],NetworkReference[Virtual Network])</f>
        <v>vnet-pf2-workload-aue-001</v>
      </c>
      <c r="E52" s="132" t="s">
        <v>59</v>
      </c>
      <c r="F52" s="43" t="str">
        <f>_xlfn.XLOOKUP(VmSpecs[[#This Row],[Subnet]],NetworkReference[Subnet],NetworkReference[Virtual Network Peering])</f>
        <v>vnet-ninp-conn-pnp-hub-aue</v>
      </c>
      <c r="G52" s="43" t="str">
        <f>_xlfn.XLOOKUP(VmSpecs[[#This Row],[Subnet]],NetworkReference[Subnet],NetworkReference[Route Table])</f>
        <v>rt-sn-pfb-aue-pf2-app</v>
      </c>
      <c r="H52" s="43" t="str">
        <f>LOWER(VLOOKUP(VmSpecs[[#This Row],[Original Hostname (CMO)]],'SSOT Data'!A:K,10,FALSE))</f>
        <v>hdr</v>
      </c>
      <c r="I5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52" s="44" t="s">
        <v>99</v>
      </c>
      <c r="K52" s="43" t="str">
        <f>_xlfn.CONCAT("vm",MID(VmSpecs[[#This Row],[Subnet]],4,3),VLOOKUP(VmSpecs[[#This Row],[Subscription]],NetworkReference[#All],2,FALSE),VmSpecs[[#This Row],[Service]],VmSpecs[[#This Row],[VM iteration (nn)]])</f>
        <v>vmpfbpf2hdr07</v>
      </c>
      <c r="L52" s="45" t="s">
        <v>61</v>
      </c>
      <c r="M52" s="43" t="str">
        <f>VmSpecs[[#This Row],[VM Name]]&amp;".ninp.myhealthrecord.gov.au"</f>
        <v>vmpfbpf2hdr07.ninp.myhealthrecord.gov.au</v>
      </c>
      <c r="N52" s="42" t="str">
        <f t="shared" si="0"/>
        <v>nic-001-vmpfbpf2hdr07</v>
      </c>
      <c r="O52" s="94" t="s">
        <v>191</v>
      </c>
      <c r="P52" s="46" t="s">
        <v>63</v>
      </c>
      <c r="Q52" s="42" t="str">
        <f>VLOOKUP(VmSpecs[[#This Row],[Original Hostname (CMO)]],'SSOT Data'!A:E,5,FALSE)</f>
        <v>OEL7.9</v>
      </c>
      <c r="R52" s="42"/>
      <c r="S52" s="42" t="str">
        <f>_xlfn.CONCAT("avail-",LEFT(VmSpecs[[#This Row],[VM Name]],LEN(VmSpecs[[#This Row],[VM Name]])-2))</f>
        <v>avail-vmpfbpf2hdr</v>
      </c>
      <c r="T52" s="42" t="str">
        <f>_xlfn.CONCAT("asg-",LEFT(VmSpecs[[#This Row],[VM Name]],LEN(VmSpecs[[#This Row],[VM Name]])-2))</f>
        <v>asg-vmpfbpf2hdr</v>
      </c>
      <c r="U52" s="42" t="str">
        <f>_xlfn.CONCAT("nsg-",VmSpecs[[#This Row],[Subnet]])</f>
        <v>nsg-sn-pfb-aue-pf2-app</v>
      </c>
      <c r="V52" s="42" t="s">
        <v>64</v>
      </c>
      <c r="W52" s="43" t="str">
        <f>VLOOKUP(VmSpecs[[#This Row],[Original Hostname (CMO)]],'SSOT Data'!A:AX,50,FALSE)</f>
        <v>Standard_D8s_v4</v>
      </c>
      <c r="X52" s="43">
        <v>64</v>
      </c>
      <c r="Y52" s="43" t="s">
        <v>65</v>
      </c>
      <c r="Z52" s="43" t="str">
        <f>"osdisk-"&amp;VmSpecs[[#This Row],[VM Name]]</f>
        <v>osdisk-vmpfbpf2hdr07</v>
      </c>
      <c r="AA52" s="47" t="s">
        <v>66</v>
      </c>
      <c r="AB52" s="73">
        <v>8</v>
      </c>
      <c r="AC52" s="74" t="s">
        <v>65</v>
      </c>
      <c r="AD52" s="75" t="str">
        <f>"disk-"&amp;VmSpecs[[#This Row],[VM Name]]&amp;"-001"</f>
        <v>disk-vmpfbpf2hdr07-001</v>
      </c>
      <c r="AE52" s="73">
        <v>32</v>
      </c>
      <c r="AF52" s="74" t="s">
        <v>65</v>
      </c>
      <c r="AG52" s="43" t="str">
        <f>"disk-"&amp;VmSpecs[[#This Row],[VM Name]]&amp;"-002"</f>
        <v>disk-vmpfbpf2hdr07-002</v>
      </c>
      <c r="AH52" s="59"/>
      <c r="AI52" s="42"/>
      <c r="AJ52" s="42"/>
      <c r="AK52" s="42"/>
      <c r="AL52" s="42" t="str">
        <f>MID(VmSpecs[[#This Row],[VM Name]],3,9)</f>
        <v>pfbpf2hdr</v>
      </c>
      <c r="AM52" s="42" t="str" cm="1">
        <f t="array" ref="AM52">_xlfn.TEXTJOIN(CHAR(10), TRUE, IF(NfsExports[FMO Single VM IP]=VmSpecs[[#This Row],[IP]],NfsExports[FMO Export Summary],""))</f>
        <v>/apps/pcehr 45GB</v>
      </c>
      <c r="AN52" s="43" t="str" cm="1">
        <f t="array" ref="AN5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52" s="42"/>
      <c r="AP52" s="42" t="str">
        <f>VmSpecs[[#This Row],[Description]]</f>
        <v>HDR N7</v>
      </c>
      <c r="AQ52" s="43"/>
      <c r="AR52" s="43" t="s">
        <v>64</v>
      </c>
      <c r="AS52" s="43" t="s">
        <v>64</v>
      </c>
      <c r="AT52" s="43" t="s">
        <v>64</v>
      </c>
      <c r="AU52" s="43" t="s">
        <v>64</v>
      </c>
      <c r="AV52" s="42" t="s">
        <v>66</v>
      </c>
      <c r="AW52" s="42" t="s">
        <v>67</v>
      </c>
      <c r="AX52" s="42" t="s">
        <v>68</v>
      </c>
      <c r="AY52" s="42" t="s">
        <v>64</v>
      </c>
      <c r="AZ52" s="42" t="s">
        <v>64</v>
      </c>
      <c r="BA5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N7"
Application Service: "HDR"
Lifecycle: "PFB"</v>
      </c>
      <c r="BB52" s="78" t="s">
        <v>192</v>
      </c>
      <c r="BC52" s="42" t="str">
        <f>VLOOKUP(VmSpecs[[#This Row],[Original Hostname (CMO)]],'SSOT Data'!A:AJ,36,FALSE)</f>
        <v>HDR N7</v>
      </c>
      <c r="BD52" s="43"/>
    </row>
    <row r="53" spans="1:56" ht="29" x14ac:dyDescent="0.35">
      <c r="A53" s="42" t="s">
        <v>58</v>
      </c>
      <c r="B53" s="42" t="str">
        <f>_xlfn.XLOOKUP(VmSpecs[[#This Row],[Subnet]],NetworkReference[Subnet],NetworkReference[Subscription])</f>
        <v>NINP-PERF2</v>
      </c>
      <c r="C53" s="43" t="str">
        <f>_xlfn.XLOOKUP(VmSpecs[[#This Row],[Subnet]],NetworkReference[Subnet],NetworkReference[Virtual Network Resource Group])</f>
        <v>rg-pf2-network-aue-001</v>
      </c>
      <c r="D53" s="43" t="str">
        <f>_xlfn.XLOOKUP(VmSpecs[[#This Row],[Subnet]],NetworkReference[Subnet],NetworkReference[Virtual Network])</f>
        <v>vnet-pf2-workload-aue-001</v>
      </c>
      <c r="E53" s="132" t="s">
        <v>59</v>
      </c>
      <c r="F53" s="43" t="str">
        <f>_xlfn.XLOOKUP(VmSpecs[[#This Row],[Subnet]],NetworkReference[Subnet],NetworkReference[Virtual Network Peering])</f>
        <v>vnet-ninp-conn-pnp-hub-aue</v>
      </c>
      <c r="G53" s="43" t="str">
        <f>_xlfn.XLOOKUP(VmSpecs[[#This Row],[Subnet]],NetworkReference[Subnet],NetworkReference[Route Table])</f>
        <v>rt-sn-pfb-aue-pf2-app</v>
      </c>
      <c r="H53" s="43" t="str">
        <f>LOWER(VLOOKUP(VmSpecs[[#This Row],[Original Hostname (CMO)]],'SSOT Data'!A:K,10,FALSE))</f>
        <v>hdr</v>
      </c>
      <c r="I5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53" s="44" t="s">
        <v>102</v>
      </c>
      <c r="K53" s="43" t="str">
        <f>_xlfn.CONCAT("vm",MID(VmSpecs[[#This Row],[Subnet]],4,3),VLOOKUP(VmSpecs[[#This Row],[Subscription]],NetworkReference[#All],2,FALSE),VmSpecs[[#This Row],[Service]],VmSpecs[[#This Row],[VM iteration (nn)]])</f>
        <v>vmpfbpf2hdr08</v>
      </c>
      <c r="L53" s="45" t="s">
        <v>61</v>
      </c>
      <c r="M53" s="43" t="str">
        <f>VmSpecs[[#This Row],[VM Name]]&amp;".ninp.myhealthrecord.gov.au"</f>
        <v>vmpfbpf2hdr08.ninp.myhealthrecord.gov.au</v>
      </c>
      <c r="N53" s="42" t="str">
        <f t="shared" si="0"/>
        <v>nic-001-vmpfbpf2hdr08</v>
      </c>
      <c r="O53" s="94" t="s">
        <v>193</v>
      </c>
      <c r="P53" s="46" t="s">
        <v>63</v>
      </c>
      <c r="Q53" s="42" t="str">
        <f>VLOOKUP(VmSpecs[[#This Row],[Original Hostname (CMO)]],'SSOT Data'!A:E,5,FALSE)</f>
        <v>OEL7.9</v>
      </c>
      <c r="R53" s="42"/>
      <c r="S53" s="42" t="str">
        <f>_xlfn.CONCAT("avail-",LEFT(VmSpecs[[#This Row],[VM Name]],LEN(VmSpecs[[#This Row],[VM Name]])-2))</f>
        <v>avail-vmpfbpf2hdr</v>
      </c>
      <c r="T53" s="42" t="str">
        <f>_xlfn.CONCAT("asg-",LEFT(VmSpecs[[#This Row],[VM Name]],LEN(VmSpecs[[#This Row],[VM Name]])-2))</f>
        <v>asg-vmpfbpf2hdr</v>
      </c>
      <c r="U53" s="42" t="str">
        <f>_xlfn.CONCAT("nsg-",VmSpecs[[#This Row],[Subnet]])</f>
        <v>nsg-sn-pfb-aue-pf2-app</v>
      </c>
      <c r="V53" s="42" t="s">
        <v>64</v>
      </c>
      <c r="W53" s="43" t="str">
        <f>VLOOKUP(VmSpecs[[#This Row],[Original Hostname (CMO)]],'SSOT Data'!A:AX,50,FALSE)</f>
        <v>Standard_D8s_v4</v>
      </c>
      <c r="X53" s="43">
        <v>64</v>
      </c>
      <c r="Y53" s="43" t="s">
        <v>65</v>
      </c>
      <c r="Z53" s="43" t="str">
        <f>"osdisk-"&amp;VmSpecs[[#This Row],[VM Name]]</f>
        <v>osdisk-vmpfbpf2hdr08</v>
      </c>
      <c r="AA53" s="47" t="s">
        <v>66</v>
      </c>
      <c r="AB53" s="73">
        <v>8</v>
      </c>
      <c r="AC53" s="74" t="s">
        <v>65</v>
      </c>
      <c r="AD53" s="75" t="str">
        <f>"disk-"&amp;VmSpecs[[#This Row],[VM Name]]&amp;"-001"</f>
        <v>disk-vmpfbpf2hdr08-001</v>
      </c>
      <c r="AE53" s="73">
        <v>32</v>
      </c>
      <c r="AF53" s="74" t="s">
        <v>65</v>
      </c>
      <c r="AG53" s="43" t="str">
        <f>"disk-"&amp;VmSpecs[[#This Row],[VM Name]]&amp;"-002"</f>
        <v>disk-vmpfbpf2hdr08-002</v>
      </c>
      <c r="AH53" s="59"/>
      <c r="AI53" s="42"/>
      <c r="AJ53" s="42"/>
      <c r="AK53" s="42"/>
      <c r="AL53" s="42" t="str">
        <f>MID(VmSpecs[[#This Row],[VM Name]],3,9)</f>
        <v>pfbpf2hdr</v>
      </c>
      <c r="AM53" s="42" t="str" cm="1">
        <f t="array" ref="AM53">_xlfn.TEXTJOIN(CHAR(10), TRUE, IF(NfsExports[FMO Single VM IP]=VmSpecs[[#This Row],[IP]],NfsExports[FMO Export Summary],""))</f>
        <v>/apps/pcehr 45GB</v>
      </c>
      <c r="AN53" s="43" t="str" cm="1">
        <f t="array" ref="AN5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53" s="42"/>
      <c r="AP53" s="42" t="str">
        <f>VmSpecs[[#This Row],[Description]]</f>
        <v>HDR N8</v>
      </c>
      <c r="AQ53" s="43"/>
      <c r="AR53" s="43" t="s">
        <v>64</v>
      </c>
      <c r="AS53" s="43" t="s">
        <v>64</v>
      </c>
      <c r="AT53" s="43" t="s">
        <v>64</v>
      </c>
      <c r="AU53" s="43" t="s">
        <v>64</v>
      </c>
      <c r="AV53" s="42" t="s">
        <v>66</v>
      </c>
      <c r="AW53" s="42" t="s">
        <v>67</v>
      </c>
      <c r="AX53" s="42" t="s">
        <v>68</v>
      </c>
      <c r="AY53" s="42" t="s">
        <v>64</v>
      </c>
      <c r="AZ53" s="42" t="s">
        <v>64</v>
      </c>
      <c r="BA5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N8"
Application Service: "HDR"
Lifecycle: "PFB"</v>
      </c>
      <c r="BB53" s="78" t="s">
        <v>194</v>
      </c>
      <c r="BC53" s="42" t="str">
        <f>VLOOKUP(VmSpecs[[#This Row],[Original Hostname (CMO)]],'SSOT Data'!A:AJ,36,FALSE)</f>
        <v>HDR N8</v>
      </c>
      <c r="BD53" s="43"/>
    </row>
    <row r="54" spans="1:56" ht="29" x14ac:dyDescent="0.35">
      <c r="A54" s="42" t="s">
        <v>58</v>
      </c>
      <c r="B54" s="42" t="str">
        <f>_xlfn.XLOOKUP(VmSpecs[[#This Row],[Subnet]],NetworkReference[Subnet],NetworkReference[Subscription])</f>
        <v>NINP-PERF2</v>
      </c>
      <c r="C54" s="43" t="str">
        <f>_xlfn.XLOOKUP(VmSpecs[[#This Row],[Subnet]],NetworkReference[Subnet],NetworkReference[Virtual Network Resource Group])</f>
        <v>rg-pf2-network-aue-001</v>
      </c>
      <c r="D54" s="43" t="str">
        <f>_xlfn.XLOOKUP(VmSpecs[[#This Row],[Subnet]],NetworkReference[Subnet],NetworkReference[Virtual Network])</f>
        <v>vnet-pf2-workload-aue-001</v>
      </c>
      <c r="E54" s="132" t="s">
        <v>59</v>
      </c>
      <c r="F54" s="43" t="str">
        <f>_xlfn.XLOOKUP(VmSpecs[[#This Row],[Subnet]],NetworkReference[Subnet],NetworkReference[Virtual Network Peering])</f>
        <v>vnet-ninp-conn-pnp-hub-aue</v>
      </c>
      <c r="G54" s="43" t="str">
        <f>_xlfn.XLOOKUP(VmSpecs[[#This Row],[Subnet]],NetworkReference[Subnet],NetworkReference[Route Table])</f>
        <v>rt-sn-pfb-aue-pf2-app</v>
      </c>
      <c r="H54" s="43" t="str">
        <f>LOWER(VLOOKUP(VmSpecs[[#This Row],[Original Hostname (CMO)]],'SSOT Data'!A:K,10,FALSE))</f>
        <v>hdr</v>
      </c>
      <c r="I5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54" s="44" t="s">
        <v>129</v>
      </c>
      <c r="K54" s="43" t="str">
        <f>_xlfn.CONCAT("vm",MID(VmSpecs[[#This Row],[Subnet]],4,3),VLOOKUP(VmSpecs[[#This Row],[Subscription]],NetworkReference[#All],2,FALSE),VmSpecs[[#This Row],[Service]],VmSpecs[[#This Row],[VM iteration (nn)]])</f>
        <v>vmpfbpf2hdr09</v>
      </c>
      <c r="L54" s="45" t="s">
        <v>61</v>
      </c>
      <c r="M54" s="43" t="str">
        <f>VmSpecs[[#This Row],[VM Name]]&amp;".ninp.myhealthrecord.gov.au"</f>
        <v>vmpfbpf2hdr09.ninp.myhealthrecord.gov.au</v>
      </c>
      <c r="N54" s="42" t="str">
        <f t="shared" si="0"/>
        <v>nic-001-vmpfbpf2hdr09</v>
      </c>
      <c r="O54" s="94" t="s">
        <v>195</v>
      </c>
      <c r="P54" s="46" t="s">
        <v>63</v>
      </c>
      <c r="Q54" s="42" t="str">
        <f>VLOOKUP(VmSpecs[[#This Row],[Original Hostname (CMO)]],'SSOT Data'!A:E,5,FALSE)</f>
        <v>OEL7.9</v>
      </c>
      <c r="R54" s="42"/>
      <c r="S54" s="42" t="str">
        <f>_xlfn.CONCAT("avail-",LEFT(VmSpecs[[#This Row],[VM Name]],LEN(VmSpecs[[#This Row],[VM Name]])-2))</f>
        <v>avail-vmpfbpf2hdr</v>
      </c>
      <c r="T54" s="42" t="str">
        <f>_xlfn.CONCAT("asg-",LEFT(VmSpecs[[#This Row],[VM Name]],LEN(VmSpecs[[#This Row],[VM Name]])-2))</f>
        <v>asg-vmpfbpf2hdr</v>
      </c>
      <c r="U54" s="42" t="str">
        <f>_xlfn.CONCAT("nsg-",VmSpecs[[#This Row],[Subnet]])</f>
        <v>nsg-sn-pfb-aue-pf2-app</v>
      </c>
      <c r="V54" s="42" t="s">
        <v>64</v>
      </c>
      <c r="W54" s="43" t="str">
        <f>VLOOKUP(VmSpecs[[#This Row],[Original Hostname (CMO)]],'SSOT Data'!A:AX,50,FALSE)</f>
        <v>Standard_D8s_v4</v>
      </c>
      <c r="X54" s="43">
        <v>64</v>
      </c>
      <c r="Y54" s="43" t="s">
        <v>65</v>
      </c>
      <c r="Z54" s="43" t="str">
        <f>"osdisk-"&amp;VmSpecs[[#This Row],[VM Name]]</f>
        <v>osdisk-vmpfbpf2hdr09</v>
      </c>
      <c r="AA54" s="47" t="s">
        <v>66</v>
      </c>
      <c r="AB54" s="73">
        <v>8</v>
      </c>
      <c r="AC54" s="74" t="s">
        <v>65</v>
      </c>
      <c r="AD54" s="75" t="str">
        <f>"disk-"&amp;VmSpecs[[#This Row],[VM Name]]&amp;"-001"</f>
        <v>disk-vmpfbpf2hdr09-001</v>
      </c>
      <c r="AE54" s="73">
        <v>32</v>
      </c>
      <c r="AF54" s="74" t="s">
        <v>65</v>
      </c>
      <c r="AG54" s="43" t="str">
        <f>"disk-"&amp;VmSpecs[[#This Row],[VM Name]]&amp;"-002"</f>
        <v>disk-vmpfbpf2hdr09-002</v>
      </c>
      <c r="AH54" s="59"/>
      <c r="AI54" s="42"/>
      <c r="AJ54" s="42"/>
      <c r="AK54" s="42"/>
      <c r="AL54" s="42" t="str">
        <f>MID(VmSpecs[[#This Row],[VM Name]],3,9)</f>
        <v>pfbpf2hdr</v>
      </c>
      <c r="AM54" s="42" t="str" cm="1">
        <f t="array" ref="AM54">_xlfn.TEXTJOIN(CHAR(10), TRUE, IF(NfsExports[FMO Single VM IP]=VmSpecs[[#This Row],[IP]],NfsExports[FMO Export Summary],""))</f>
        <v>/apps/pcehr 45GB</v>
      </c>
      <c r="AN54" s="43" t="str" cm="1">
        <f t="array" ref="AN5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54" s="42"/>
      <c r="AP54" s="42" t="str">
        <f>VmSpecs[[#This Row],[Description]]</f>
        <v>HDR N9</v>
      </c>
      <c r="AQ54" s="43"/>
      <c r="AR54" s="43" t="s">
        <v>64</v>
      </c>
      <c r="AS54" s="43" t="s">
        <v>64</v>
      </c>
      <c r="AT54" s="43" t="s">
        <v>64</v>
      </c>
      <c r="AU54" s="43" t="s">
        <v>64</v>
      </c>
      <c r="AV54" s="42" t="s">
        <v>66</v>
      </c>
      <c r="AW54" s="42" t="s">
        <v>67</v>
      </c>
      <c r="AX54" s="42" t="s">
        <v>68</v>
      </c>
      <c r="AY54" s="42" t="s">
        <v>64</v>
      </c>
      <c r="AZ54" s="42" t="s">
        <v>64</v>
      </c>
      <c r="BA5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N9"
Application Service: "HDR"
Lifecycle: "PFB"</v>
      </c>
      <c r="BB54" s="78" t="s">
        <v>196</v>
      </c>
      <c r="BC54" s="42" t="str">
        <f>VLOOKUP(VmSpecs[[#This Row],[Original Hostname (CMO)]],'SSOT Data'!A:AJ,36,FALSE)</f>
        <v>HDR N9</v>
      </c>
      <c r="BD54" s="43"/>
    </row>
    <row r="55" spans="1:56" ht="29" x14ac:dyDescent="0.35">
      <c r="A55" s="42" t="s">
        <v>58</v>
      </c>
      <c r="B55" s="42" t="str">
        <f>_xlfn.XLOOKUP(VmSpecs[[#This Row],[Subnet]],NetworkReference[Subnet],NetworkReference[Subscription])</f>
        <v>NINP-PERF2</v>
      </c>
      <c r="C55" s="43" t="str">
        <f>_xlfn.XLOOKUP(VmSpecs[[#This Row],[Subnet]],NetworkReference[Subnet],NetworkReference[Virtual Network Resource Group])</f>
        <v>rg-pf2-network-aue-001</v>
      </c>
      <c r="D55" s="43" t="str">
        <f>_xlfn.XLOOKUP(VmSpecs[[#This Row],[Subnet]],NetworkReference[Subnet],NetworkReference[Virtual Network])</f>
        <v>vnet-pf2-workload-aue-001</v>
      </c>
      <c r="E55" s="132" t="s">
        <v>59</v>
      </c>
      <c r="F55" s="43" t="str">
        <f>_xlfn.XLOOKUP(VmSpecs[[#This Row],[Subnet]],NetworkReference[Subnet],NetworkReference[Virtual Network Peering])</f>
        <v>vnet-ninp-conn-pnp-hub-aue</v>
      </c>
      <c r="G55" s="43" t="str">
        <f>_xlfn.XLOOKUP(VmSpecs[[#This Row],[Subnet]],NetworkReference[Subnet],NetworkReference[Route Table])</f>
        <v>rt-sn-pfb-aue-pf2-app</v>
      </c>
      <c r="H55" s="43" t="str">
        <f>LOWER(VLOOKUP(VmSpecs[[#This Row],[Original Hostname (CMO)]],'SSOT Data'!A:K,10,FALSE))</f>
        <v>hdr</v>
      </c>
      <c r="I5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55" s="44" t="s">
        <v>132</v>
      </c>
      <c r="K55" s="43" t="str">
        <f>_xlfn.CONCAT("vm",MID(VmSpecs[[#This Row],[Subnet]],4,3),VLOOKUP(VmSpecs[[#This Row],[Subscription]],NetworkReference[#All],2,FALSE),VmSpecs[[#This Row],[Service]],VmSpecs[[#This Row],[VM iteration (nn)]])</f>
        <v>vmpfbpf2hdr10</v>
      </c>
      <c r="L55" s="45" t="s">
        <v>61</v>
      </c>
      <c r="M55" s="43" t="str">
        <f>VmSpecs[[#This Row],[VM Name]]&amp;".ninp.myhealthrecord.gov.au"</f>
        <v>vmpfbpf2hdr10.ninp.myhealthrecord.gov.au</v>
      </c>
      <c r="N55" s="42" t="str">
        <f t="shared" si="0"/>
        <v>nic-001-vmpfbpf2hdr10</v>
      </c>
      <c r="O55" s="94" t="s">
        <v>197</v>
      </c>
      <c r="P55" s="46" t="s">
        <v>63</v>
      </c>
      <c r="Q55" s="42" t="str">
        <f>VLOOKUP(VmSpecs[[#This Row],[Original Hostname (CMO)]],'SSOT Data'!A:E,5,FALSE)</f>
        <v>OEL7.9</v>
      </c>
      <c r="R55" s="42"/>
      <c r="S55" s="42" t="str">
        <f>_xlfn.CONCAT("avail-",LEFT(VmSpecs[[#This Row],[VM Name]],LEN(VmSpecs[[#This Row],[VM Name]])-2))</f>
        <v>avail-vmpfbpf2hdr</v>
      </c>
      <c r="T55" s="42" t="str">
        <f>_xlfn.CONCAT("asg-",LEFT(VmSpecs[[#This Row],[VM Name]],LEN(VmSpecs[[#This Row],[VM Name]])-2))</f>
        <v>asg-vmpfbpf2hdr</v>
      </c>
      <c r="U55" s="42" t="str">
        <f>_xlfn.CONCAT("nsg-",VmSpecs[[#This Row],[Subnet]])</f>
        <v>nsg-sn-pfb-aue-pf2-app</v>
      </c>
      <c r="V55" s="42" t="s">
        <v>64</v>
      </c>
      <c r="W55" s="43" t="str">
        <f>VLOOKUP(VmSpecs[[#This Row],[Original Hostname (CMO)]],'SSOT Data'!A:AX,50,FALSE)</f>
        <v>Standard_D8s_v4</v>
      </c>
      <c r="X55" s="43">
        <v>64</v>
      </c>
      <c r="Y55" s="43" t="s">
        <v>65</v>
      </c>
      <c r="Z55" s="43" t="str">
        <f>"osdisk-"&amp;VmSpecs[[#This Row],[VM Name]]</f>
        <v>osdisk-vmpfbpf2hdr10</v>
      </c>
      <c r="AA55" s="47" t="s">
        <v>66</v>
      </c>
      <c r="AB55" s="73">
        <v>8</v>
      </c>
      <c r="AC55" s="74" t="s">
        <v>65</v>
      </c>
      <c r="AD55" s="75" t="str">
        <f>"disk-"&amp;VmSpecs[[#This Row],[VM Name]]&amp;"-001"</f>
        <v>disk-vmpfbpf2hdr10-001</v>
      </c>
      <c r="AE55" s="73">
        <v>32</v>
      </c>
      <c r="AF55" s="74" t="s">
        <v>65</v>
      </c>
      <c r="AG55" s="43" t="str">
        <f>"disk-"&amp;VmSpecs[[#This Row],[VM Name]]&amp;"-002"</f>
        <v>disk-vmpfbpf2hdr10-002</v>
      </c>
      <c r="AH55" s="59"/>
      <c r="AI55" s="42"/>
      <c r="AJ55" s="42"/>
      <c r="AK55" s="42"/>
      <c r="AL55" s="42" t="str">
        <f>MID(VmSpecs[[#This Row],[VM Name]],3,9)</f>
        <v>pfbpf2hdr</v>
      </c>
      <c r="AM55" s="42" t="str" cm="1">
        <f t="array" ref="AM55">_xlfn.TEXTJOIN(CHAR(10), TRUE, IF(NfsExports[FMO Single VM IP]=VmSpecs[[#This Row],[IP]],NfsExports[FMO Export Summary],""))</f>
        <v>/apps/pcehr 45GB</v>
      </c>
      <c r="AN55" s="43" t="str" cm="1">
        <f t="array" ref="AN5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55" s="42"/>
      <c r="AP55" s="42" t="str">
        <f>VmSpecs[[#This Row],[Description]]</f>
        <v>HDR N10</v>
      </c>
      <c r="AQ55" s="43"/>
      <c r="AR55" s="43" t="s">
        <v>64</v>
      </c>
      <c r="AS55" s="43" t="s">
        <v>64</v>
      </c>
      <c r="AT55" s="43" t="s">
        <v>64</v>
      </c>
      <c r="AU55" s="43" t="s">
        <v>64</v>
      </c>
      <c r="AV55" s="42" t="s">
        <v>66</v>
      </c>
      <c r="AW55" s="42" t="s">
        <v>67</v>
      </c>
      <c r="AX55" s="42" t="s">
        <v>68</v>
      </c>
      <c r="AY55" s="42" t="s">
        <v>64</v>
      </c>
      <c r="AZ55" s="42" t="s">
        <v>64</v>
      </c>
      <c r="BA5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N10"
Application Service: "HDR"
Lifecycle: "PFB"</v>
      </c>
      <c r="BB55" s="78" t="s">
        <v>198</v>
      </c>
      <c r="BC55" s="42" t="str">
        <f>VLOOKUP(VmSpecs[[#This Row],[Original Hostname (CMO)]],'SSOT Data'!A:AJ,36,FALSE)</f>
        <v>HDR N10</v>
      </c>
      <c r="BD55" s="43"/>
    </row>
    <row r="56" spans="1:56" ht="29" x14ac:dyDescent="0.35">
      <c r="A56" s="42" t="s">
        <v>58</v>
      </c>
      <c r="B56" s="42" t="str">
        <f>_xlfn.XLOOKUP(VmSpecs[[#This Row],[Subnet]],NetworkReference[Subnet],NetworkReference[Subscription])</f>
        <v>NINP-PERF2</v>
      </c>
      <c r="C56" s="43" t="str">
        <f>_xlfn.XLOOKUP(VmSpecs[[#This Row],[Subnet]],NetworkReference[Subnet],NetworkReference[Virtual Network Resource Group])</f>
        <v>rg-pf2-network-aue-001</v>
      </c>
      <c r="D56" s="43" t="str">
        <f>_xlfn.XLOOKUP(VmSpecs[[#This Row],[Subnet]],NetworkReference[Subnet],NetworkReference[Virtual Network])</f>
        <v>vnet-pf2-workload-aue-001</v>
      </c>
      <c r="E56" s="132" t="s">
        <v>59</v>
      </c>
      <c r="F56" s="43" t="str">
        <f>_xlfn.XLOOKUP(VmSpecs[[#This Row],[Subnet]],NetworkReference[Subnet],NetworkReference[Virtual Network Peering])</f>
        <v>vnet-ninp-conn-pnp-hub-aue</v>
      </c>
      <c r="G56" s="43" t="str">
        <f>_xlfn.XLOOKUP(VmSpecs[[#This Row],[Subnet]],NetworkReference[Subnet],NetworkReference[Route Table])</f>
        <v>rt-sn-pfb-aue-pf2-app</v>
      </c>
      <c r="H56" s="43" t="str">
        <f>LOWER(VLOOKUP(VmSpecs[[#This Row],[Original Hostname (CMO)]],'SSOT Data'!A:K,10,FALSE))</f>
        <v>hdr</v>
      </c>
      <c r="I5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56" s="44" t="s">
        <v>135</v>
      </c>
      <c r="K56" s="43" t="str">
        <f>_xlfn.CONCAT("vm",MID(VmSpecs[[#This Row],[Subnet]],4,3),VLOOKUP(VmSpecs[[#This Row],[Subscription]],NetworkReference[#All],2,FALSE),VmSpecs[[#This Row],[Service]],VmSpecs[[#This Row],[VM iteration (nn)]])</f>
        <v>vmpfbpf2hdr11</v>
      </c>
      <c r="L56" s="45" t="s">
        <v>61</v>
      </c>
      <c r="M56" s="43" t="str">
        <f>VmSpecs[[#This Row],[VM Name]]&amp;".ninp.myhealthrecord.gov.au"</f>
        <v>vmpfbpf2hdr11.ninp.myhealthrecord.gov.au</v>
      </c>
      <c r="N56" s="42" t="str">
        <f t="shared" si="0"/>
        <v>nic-001-vmpfbpf2hdr11</v>
      </c>
      <c r="O56" s="94" t="s">
        <v>199</v>
      </c>
      <c r="P56" s="46" t="s">
        <v>63</v>
      </c>
      <c r="Q56" s="42" t="str">
        <f>VLOOKUP(VmSpecs[[#This Row],[Original Hostname (CMO)]],'SSOT Data'!A:E,5,FALSE)</f>
        <v>OEL7.9</v>
      </c>
      <c r="R56" s="42"/>
      <c r="S56" s="42" t="str">
        <f>_xlfn.CONCAT("avail-",LEFT(VmSpecs[[#This Row],[VM Name]],LEN(VmSpecs[[#This Row],[VM Name]])-2))</f>
        <v>avail-vmpfbpf2hdr</v>
      </c>
      <c r="T56" s="42" t="str">
        <f>_xlfn.CONCAT("asg-",LEFT(VmSpecs[[#This Row],[VM Name]],LEN(VmSpecs[[#This Row],[VM Name]])-2))</f>
        <v>asg-vmpfbpf2hdr</v>
      </c>
      <c r="U56" s="42" t="str">
        <f>_xlfn.CONCAT("nsg-",VmSpecs[[#This Row],[Subnet]])</f>
        <v>nsg-sn-pfb-aue-pf2-app</v>
      </c>
      <c r="V56" s="42" t="s">
        <v>64</v>
      </c>
      <c r="W56" s="43" t="str">
        <f>VLOOKUP(VmSpecs[[#This Row],[Original Hostname (CMO)]],'SSOT Data'!A:AX,50,FALSE)</f>
        <v>Standard_D8s_v4</v>
      </c>
      <c r="X56" s="43">
        <v>64</v>
      </c>
      <c r="Y56" s="43" t="s">
        <v>65</v>
      </c>
      <c r="Z56" s="43" t="str">
        <f>"osdisk-"&amp;VmSpecs[[#This Row],[VM Name]]</f>
        <v>osdisk-vmpfbpf2hdr11</v>
      </c>
      <c r="AA56" s="47" t="s">
        <v>66</v>
      </c>
      <c r="AB56" s="73">
        <v>8</v>
      </c>
      <c r="AC56" s="74" t="s">
        <v>65</v>
      </c>
      <c r="AD56" s="75" t="str">
        <f>"disk-"&amp;VmSpecs[[#This Row],[VM Name]]&amp;"-001"</f>
        <v>disk-vmpfbpf2hdr11-001</v>
      </c>
      <c r="AE56" s="73">
        <v>32</v>
      </c>
      <c r="AF56" s="74" t="s">
        <v>65</v>
      </c>
      <c r="AG56" s="43" t="str">
        <f>"disk-"&amp;VmSpecs[[#This Row],[VM Name]]&amp;"-002"</f>
        <v>disk-vmpfbpf2hdr11-002</v>
      </c>
      <c r="AH56" s="59"/>
      <c r="AI56" s="42"/>
      <c r="AJ56" s="42"/>
      <c r="AK56" s="42"/>
      <c r="AL56" s="42" t="str">
        <f>MID(VmSpecs[[#This Row],[VM Name]],3,9)</f>
        <v>pfbpf2hdr</v>
      </c>
      <c r="AM56" s="42" t="str" cm="1">
        <f t="array" ref="AM56">_xlfn.TEXTJOIN(CHAR(10), TRUE, IF(NfsExports[FMO Single VM IP]=VmSpecs[[#This Row],[IP]],NfsExports[FMO Export Summary],""))</f>
        <v>/apps/pcehr 45GB</v>
      </c>
      <c r="AN56" s="43" t="str" cm="1">
        <f t="array" ref="AN5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56" s="42"/>
      <c r="AP56" s="42" t="str">
        <f>VmSpecs[[#This Row],[Description]]</f>
        <v>HDR N11</v>
      </c>
      <c r="AQ56" s="43"/>
      <c r="AR56" s="43" t="s">
        <v>64</v>
      </c>
      <c r="AS56" s="43" t="s">
        <v>64</v>
      </c>
      <c r="AT56" s="43" t="s">
        <v>64</v>
      </c>
      <c r="AU56" s="43" t="s">
        <v>64</v>
      </c>
      <c r="AV56" s="42" t="s">
        <v>66</v>
      </c>
      <c r="AW56" s="42" t="s">
        <v>67</v>
      </c>
      <c r="AX56" s="42" t="s">
        <v>68</v>
      </c>
      <c r="AY56" s="42" t="s">
        <v>64</v>
      </c>
      <c r="AZ56" s="42" t="s">
        <v>64</v>
      </c>
      <c r="BA5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N11"
Application Service: "HDR"
Lifecycle: "PFB"</v>
      </c>
      <c r="BB56" s="78" t="s">
        <v>200</v>
      </c>
      <c r="BC56" s="42" t="str">
        <f>VLOOKUP(VmSpecs[[#This Row],[Original Hostname (CMO)]],'SSOT Data'!A:AJ,36,FALSE)</f>
        <v>HDR N11</v>
      </c>
      <c r="BD56" s="43"/>
    </row>
    <row r="57" spans="1:56" ht="29" x14ac:dyDescent="0.35">
      <c r="A57" s="42" t="s">
        <v>58</v>
      </c>
      <c r="B57" s="42" t="str">
        <f>_xlfn.XLOOKUP(VmSpecs[[#This Row],[Subnet]],NetworkReference[Subnet],NetworkReference[Subscription])</f>
        <v>NINP-PERF2</v>
      </c>
      <c r="C57" s="43" t="str">
        <f>_xlfn.XLOOKUP(VmSpecs[[#This Row],[Subnet]],NetworkReference[Subnet],NetworkReference[Virtual Network Resource Group])</f>
        <v>rg-pf2-network-aue-001</v>
      </c>
      <c r="D57" s="43" t="str">
        <f>_xlfn.XLOOKUP(VmSpecs[[#This Row],[Subnet]],NetworkReference[Subnet],NetworkReference[Virtual Network])</f>
        <v>vnet-pf2-workload-aue-001</v>
      </c>
      <c r="E57" s="132" t="s">
        <v>59</v>
      </c>
      <c r="F57" s="43" t="str">
        <f>_xlfn.XLOOKUP(VmSpecs[[#This Row],[Subnet]],NetworkReference[Subnet],NetworkReference[Virtual Network Peering])</f>
        <v>vnet-ninp-conn-pnp-hub-aue</v>
      </c>
      <c r="G57" s="43" t="str">
        <f>_xlfn.XLOOKUP(VmSpecs[[#This Row],[Subnet]],NetworkReference[Subnet],NetworkReference[Route Table])</f>
        <v>rt-sn-pfb-aue-pf2-app</v>
      </c>
      <c r="H57" s="43" t="str">
        <f>LOWER(VLOOKUP(VmSpecs[[#This Row],[Original Hostname (CMO)]],'SSOT Data'!A:K,10,FALSE))</f>
        <v>hdr</v>
      </c>
      <c r="I5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57" s="44" t="s">
        <v>138</v>
      </c>
      <c r="K57" s="43" t="str">
        <f>_xlfn.CONCAT("vm",MID(VmSpecs[[#This Row],[Subnet]],4,3),VLOOKUP(VmSpecs[[#This Row],[Subscription]],NetworkReference[#All],2,FALSE),VmSpecs[[#This Row],[Service]],VmSpecs[[#This Row],[VM iteration (nn)]])</f>
        <v>vmpfbpf2hdr12</v>
      </c>
      <c r="L57" s="45" t="s">
        <v>61</v>
      </c>
      <c r="M57" s="43" t="str">
        <f>VmSpecs[[#This Row],[VM Name]]&amp;".ninp.myhealthrecord.gov.au"</f>
        <v>vmpfbpf2hdr12.ninp.myhealthrecord.gov.au</v>
      </c>
      <c r="N57" s="42" t="str">
        <f t="shared" si="0"/>
        <v>nic-001-vmpfbpf2hdr12</v>
      </c>
      <c r="O57" s="94" t="s">
        <v>201</v>
      </c>
      <c r="P57" s="46" t="s">
        <v>63</v>
      </c>
      <c r="Q57" s="42" t="str">
        <f>VLOOKUP(VmSpecs[[#This Row],[Original Hostname (CMO)]],'SSOT Data'!A:E,5,FALSE)</f>
        <v>OEL7.9</v>
      </c>
      <c r="R57" s="42"/>
      <c r="S57" s="42" t="str">
        <f>_xlfn.CONCAT("avail-",LEFT(VmSpecs[[#This Row],[VM Name]],LEN(VmSpecs[[#This Row],[VM Name]])-2))</f>
        <v>avail-vmpfbpf2hdr</v>
      </c>
      <c r="T57" s="42" t="str">
        <f>_xlfn.CONCAT("asg-",LEFT(VmSpecs[[#This Row],[VM Name]],LEN(VmSpecs[[#This Row],[VM Name]])-2))</f>
        <v>asg-vmpfbpf2hdr</v>
      </c>
      <c r="U57" s="42" t="str">
        <f>_xlfn.CONCAT("nsg-",VmSpecs[[#This Row],[Subnet]])</f>
        <v>nsg-sn-pfb-aue-pf2-app</v>
      </c>
      <c r="V57" s="42" t="s">
        <v>64</v>
      </c>
      <c r="W57" s="43" t="str">
        <f>VLOOKUP(VmSpecs[[#This Row],[Original Hostname (CMO)]],'SSOT Data'!A:AX,50,FALSE)</f>
        <v>Standard_D8s_v4</v>
      </c>
      <c r="X57" s="43">
        <v>64</v>
      </c>
      <c r="Y57" s="43" t="s">
        <v>65</v>
      </c>
      <c r="Z57" s="43" t="str">
        <f>"osdisk-"&amp;VmSpecs[[#This Row],[VM Name]]</f>
        <v>osdisk-vmpfbpf2hdr12</v>
      </c>
      <c r="AA57" s="47" t="s">
        <v>66</v>
      </c>
      <c r="AB57" s="73">
        <v>8</v>
      </c>
      <c r="AC57" s="74" t="s">
        <v>65</v>
      </c>
      <c r="AD57" s="75" t="str">
        <f>"disk-"&amp;VmSpecs[[#This Row],[VM Name]]&amp;"-001"</f>
        <v>disk-vmpfbpf2hdr12-001</v>
      </c>
      <c r="AE57" s="73">
        <v>32</v>
      </c>
      <c r="AF57" s="74" t="s">
        <v>65</v>
      </c>
      <c r="AG57" s="43" t="str">
        <f>"disk-"&amp;VmSpecs[[#This Row],[VM Name]]&amp;"-002"</f>
        <v>disk-vmpfbpf2hdr12-002</v>
      </c>
      <c r="AH57" s="59"/>
      <c r="AI57" s="42"/>
      <c r="AJ57" s="42"/>
      <c r="AK57" s="42"/>
      <c r="AL57" s="42" t="str">
        <f>MID(VmSpecs[[#This Row],[VM Name]],3,9)</f>
        <v>pfbpf2hdr</v>
      </c>
      <c r="AM57" s="42" t="str" cm="1">
        <f t="array" ref="AM57">_xlfn.TEXTJOIN(CHAR(10), TRUE, IF(NfsExports[FMO Single VM IP]=VmSpecs[[#This Row],[IP]],NfsExports[FMO Export Summary],""))</f>
        <v>/apps/pcehr 45GB</v>
      </c>
      <c r="AN57" s="43" t="str" cm="1">
        <f t="array" ref="AN5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57" s="42"/>
      <c r="AP57" s="42" t="str">
        <f>VmSpecs[[#This Row],[Description]]</f>
        <v>HDR N12</v>
      </c>
      <c r="AQ57" s="43"/>
      <c r="AR57" s="43" t="s">
        <v>64</v>
      </c>
      <c r="AS57" s="43" t="s">
        <v>64</v>
      </c>
      <c r="AT57" s="43" t="s">
        <v>64</v>
      </c>
      <c r="AU57" s="43" t="s">
        <v>64</v>
      </c>
      <c r="AV57" s="42" t="s">
        <v>66</v>
      </c>
      <c r="AW57" s="42" t="s">
        <v>67</v>
      </c>
      <c r="AX57" s="42" t="s">
        <v>68</v>
      </c>
      <c r="AY57" s="42" t="s">
        <v>64</v>
      </c>
      <c r="AZ57" s="42" t="s">
        <v>64</v>
      </c>
      <c r="BA5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N12"
Application Service: "HDR"
Lifecycle: "PFB"</v>
      </c>
      <c r="BB57" s="78" t="s">
        <v>202</v>
      </c>
      <c r="BC57" s="42" t="str">
        <f>VLOOKUP(VmSpecs[[#This Row],[Original Hostname (CMO)]],'SSOT Data'!A:AJ,36,FALSE)</f>
        <v>HDR N12</v>
      </c>
      <c r="BD57" s="43"/>
    </row>
    <row r="58" spans="1:56" ht="29" x14ac:dyDescent="0.35">
      <c r="A58" s="42" t="s">
        <v>58</v>
      </c>
      <c r="B58" s="42" t="str">
        <f>_xlfn.XLOOKUP(VmSpecs[[#This Row],[Subnet]],NetworkReference[Subnet],NetworkReference[Subscription])</f>
        <v>NINP-PERF2</v>
      </c>
      <c r="C58" s="43" t="str">
        <f>_xlfn.XLOOKUP(VmSpecs[[#This Row],[Subnet]],NetworkReference[Subnet],NetworkReference[Virtual Network Resource Group])</f>
        <v>rg-pf2-network-aue-001</v>
      </c>
      <c r="D58" s="43" t="str">
        <f>_xlfn.XLOOKUP(VmSpecs[[#This Row],[Subnet]],NetworkReference[Subnet],NetworkReference[Virtual Network])</f>
        <v>vnet-pf2-workload-aue-001</v>
      </c>
      <c r="E58" s="132" t="s">
        <v>59</v>
      </c>
      <c r="F58" s="43" t="str">
        <f>_xlfn.XLOOKUP(VmSpecs[[#This Row],[Subnet]],NetworkReference[Subnet],NetworkReference[Virtual Network Peering])</f>
        <v>vnet-ninp-conn-pnp-hub-aue</v>
      </c>
      <c r="G58" s="43" t="str">
        <f>_xlfn.XLOOKUP(VmSpecs[[#This Row],[Subnet]],NetworkReference[Subnet],NetworkReference[Route Table])</f>
        <v>rt-sn-pfb-aue-pf2-app</v>
      </c>
      <c r="H58" s="43" t="str">
        <f>LOWER(VLOOKUP(VmSpecs[[#This Row],[Original Hostname (CMO)]],'SSOT Data'!A:K,10,FALSE))</f>
        <v>hdr</v>
      </c>
      <c r="I5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58" s="44" t="s">
        <v>141</v>
      </c>
      <c r="K58" s="43" t="str">
        <f>_xlfn.CONCAT("vm",MID(VmSpecs[[#This Row],[Subnet]],4,3),VLOOKUP(VmSpecs[[#This Row],[Subscription]],NetworkReference[#All],2,FALSE),VmSpecs[[#This Row],[Service]],VmSpecs[[#This Row],[VM iteration (nn)]])</f>
        <v>vmpfbpf2hdr13</v>
      </c>
      <c r="L58" s="45" t="s">
        <v>61</v>
      </c>
      <c r="M58" s="43" t="str">
        <f>VmSpecs[[#This Row],[VM Name]]&amp;".ninp.myhealthrecord.gov.au"</f>
        <v>vmpfbpf2hdr13.ninp.myhealthrecord.gov.au</v>
      </c>
      <c r="N58" s="42" t="str">
        <f t="shared" si="0"/>
        <v>nic-001-vmpfbpf2hdr13</v>
      </c>
      <c r="O58" s="94" t="s">
        <v>203</v>
      </c>
      <c r="P58" s="46" t="s">
        <v>63</v>
      </c>
      <c r="Q58" s="42" t="str">
        <f>VLOOKUP(VmSpecs[[#This Row],[Original Hostname (CMO)]],'SSOT Data'!A:E,5,FALSE)</f>
        <v>OEL7.9</v>
      </c>
      <c r="R58" s="42"/>
      <c r="S58" s="42" t="str">
        <f>_xlfn.CONCAT("avail-",LEFT(VmSpecs[[#This Row],[VM Name]],LEN(VmSpecs[[#This Row],[VM Name]])-2))</f>
        <v>avail-vmpfbpf2hdr</v>
      </c>
      <c r="T58" s="42" t="str">
        <f>_xlfn.CONCAT("asg-",LEFT(VmSpecs[[#This Row],[VM Name]],LEN(VmSpecs[[#This Row],[VM Name]])-2))</f>
        <v>asg-vmpfbpf2hdr</v>
      </c>
      <c r="U58" s="42" t="str">
        <f>_xlfn.CONCAT("nsg-",VmSpecs[[#This Row],[Subnet]])</f>
        <v>nsg-sn-pfb-aue-pf2-app</v>
      </c>
      <c r="V58" s="42" t="s">
        <v>64</v>
      </c>
      <c r="W58" s="43" t="str">
        <f>VLOOKUP(VmSpecs[[#This Row],[Original Hostname (CMO)]],'SSOT Data'!A:AX,50,FALSE)</f>
        <v>Standard_D8s_v4</v>
      </c>
      <c r="X58" s="43">
        <v>64</v>
      </c>
      <c r="Y58" s="43" t="s">
        <v>65</v>
      </c>
      <c r="Z58" s="43" t="str">
        <f>"osdisk-"&amp;VmSpecs[[#This Row],[VM Name]]</f>
        <v>osdisk-vmpfbpf2hdr13</v>
      </c>
      <c r="AA58" s="47" t="s">
        <v>66</v>
      </c>
      <c r="AB58" s="73">
        <v>8</v>
      </c>
      <c r="AC58" s="74" t="s">
        <v>65</v>
      </c>
      <c r="AD58" s="75" t="str">
        <f>"disk-"&amp;VmSpecs[[#This Row],[VM Name]]&amp;"-001"</f>
        <v>disk-vmpfbpf2hdr13-001</v>
      </c>
      <c r="AE58" s="73">
        <v>32</v>
      </c>
      <c r="AF58" s="74" t="s">
        <v>65</v>
      </c>
      <c r="AG58" s="43" t="str">
        <f>"disk-"&amp;VmSpecs[[#This Row],[VM Name]]&amp;"-002"</f>
        <v>disk-vmpfbpf2hdr13-002</v>
      </c>
      <c r="AH58" s="59"/>
      <c r="AI58" s="42"/>
      <c r="AJ58" s="42"/>
      <c r="AK58" s="42"/>
      <c r="AL58" s="42" t="str">
        <f>MID(VmSpecs[[#This Row],[VM Name]],3,9)</f>
        <v>pfbpf2hdr</v>
      </c>
      <c r="AM58" s="42" t="str" cm="1">
        <f t="array" ref="AM58">_xlfn.TEXTJOIN(CHAR(10), TRUE, IF(NfsExports[FMO Single VM IP]=VmSpecs[[#This Row],[IP]],NfsExports[FMO Export Summary],""))</f>
        <v>/apps/pcehr 45GB</v>
      </c>
      <c r="AN58" s="43" t="str" cm="1">
        <f t="array" ref="AN5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58" s="42"/>
      <c r="AP58" s="42" t="str">
        <f>VmSpecs[[#This Row],[Description]]</f>
        <v>HDR N13</v>
      </c>
      <c r="AQ58" s="43"/>
      <c r="AR58" s="43" t="s">
        <v>64</v>
      </c>
      <c r="AS58" s="43" t="s">
        <v>64</v>
      </c>
      <c r="AT58" s="43" t="s">
        <v>64</v>
      </c>
      <c r="AU58" s="43" t="s">
        <v>64</v>
      </c>
      <c r="AV58" s="42" t="s">
        <v>66</v>
      </c>
      <c r="AW58" s="42" t="s">
        <v>67</v>
      </c>
      <c r="AX58" s="42" t="s">
        <v>68</v>
      </c>
      <c r="AY58" s="42" t="s">
        <v>64</v>
      </c>
      <c r="AZ58" s="42" t="s">
        <v>64</v>
      </c>
      <c r="BA5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N13"
Application Service: "HDR"
Lifecycle: "PFB"</v>
      </c>
      <c r="BB58" s="78" t="s">
        <v>204</v>
      </c>
      <c r="BC58" s="42" t="str">
        <f>VLOOKUP(VmSpecs[[#This Row],[Original Hostname (CMO)]],'SSOT Data'!A:AJ,36,FALSE)</f>
        <v>HDR N13</v>
      </c>
      <c r="BD58" s="43"/>
    </row>
    <row r="59" spans="1:56" ht="29" x14ac:dyDescent="0.35">
      <c r="A59" s="42" t="s">
        <v>58</v>
      </c>
      <c r="B59" s="42" t="str">
        <f>_xlfn.XLOOKUP(VmSpecs[[#This Row],[Subnet]],NetworkReference[Subnet],NetworkReference[Subscription])</f>
        <v>NINP-PERF2</v>
      </c>
      <c r="C59" s="43" t="str">
        <f>_xlfn.XLOOKUP(VmSpecs[[#This Row],[Subnet]],NetworkReference[Subnet],NetworkReference[Virtual Network Resource Group])</f>
        <v>rg-pf2-network-aue-001</v>
      </c>
      <c r="D59" s="43" t="str">
        <f>_xlfn.XLOOKUP(VmSpecs[[#This Row],[Subnet]],NetworkReference[Subnet],NetworkReference[Virtual Network])</f>
        <v>vnet-pf2-workload-aue-001</v>
      </c>
      <c r="E59" s="132" t="s">
        <v>59</v>
      </c>
      <c r="F59" s="43" t="str">
        <f>_xlfn.XLOOKUP(VmSpecs[[#This Row],[Subnet]],NetworkReference[Subnet],NetworkReference[Virtual Network Peering])</f>
        <v>vnet-ninp-conn-pnp-hub-aue</v>
      </c>
      <c r="G59" s="43" t="str">
        <f>_xlfn.XLOOKUP(VmSpecs[[#This Row],[Subnet]],NetworkReference[Subnet],NetworkReference[Route Table])</f>
        <v>rt-sn-pfb-aue-pf2-app</v>
      </c>
      <c r="H59" s="43" t="str">
        <f>LOWER(VLOOKUP(VmSpecs[[#This Row],[Original Hostname (CMO)]],'SSOT Data'!A:K,10,FALSE))</f>
        <v>hdr</v>
      </c>
      <c r="I5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59" s="44" t="s">
        <v>144</v>
      </c>
      <c r="K59" s="43" t="str">
        <f>_xlfn.CONCAT("vm",MID(VmSpecs[[#This Row],[Subnet]],4,3),VLOOKUP(VmSpecs[[#This Row],[Subscription]],NetworkReference[#All],2,FALSE),VmSpecs[[#This Row],[Service]],VmSpecs[[#This Row],[VM iteration (nn)]])</f>
        <v>vmpfbpf2hdr14</v>
      </c>
      <c r="L59" s="45" t="s">
        <v>61</v>
      </c>
      <c r="M59" s="43" t="str">
        <f>VmSpecs[[#This Row],[VM Name]]&amp;".ninp.myhealthrecord.gov.au"</f>
        <v>vmpfbpf2hdr14.ninp.myhealthrecord.gov.au</v>
      </c>
      <c r="N59" s="42" t="str">
        <f t="shared" si="0"/>
        <v>nic-001-vmpfbpf2hdr14</v>
      </c>
      <c r="O59" s="94" t="s">
        <v>205</v>
      </c>
      <c r="P59" s="46" t="s">
        <v>63</v>
      </c>
      <c r="Q59" s="42" t="str">
        <f>VLOOKUP(VmSpecs[[#This Row],[Original Hostname (CMO)]],'SSOT Data'!A:E,5,FALSE)</f>
        <v>OEL7.9</v>
      </c>
      <c r="R59" s="42"/>
      <c r="S59" s="42" t="str">
        <f>_xlfn.CONCAT("avail-",LEFT(VmSpecs[[#This Row],[VM Name]],LEN(VmSpecs[[#This Row],[VM Name]])-2))</f>
        <v>avail-vmpfbpf2hdr</v>
      </c>
      <c r="T59" s="42" t="str">
        <f>_xlfn.CONCAT("asg-",LEFT(VmSpecs[[#This Row],[VM Name]],LEN(VmSpecs[[#This Row],[VM Name]])-2))</f>
        <v>asg-vmpfbpf2hdr</v>
      </c>
      <c r="U59" s="42" t="str">
        <f>_xlfn.CONCAT("nsg-",VmSpecs[[#This Row],[Subnet]])</f>
        <v>nsg-sn-pfb-aue-pf2-app</v>
      </c>
      <c r="V59" s="42" t="s">
        <v>64</v>
      </c>
      <c r="W59" s="43" t="str">
        <f>VLOOKUP(VmSpecs[[#This Row],[Original Hostname (CMO)]],'SSOT Data'!A:AX,50,FALSE)</f>
        <v>Standard_D8s_v4</v>
      </c>
      <c r="X59" s="43">
        <v>64</v>
      </c>
      <c r="Y59" s="43" t="s">
        <v>65</v>
      </c>
      <c r="Z59" s="43" t="str">
        <f>"osdisk-"&amp;VmSpecs[[#This Row],[VM Name]]</f>
        <v>osdisk-vmpfbpf2hdr14</v>
      </c>
      <c r="AA59" s="47" t="s">
        <v>66</v>
      </c>
      <c r="AB59" s="73">
        <v>8</v>
      </c>
      <c r="AC59" s="74" t="s">
        <v>65</v>
      </c>
      <c r="AD59" s="75" t="str">
        <f>"disk-"&amp;VmSpecs[[#This Row],[VM Name]]&amp;"-001"</f>
        <v>disk-vmpfbpf2hdr14-001</v>
      </c>
      <c r="AE59" s="73">
        <v>32</v>
      </c>
      <c r="AF59" s="74" t="s">
        <v>65</v>
      </c>
      <c r="AG59" s="43" t="str">
        <f>"disk-"&amp;VmSpecs[[#This Row],[VM Name]]&amp;"-002"</f>
        <v>disk-vmpfbpf2hdr14-002</v>
      </c>
      <c r="AH59" s="59"/>
      <c r="AI59" s="42"/>
      <c r="AJ59" s="42"/>
      <c r="AK59" s="42"/>
      <c r="AL59" s="42" t="str">
        <f>MID(VmSpecs[[#This Row],[VM Name]],3,9)</f>
        <v>pfbpf2hdr</v>
      </c>
      <c r="AM59" s="42" t="str" cm="1">
        <f t="array" ref="AM59">_xlfn.TEXTJOIN(CHAR(10), TRUE, IF(NfsExports[FMO Single VM IP]=VmSpecs[[#This Row],[IP]],NfsExports[FMO Export Summary],""))</f>
        <v>/apps/pcehr 45GB</v>
      </c>
      <c r="AN59" s="43" t="str" cm="1">
        <f t="array" ref="AN5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59" s="42"/>
      <c r="AP59" s="42" t="str">
        <f>VmSpecs[[#This Row],[Description]]</f>
        <v>HDR N14</v>
      </c>
      <c r="AQ59" s="43"/>
      <c r="AR59" s="43" t="s">
        <v>64</v>
      </c>
      <c r="AS59" s="43" t="s">
        <v>64</v>
      </c>
      <c r="AT59" s="43" t="s">
        <v>64</v>
      </c>
      <c r="AU59" s="43" t="s">
        <v>64</v>
      </c>
      <c r="AV59" s="42" t="s">
        <v>66</v>
      </c>
      <c r="AW59" s="42" t="s">
        <v>67</v>
      </c>
      <c r="AX59" s="42" t="s">
        <v>68</v>
      </c>
      <c r="AY59" s="42" t="s">
        <v>64</v>
      </c>
      <c r="AZ59" s="42" t="s">
        <v>64</v>
      </c>
      <c r="BA5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N14"
Application Service: "HDR"
Lifecycle: "PFB"</v>
      </c>
      <c r="BB59" s="78" t="s">
        <v>206</v>
      </c>
      <c r="BC59" s="42" t="str">
        <f>VLOOKUP(VmSpecs[[#This Row],[Original Hostname (CMO)]],'SSOT Data'!A:AJ,36,FALSE)</f>
        <v>HDR N14</v>
      </c>
      <c r="BD59" s="43"/>
    </row>
    <row r="60" spans="1:56" ht="29" x14ac:dyDescent="0.35">
      <c r="A60" s="42" t="s">
        <v>58</v>
      </c>
      <c r="B60" s="42" t="str">
        <f>_xlfn.XLOOKUP(VmSpecs[[#This Row],[Subnet]],NetworkReference[Subnet],NetworkReference[Subscription])</f>
        <v>NINP-PERF2</v>
      </c>
      <c r="C60" s="43" t="str">
        <f>_xlfn.XLOOKUP(VmSpecs[[#This Row],[Subnet]],NetworkReference[Subnet],NetworkReference[Virtual Network Resource Group])</f>
        <v>rg-pf2-network-aue-001</v>
      </c>
      <c r="D60" s="43" t="str">
        <f>_xlfn.XLOOKUP(VmSpecs[[#This Row],[Subnet]],NetworkReference[Subnet],NetworkReference[Virtual Network])</f>
        <v>vnet-pf2-workload-aue-001</v>
      </c>
      <c r="E60" s="132" t="s">
        <v>59</v>
      </c>
      <c r="F60" s="43" t="str">
        <f>_xlfn.XLOOKUP(VmSpecs[[#This Row],[Subnet]],NetworkReference[Subnet],NetworkReference[Virtual Network Peering])</f>
        <v>vnet-ninp-conn-pnp-hub-aue</v>
      </c>
      <c r="G60" s="43" t="str">
        <f>_xlfn.XLOOKUP(VmSpecs[[#This Row],[Subnet]],NetworkReference[Subnet],NetworkReference[Route Table])</f>
        <v>rt-sn-pfb-aue-pf2-app</v>
      </c>
      <c r="H60" s="43" t="str">
        <f>LOWER(VLOOKUP(VmSpecs[[#This Row],[Original Hostname (CMO)]],'SSOT Data'!A:K,10,FALSE))</f>
        <v>hdr</v>
      </c>
      <c r="I6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60" s="44" t="s">
        <v>147</v>
      </c>
      <c r="K60" s="43" t="str">
        <f>_xlfn.CONCAT("vm",MID(VmSpecs[[#This Row],[Subnet]],4,3),VLOOKUP(VmSpecs[[#This Row],[Subscription]],NetworkReference[#All],2,FALSE),VmSpecs[[#This Row],[Service]],VmSpecs[[#This Row],[VM iteration (nn)]])</f>
        <v>vmpfbpf2hdr15</v>
      </c>
      <c r="L60" s="45" t="s">
        <v>61</v>
      </c>
      <c r="M60" s="43" t="str">
        <f>VmSpecs[[#This Row],[VM Name]]&amp;".ninp.myhealthrecord.gov.au"</f>
        <v>vmpfbpf2hdr15.ninp.myhealthrecord.gov.au</v>
      </c>
      <c r="N60" s="42" t="str">
        <f t="shared" si="0"/>
        <v>nic-001-vmpfbpf2hdr15</v>
      </c>
      <c r="O60" s="94" t="s">
        <v>207</v>
      </c>
      <c r="P60" s="46" t="s">
        <v>63</v>
      </c>
      <c r="Q60" s="42" t="str">
        <f>VLOOKUP(VmSpecs[[#This Row],[Original Hostname (CMO)]],'SSOT Data'!A:E,5,FALSE)</f>
        <v>OEL7.9</v>
      </c>
      <c r="R60" s="42"/>
      <c r="S60" s="42" t="str">
        <f>_xlfn.CONCAT("avail-",LEFT(VmSpecs[[#This Row],[VM Name]],LEN(VmSpecs[[#This Row],[VM Name]])-2))</f>
        <v>avail-vmpfbpf2hdr</v>
      </c>
      <c r="T60" s="42" t="str">
        <f>_xlfn.CONCAT("asg-",LEFT(VmSpecs[[#This Row],[VM Name]],LEN(VmSpecs[[#This Row],[VM Name]])-2))</f>
        <v>asg-vmpfbpf2hdr</v>
      </c>
      <c r="U60" s="42" t="str">
        <f>_xlfn.CONCAT("nsg-",VmSpecs[[#This Row],[Subnet]])</f>
        <v>nsg-sn-pfb-aue-pf2-app</v>
      </c>
      <c r="V60" s="42" t="s">
        <v>64</v>
      </c>
      <c r="W60" s="43" t="str">
        <f>VLOOKUP(VmSpecs[[#This Row],[Original Hostname (CMO)]],'SSOT Data'!A:AX,50,FALSE)</f>
        <v>Standard_D8s_v4</v>
      </c>
      <c r="X60" s="43">
        <v>64</v>
      </c>
      <c r="Y60" s="43" t="s">
        <v>65</v>
      </c>
      <c r="Z60" s="43" t="str">
        <f>"osdisk-"&amp;VmSpecs[[#This Row],[VM Name]]</f>
        <v>osdisk-vmpfbpf2hdr15</v>
      </c>
      <c r="AA60" s="47" t="s">
        <v>66</v>
      </c>
      <c r="AB60" s="73">
        <v>8</v>
      </c>
      <c r="AC60" s="74" t="s">
        <v>65</v>
      </c>
      <c r="AD60" s="75" t="str">
        <f>"disk-"&amp;VmSpecs[[#This Row],[VM Name]]&amp;"-001"</f>
        <v>disk-vmpfbpf2hdr15-001</v>
      </c>
      <c r="AE60" s="73">
        <v>32</v>
      </c>
      <c r="AF60" s="74" t="s">
        <v>65</v>
      </c>
      <c r="AG60" s="43" t="str">
        <f>"disk-"&amp;VmSpecs[[#This Row],[VM Name]]&amp;"-002"</f>
        <v>disk-vmpfbpf2hdr15-002</v>
      </c>
      <c r="AH60" s="59"/>
      <c r="AI60" s="42"/>
      <c r="AJ60" s="42"/>
      <c r="AK60" s="42"/>
      <c r="AL60" s="42" t="str">
        <f>MID(VmSpecs[[#This Row],[VM Name]],3,9)</f>
        <v>pfbpf2hdr</v>
      </c>
      <c r="AM60" s="42" t="str" cm="1">
        <f t="array" ref="AM60">_xlfn.TEXTJOIN(CHAR(10), TRUE, IF(NfsExports[FMO Single VM IP]=VmSpecs[[#This Row],[IP]],NfsExports[FMO Export Summary],""))</f>
        <v>/apps/pcehr 45GB</v>
      </c>
      <c r="AN60" s="43" t="str" cm="1">
        <f t="array" ref="AN6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60" s="42"/>
      <c r="AP60" s="42" t="str">
        <f>VmSpecs[[#This Row],[Description]]</f>
        <v>HDR N15</v>
      </c>
      <c r="AQ60" s="43"/>
      <c r="AR60" s="43" t="s">
        <v>64</v>
      </c>
      <c r="AS60" s="43" t="s">
        <v>64</v>
      </c>
      <c r="AT60" s="43" t="s">
        <v>64</v>
      </c>
      <c r="AU60" s="43" t="s">
        <v>64</v>
      </c>
      <c r="AV60" s="42" t="s">
        <v>66</v>
      </c>
      <c r="AW60" s="42" t="s">
        <v>67</v>
      </c>
      <c r="AX60" s="42" t="s">
        <v>68</v>
      </c>
      <c r="AY60" s="42" t="s">
        <v>64</v>
      </c>
      <c r="AZ60" s="42" t="s">
        <v>64</v>
      </c>
      <c r="BA6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N15"
Application Service: "HDR"
Lifecycle: "PFB"</v>
      </c>
      <c r="BB60" s="78" t="s">
        <v>208</v>
      </c>
      <c r="BC60" s="42" t="str">
        <f>VLOOKUP(VmSpecs[[#This Row],[Original Hostname (CMO)]],'SSOT Data'!A:AJ,36,FALSE)</f>
        <v>HDR N15</v>
      </c>
      <c r="BD60" s="43"/>
    </row>
    <row r="61" spans="1:56" ht="29" x14ac:dyDescent="0.35">
      <c r="A61" s="42" t="s">
        <v>58</v>
      </c>
      <c r="B61" s="42" t="str">
        <f>_xlfn.XLOOKUP(VmSpecs[[#This Row],[Subnet]],NetworkReference[Subnet],NetworkReference[Subscription])</f>
        <v>NINP-PERF2</v>
      </c>
      <c r="C61" s="43" t="str">
        <f>_xlfn.XLOOKUP(VmSpecs[[#This Row],[Subnet]],NetworkReference[Subnet],NetworkReference[Virtual Network Resource Group])</f>
        <v>rg-pf2-network-aue-001</v>
      </c>
      <c r="D61" s="43" t="str">
        <f>_xlfn.XLOOKUP(VmSpecs[[#This Row],[Subnet]],NetworkReference[Subnet],NetworkReference[Virtual Network])</f>
        <v>vnet-pf2-workload-aue-001</v>
      </c>
      <c r="E61" s="132" t="s">
        <v>59</v>
      </c>
      <c r="F61" s="43" t="str">
        <f>_xlfn.XLOOKUP(VmSpecs[[#This Row],[Subnet]],NetworkReference[Subnet],NetworkReference[Virtual Network Peering])</f>
        <v>vnet-ninp-conn-pnp-hub-aue</v>
      </c>
      <c r="G61" s="43" t="str">
        <f>_xlfn.XLOOKUP(VmSpecs[[#This Row],[Subnet]],NetworkReference[Subnet],NetworkReference[Route Table])</f>
        <v>rt-sn-pfb-aue-pf2-app</v>
      </c>
      <c r="H61" s="43" t="str">
        <f>LOWER(VLOOKUP(VmSpecs[[#This Row],[Original Hostname (CMO)]],'SSOT Data'!A:K,10,FALSE))</f>
        <v>hdr</v>
      </c>
      <c r="I6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61" s="44" t="s">
        <v>150</v>
      </c>
      <c r="K61" s="43" t="str">
        <f>_xlfn.CONCAT("vm",MID(VmSpecs[[#This Row],[Subnet]],4,3),VLOOKUP(VmSpecs[[#This Row],[Subscription]],NetworkReference[#All],2,FALSE),VmSpecs[[#This Row],[Service]],VmSpecs[[#This Row],[VM iteration (nn)]])</f>
        <v>vmpfbpf2hdr16</v>
      </c>
      <c r="L61" s="45" t="s">
        <v>61</v>
      </c>
      <c r="M61" s="43" t="str">
        <f>VmSpecs[[#This Row],[VM Name]]&amp;".ninp.myhealthrecord.gov.au"</f>
        <v>vmpfbpf2hdr16.ninp.myhealthrecord.gov.au</v>
      </c>
      <c r="N61" s="42" t="str">
        <f t="shared" si="0"/>
        <v>nic-001-vmpfbpf2hdr16</v>
      </c>
      <c r="O61" s="94" t="s">
        <v>209</v>
      </c>
      <c r="P61" s="46" t="s">
        <v>63</v>
      </c>
      <c r="Q61" s="42" t="str">
        <f>VLOOKUP(VmSpecs[[#This Row],[Original Hostname (CMO)]],'SSOT Data'!A:E,5,FALSE)</f>
        <v>OEL7.9</v>
      </c>
      <c r="R61" s="42"/>
      <c r="S61" s="42" t="str">
        <f>_xlfn.CONCAT("avail-",LEFT(VmSpecs[[#This Row],[VM Name]],LEN(VmSpecs[[#This Row],[VM Name]])-2))</f>
        <v>avail-vmpfbpf2hdr</v>
      </c>
      <c r="T61" s="42" t="str">
        <f>_xlfn.CONCAT("asg-",LEFT(VmSpecs[[#This Row],[VM Name]],LEN(VmSpecs[[#This Row],[VM Name]])-2))</f>
        <v>asg-vmpfbpf2hdr</v>
      </c>
      <c r="U61" s="42" t="str">
        <f>_xlfn.CONCAT("nsg-",VmSpecs[[#This Row],[Subnet]])</f>
        <v>nsg-sn-pfb-aue-pf2-app</v>
      </c>
      <c r="V61" s="42" t="s">
        <v>64</v>
      </c>
      <c r="W61" s="43" t="str">
        <f>VLOOKUP(VmSpecs[[#This Row],[Original Hostname (CMO)]],'SSOT Data'!A:AX,50,FALSE)</f>
        <v>Standard_D8s_v4</v>
      </c>
      <c r="X61" s="43">
        <v>64</v>
      </c>
      <c r="Y61" s="43" t="s">
        <v>65</v>
      </c>
      <c r="Z61" s="43" t="str">
        <f>"osdisk-"&amp;VmSpecs[[#This Row],[VM Name]]</f>
        <v>osdisk-vmpfbpf2hdr16</v>
      </c>
      <c r="AA61" s="47" t="s">
        <v>66</v>
      </c>
      <c r="AB61" s="73">
        <v>8</v>
      </c>
      <c r="AC61" s="74" t="s">
        <v>65</v>
      </c>
      <c r="AD61" s="75" t="str">
        <f>"disk-"&amp;VmSpecs[[#This Row],[VM Name]]&amp;"-001"</f>
        <v>disk-vmpfbpf2hdr16-001</v>
      </c>
      <c r="AE61" s="73">
        <v>32</v>
      </c>
      <c r="AF61" s="74" t="s">
        <v>65</v>
      </c>
      <c r="AG61" s="43" t="str">
        <f>"disk-"&amp;VmSpecs[[#This Row],[VM Name]]&amp;"-002"</f>
        <v>disk-vmpfbpf2hdr16-002</v>
      </c>
      <c r="AH61" s="59"/>
      <c r="AI61" s="42"/>
      <c r="AJ61" s="42"/>
      <c r="AK61" s="42"/>
      <c r="AL61" s="42" t="str">
        <f>MID(VmSpecs[[#This Row],[VM Name]],3,9)</f>
        <v>pfbpf2hdr</v>
      </c>
      <c r="AM61" s="42" t="str" cm="1">
        <f t="array" ref="AM61">_xlfn.TEXTJOIN(CHAR(10), TRUE, IF(NfsExports[FMO Single VM IP]=VmSpecs[[#This Row],[IP]],NfsExports[FMO Export Summary],""))</f>
        <v>/apps/pcehr 45GB</v>
      </c>
      <c r="AN61" s="43" t="str" cm="1">
        <f t="array" ref="AN6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61" s="42"/>
      <c r="AP61" s="42" t="str">
        <f>VmSpecs[[#This Row],[Description]]</f>
        <v>HDR P1</v>
      </c>
      <c r="AQ61" s="43"/>
      <c r="AR61" s="43" t="s">
        <v>64</v>
      </c>
      <c r="AS61" s="43" t="s">
        <v>64</v>
      </c>
      <c r="AT61" s="43" t="s">
        <v>64</v>
      </c>
      <c r="AU61" s="43" t="s">
        <v>64</v>
      </c>
      <c r="AV61" s="42" t="s">
        <v>66</v>
      </c>
      <c r="AW61" s="42" t="s">
        <v>67</v>
      </c>
      <c r="AX61" s="42" t="s">
        <v>68</v>
      </c>
      <c r="AY61" s="42" t="s">
        <v>64</v>
      </c>
      <c r="AZ61" s="42" t="s">
        <v>64</v>
      </c>
      <c r="BA6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P1"
Application Service: "HDR"
Lifecycle: "PFB"</v>
      </c>
      <c r="BB61" s="78" t="s">
        <v>210</v>
      </c>
      <c r="BC61" s="42" t="str">
        <f>VLOOKUP(VmSpecs[[#This Row],[Original Hostname (CMO)]],'SSOT Data'!A:AJ,36,FALSE)</f>
        <v>HDR P1</v>
      </c>
      <c r="BD61" s="43"/>
    </row>
    <row r="62" spans="1:56" ht="29" x14ac:dyDescent="0.35">
      <c r="A62" s="42" t="s">
        <v>58</v>
      </c>
      <c r="B62" s="42" t="str">
        <f>_xlfn.XLOOKUP(VmSpecs[[#This Row],[Subnet]],NetworkReference[Subnet],NetworkReference[Subscription])</f>
        <v>NINP-PERF2</v>
      </c>
      <c r="C62" s="43" t="str">
        <f>_xlfn.XLOOKUP(VmSpecs[[#This Row],[Subnet]],NetworkReference[Subnet],NetworkReference[Virtual Network Resource Group])</f>
        <v>rg-pf2-network-aue-001</v>
      </c>
      <c r="D62" s="43" t="str">
        <f>_xlfn.XLOOKUP(VmSpecs[[#This Row],[Subnet]],NetworkReference[Subnet],NetworkReference[Virtual Network])</f>
        <v>vnet-pf2-workload-aue-001</v>
      </c>
      <c r="E62" s="132" t="s">
        <v>59</v>
      </c>
      <c r="F62" s="43" t="str">
        <f>_xlfn.XLOOKUP(VmSpecs[[#This Row],[Subnet]],NetworkReference[Subnet],NetworkReference[Virtual Network Peering])</f>
        <v>vnet-ninp-conn-pnp-hub-aue</v>
      </c>
      <c r="G62" s="43" t="str">
        <f>_xlfn.XLOOKUP(VmSpecs[[#This Row],[Subnet]],NetworkReference[Subnet],NetworkReference[Route Table])</f>
        <v>rt-sn-pfb-aue-pf2-app</v>
      </c>
      <c r="H62" s="43" t="str">
        <f>LOWER(VLOOKUP(VmSpecs[[#This Row],[Original Hostname (CMO)]],'SSOT Data'!A:K,10,FALSE))</f>
        <v>hdr</v>
      </c>
      <c r="I6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62" s="44" t="s">
        <v>153</v>
      </c>
      <c r="K62" s="43" t="str">
        <f>_xlfn.CONCAT("vm",MID(VmSpecs[[#This Row],[Subnet]],4,3),VLOOKUP(VmSpecs[[#This Row],[Subscription]],NetworkReference[#All],2,FALSE),VmSpecs[[#This Row],[Service]],VmSpecs[[#This Row],[VM iteration (nn)]])</f>
        <v>vmpfbpf2hdr17</v>
      </c>
      <c r="L62" s="45" t="s">
        <v>61</v>
      </c>
      <c r="M62" s="43" t="str">
        <f>VmSpecs[[#This Row],[VM Name]]&amp;".ninp.myhealthrecord.gov.au"</f>
        <v>vmpfbpf2hdr17.ninp.myhealthrecord.gov.au</v>
      </c>
      <c r="N62" s="42" t="str">
        <f t="shared" si="0"/>
        <v>nic-001-vmpfbpf2hdr17</v>
      </c>
      <c r="O62" s="94" t="s">
        <v>211</v>
      </c>
      <c r="P62" s="46" t="s">
        <v>63</v>
      </c>
      <c r="Q62" s="42" t="str">
        <f>VLOOKUP(VmSpecs[[#This Row],[Original Hostname (CMO)]],'SSOT Data'!A:E,5,FALSE)</f>
        <v>OEL7.9</v>
      </c>
      <c r="R62" s="42"/>
      <c r="S62" s="42" t="str">
        <f>_xlfn.CONCAT("avail-",LEFT(VmSpecs[[#This Row],[VM Name]],LEN(VmSpecs[[#This Row],[VM Name]])-2))</f>
        <v>avail-vmpfbpf2hdr</v>
      </c>
      <c r="T62" s="42" t="str">
        <f>_xlfn.CONCAT("asg-",LEFT(VmSpecs[[#This Row],[VM Name]],LEN(VmSpecs[[#This Row],[VM Name]])-2))</f>
        <v>asg-vmpfbpf2hdr</v>
      </c>
      <c r="U62" s="42" t="str">
        <f>_xlfn.CONCAT("nsg-",VmSpecs[[#This Row],[Subnet]])</f>
        <v>nsg-sn-pfb-aue-pf2-app</v>
      </c>
      <c r="V62" s="42" t="s">
        <v>64</v>
      </c>
      <c r="W62" s="43" t="str">
        <f>VLOOKUP(VmSpecs[[#This Row],[Original Hostname (CMO)]],'SSOT Data'!A:AX,50,FALSE)</f>
        <v>Standard_D8s_v4</v>
      </c>
      <c r="X62" s="43">
        <v>64</v>
      </c>
      <c r="Y62" s="43" t="s">
        <v>65</v>
      </c>
      <c r="Z62" s="43" t="str">
        <f>"osdisk-"&amp;VmSpecs[[#This Row],[VM Name]]</f>
        <v>osdisk-vmpfbpf2hdr17</v>
      </c>
      <c r="AA62" s="47" t="s">
        <v>66</v>
      </c>
      <c r="AB62" s="73">
        <v>8</v>
      </c>
      <c r="AC62" s="74" t="s">
        <v>65</v>
      </c>
      <c r="AD62" s="75" t="str">
        <f>"disk-"&amp;VmSpecs[[#This Row],[VM Name]]&amp;"-001"</f>
        <v>disk-vmpfbpf2hdr17-001</v>
      </c>
      <c r="AE62" s="73">
        <v>32</v>
      </c>
      <c r="AF62" s="74" t="s">
        <v>65</v>
      </c>
      <c r="AG62" s="43" t="str">
        <f>"disk-"&amp;VmSpecs[[#This Row],[VM Name]]&amp;"-002"</f>
        <v>disk-vmpfbpf2hdr17-002</v>
      </c>
      <c r="AH62" s="59"/>
      <c r="AI62" s="42"/>
      <c r="AJ62" s="42"/>
      <c r="AK62" s="42"/>
      <c r="AL62" s="42" t="str">
        <f>MID(VmSpecs[[#This Row],[VM Name]],3,9)</f>
        <v>pfbpf2hdr</v>
      </c>
      <c r="AM62" s="42" t="str" cm="1">
        <f t="array" ref="AM62">_xlfn.TEXTJOIN(CHAR(10), TRUE, IF(NfsExports[FMO Single VM IP]=VmSpecs[[#This Row],[IP]],NfsExports[FMO Export Summary],""))</f>
        <v>/apps/pcehr 45GB</v>
      </c>
      <c r="AN62" s="43" t="str" cm="1">
        <f t="array" ref="AN6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62" s="42"/>
      <c r="AP62" s="42" t="str">
        <f>VmSpecs[[#This Row],[Description]]</f>
        <v>HDR P1</v>
      </c>
      <c r="AQ62" s="43"/>
      <c r="AR62" s="43" t="s">
        <v>64</v>
      </c>
      <c r="AS62" s="43" t="s">
        <v>64</v>
      </c>
      <c r="AT62" s="43" t="s">
        <v>64</v>
      </c>
      <c r="AU62" s="43" t="s">
        <v>64</v>
      </c>
      <c r="AV62" s="42" t="s">
        <v>66</v>
      </c>
      <c r="AW62" s="42" t="s">
        <v>67</v>
      </c>
      <c r="AX62" s="42" t="s">
        <v>68</v>
      </c>
      <c r="AY62" s="42" t="s">
        <v>64</v>
      </c>
      <c r="AZ62" s="42" t="s">
        <v>64</v>
      </c>
      <c r="BA6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P1"
Application Service: "HDR"
Lifecycle: "PFB"</v>
      </c>
      <c r="BB62" s="78" t="s">
        <v>212</v>
      </c>
      <c r="BC62" s="42" t="str">
        <f>VLOOKUP(VmSpecs[[#This Row],[Original Hostname (CMO)]],'SSOT Data'!A:AJ,36,FALSE)</f>
        <v>HDR P1</v>
      </c>
      <c r="BD62" s="43"/>
    </row>
    <row r="63" spans="1:56" ht="29" x14ac:dyDescent="0.35">
      <c r="A63" s="42" t="s">
        <v>58</v>
      </c>
      <c r="B63" s="42" t="str">
        <f>_xlfn.XLOOKUP(VmSpecs[[#This Row],[Subnet]],NetworkReference[Subnet],NetworkReference[Subscription])</f>
        <v>NINP-PERF2</v>
      </c>
      <c r="C63" s="43" t="str">
        <f>_xlfn.XLOOKUP(VmSpecs[[#This Row],[Subnet]],NetworkReference[Subnet],NetworkReference[Virtual Network Resource Group])</f>
        <v>rg-pf2-network-aue-001</v>
      </c>
      <c r="D63" s="43" t="str">
        <f>_xlfn.XLOOKUP(VmSpecs[[#This Row],[Subnet]],NetworkReference[Subnet],NetworkReference[Virtual Network])</f>
        <v>vnet-pf2-workload-aue-001</v>
      </c>
      <c r="E63" s="132" t="s">
        <v>59</v>
      </c>
      <c r="F63" s="43" t="str">
        <f>_xlfn.XLOOKUP(VmSpecs[[#This Row],[Subnet]],NetworkReference[Subnet],NetworkReference[Virtual Network Peering])</f>
        <v>vnet-ninp-conn-pnp-hub-aue</v>
      </c>
      <c r="G63" s="43" t="str">
        <f>_xlfn.XLOOKUP(VmSpecs[[#This Row],[Subnet]],NetworkReference[Subnet],NetworkReference[Route Table])</f>
        <v>rt-sn-pfb-aue-pf2-app</v>
      </c>
      <c r="H63" s="43" t="str">
        <f>LOWER(VLOOKUP(VmSpecs[[#This Row],[Original Hostname (CMO)]],'SSOT Data'!A:K,10,FALSE))</f>
        <v>hdr</v>
      </c>
      <c r="I6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63" s="44" t="s">
        <v>156</v>
      </c>
      <c r="K63" s="43" t="str">
        <f>_xlfn.CONCAT("vm",MID(VmSpecs[[#This Row],[Subnet]],4,3),VLOOKUP(VmSpecs[[#This Row],[Subscription]],NetworkReference[#All],2,FALSE),VmSpecs[[#This Row],[Service]],VmSpecs[[#This Row],[VM iteration (nn)]])</f>
        <v>vmpfbpf2hdr18</v>
      </c>
      <c r="L63" s="45" t="s">
        <v>61</v>
      </c>
      <c r="M63" s="43" t="str">
        <f>VmSpecs[[#This Row],[VM Name]]&amp;".ninp.myhealthrecord.gov.au"</f>
        <v>vmpfbpf2hdr18.ninp.myhealthrecord.gov.au</v>
      </c>
      <c r="N63" s="42" t="str">
        <f t="shared" si="0"/>
        <v>nic-001-vmpfbpf2hdr18</v>
      </c>
      <c r="O63" s="94" t="s">
        <v>213</v>
      </c>
      <c r="P63" s="46" t="s">
        <v>63</v>
      </c>
      <c r="Q63" s="42" t="str">
        <f>VLOOKUP(VmSpecs[[#This Row],[Original Hostname (CMO)]],'SSOT Data'!A:E,5,FALSE)</f>
        <v>OEL7.9</v>
      </c>
      <c r="R63" s="42"/>
      <c r="S63" s="42" t="str">
        <f>_xlfn.CONCAT("avail-",LEFT(VmSpecs[[#This Row],[VM Name]],LEN(VmSpecs[[#This Row],[VM Name]])-2))</f>
        <v>avail-vmpfbpf2hdr</v>
      </c>
      <c r="T63" s="42" t="str">
        <f>_xlfn.CONCAT("asg-",LEFT(VmSpecs[[#This Row],[VM Name]],LEN(VmSpecs[[#This Row],[VM Name]])-2))</f>
        <v>asg-vmpfbpf2hdr</v>
      </c>
      <c r="U63" s="42" t="str">
        <f>_xlfn.CONCAT("nsg-",VmSpecs[[#This Row],[Subnet]])</f>
        <v>nsg-sn-pfb-aue-pf2-app</v>
      </c>
      <c r="V63" s="42" t="s">
        <v>64</v>
      </c>
      <c r="W63" s="43" t="str">
        <f>VLOOKUP(VmSpecs[[#This Row],[Original Hostname (CMO)]],'SSOT Data'!A:AX,50,FALSE)</f>
        <v>Standard_D8s_v4</v>
      </c>
      <c r="X63" s="43">
        <v>64</v>
      </c>
      <c r="Y63" s="43" t="s">
        <v>65</v>
      </c>
      <c r="Z63" s="43" t="str">
        <f>"osdisk-"&amp;VmSpecs[[#This Row],[VM Name]]</f>
        <v>osdisk-vmpfbpf2hdr18</v>
      </c>
      <c r="AA63" s="47" t="s">
        <v>66</v>
      </c>
      <c r="AB63" s="73">
        <v>8</v>
      </c>
      <c r="AC63" s="74" t="s">
        <v>65</v>
      </c>
      <c r="AD63" s="75" t="str">
        <f>"disk-"&amp;VmSpecs[[#This Row],[VM Name]]&amp;"-001"</f>
        <v>disk-vmpfbpf2hdr18-001</v>
      </c>
      <c r="AE63" s="73">
        <v>32</v>
      </c>
      <c r="AF63" s="74" t="s">
        <v>65</v>
      </c>
      <c r="AG63" s="43" t="str">
        <f>"disk-"&amp;VmSpecs[[#This Row],[VM Name]]&amp;"-002"</f>
        <v>disk-vmpfbpf2hdr18-002</v>
      </c>
      <c r="AH63" s="59"/>
      <c r="AI63" s="42"/>
      <c r="AJ63" s="42"/>
      <c r="AK63" s="42"/>
      <c r="AL63" s="42" t="str">
        <f>MID(VmSpecs[[#This Row],[VM Name]],3,9)</f>
        <v>pfbpf2hdr</v>
      </c>
      <c r="AM63" s="42" t="str" cm="1">
        <f t="array" ref="AM63">_xlfn.TEXTJOIN(CHAR(10), TRUE, IF(NfsExports[FMO Single VM IP]=VmSpecs[[#This Row],[IP]],NfsExports[FMO Export Summary],""))</f>
        <v>/apps/pcehr 45GB</v>
      </c>
      <c r="AN63" s="43" t="str" cm="1">
        <f t="array" ref="AN6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63" s="42"/>
      <c r="AP63" s="42" t="str">
        <f>VmSpecs[[#This Row],[Description]]</f>
        <v>HDR P2</v>
      </c>
      <c r="AQ63" s="43"/>
      <c r="AR63" s="43" t="s">
        <v>64</v>
      </c>
      <c r="AS63" s="43" t="s">
        <v>64</v>
      </c>
      <c r="AT63" s="43" t="s">
        <v>64</v>
      </c>
      <c r="AU63" s="43" t="s">
        <v>64</v>
      </c>
      <c r="AV63" s="42" t="s">
        <v>66</v>
      </c>
      <c r="AW63" s="42" t="s">
        <v>67</v>
      </c>
      <c r="AX63" s="42" t="s">
        <v>68</v>
      </c>
      <c r="AY63" s="42" t="s">
        <v>64</v>
      </c>
      <c r="AZ63" s="42" t="s">
        <v>64</v>
      </c>
      <c r="BA6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P2"
Application Service: "HDR"
Lifecycle: "PFB"</v>
      </c>
      <c r="BB63" s="78" t="s">
        <v>214</v>
      </c>
      <c r="BC63" s="42" t="str">
        <f>VLOOKUP(VmSpecs[[#This Row],[Original Hostname (CMO)]],'SSOT Data'!A:AJ,36,FALSE)</f>
        <v>HDR P2</v>
      </c>
      <c r="BD63" s="43"/>
    </row>
    <row r="64" spans="1:56" ht="29" x14ac:dyDescent="0.35">
      <c r="A64" s="42" t="s">
        <v>58</v>
      </c>
      <c r="B64" s="42" t="str">
        <f>_xlfn.XLOOKUP(VmSpecs[[#This Row],[Subnet]],NetworkReference[Subnet],NetworkReference[Subscription])</f>
        <v>NINP-PERF2</v>
      </c>
      <c r="C64" s="43" t="str">
        <f>_xlfn.XLOOKUP(VmSpecs[[#This Row],[Subnet]],NetworkReference[Subnet],NetworkReference[Virtual Network Resource Group])</f>
        <v>rg-pf2-network-aue-001</v>
      </c>
      <c r="D64" s="43" t="str">
        <f>_xlfn.XLOOKUP(VmSpecs[[#This Row],[Subnet]],NetworkReference[Subnet],NetworkReference[Virtual Network])</f>
        <v>vnet-pf2-workload-aue-001</v>
      </c>
      <c r="E64" s="132" t="s">
        <v>59</v>
      </c>
      <c r="F64" s="43" t="str">
        <f>_xlfn.XLOOKUP(VmSpecs[[#This Row],[Subnet]],NetworkReference[Subnet],NetworkReference[Virtual Network Peering])</f>
        <v>vnet-ninp-conn-pnp-hub-aue</v>
      </c>
      <c r="G64" s="43" t="str">
        <f>_xlfn.XLOOKUP(VmSpecs[[#This Row],[Subnet]],NetworkReference[Subnet],NetworkReference[Route Table])</f>
        <v>rt-sn-pfb-aue-pf2-app</v>
      </c>
      <c r="H64" s="43" t="str">
        <f>LOWER(VLOOKUP(VmSpecs[[#This Row],[Original Hostname (CMO)]],'SSOT Data'!A:K,10,FALSE))</f>
        <v>hdr</v>
      </c>
      <c r="I6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64" s="44" t="s">
        <v>159</v>
      </c>
      <c r="K64" s="43" t="str">
        <f>_xlfn.CONCAT("vm",MID(VmSpecs[[#This Row],[Subnet]],4,3),VLOOKUP(VmSpecs[[#This Row],[Subscription]],NetworkReference[#All],2,FALSE),VmSpecs[[#This Row],[Service]],VmSpecs[[#This Row],[VM iteration (nn)]])</f>
        <v>vmpfbpf2hdr19</v>
      </c>
      <c r="L64" s="45" t="s">
        <v>61</v>
      </c>
      <c r="M64" s="43" t="str">
        <f>VmSpecs[[#This Row],[VM Name]]&amp;".ninp.myhealthrecord.gov.au"</f>
        <v>vmpfbpf2hdr19.ninp.myhealthrecord.gov.au</v>
      </c>
      <c r="N64" s="42" t="str">
        <f t="shared" si="0"/>
        <v>nic-001-vmpfbpf2hdr19</v>
      </c>
      <c r="O64" s="94" t="s">
        <v>215</v>
      </c>
      <c r="P64" s="46" t="s">
        <v>63</v>
      </c>
      <c r="Q64" s="42" t="str">
        <f>VLOOKUP(VmSpecs[[#This Row],[Original Hostname (CMO)]],'SSOT Data'!A:E,5,FALSE)</f>
        <v>OEL7.9</v>
      </c>
      <c r="R64" s="42"/>
      <c r="S64" s="42" t="str">
        <f>_xlfn.CONCAT("avail-",LEFT(VmSpecs[[#This Row],[VM Name]],LEN(VmSpecs[[#This Row],[VM Name]])-2))</f>
        <v>avail-vmpfbpf2hdr</v>
      </c>
      <c r="T64" s="42" t="str">
        <f>_xlfn.CONCAT("asg-",LEFT(VmSpecs[[#This Row],[VM Name]],LEN(VmSpecs[[#This Row],[VM Name]])-2))</f>
        <v>asg-vmpfbpf2hdr</v>
      </c>
      <c r="U64" s="42" t="str">
        <f>_xlfn.CONCAT("nsg-",VmSpecs[[#This Row],[Subnet]])</f>
        <v>nsg-sn-pfb-aue-pf2-app</v>
      </c>
      <c r="V64" s="42" t="s">
        <v>64</v>
      </c>
      <c r="W64" s="43" t="str">
        <f>VLOOKUP(VmSpecs[[#This Row],[Original Hostname (CMO)]],'SSOT Data'!A:AX,50,FALSE)</f>
        <v>Standard_D8s_v4</v>
      </c>
      <c r="X64" s="43">
        <v>64</v>
      </c>
      <c r="Y64" s="43" t="s">
        <v>65</v>
      </c>
      <c r="Z64" s="43" t="str">
        <f>"osdisk-"&amp;VmSpecs[[#This Row],[VM Name]]</f>
        <v>osdisk-vmpfbpf2hdr19</v>
      </c>
      <c r="AA64" s="47" t="s">
        <v>66</v>
      </c>
      <c r="AB64" s="73">
        <v>8</v>
      </c>
      <c r="AC64" s="74" t="s">
        <v>65</v>
      </c>
      <c r="AD64" s="75" t="str">
        <f>"disk-"&amp;VmSpecs[[#This Row],[VM Name]]&amp;"-001"</f>
        <v>disk-vmpfbpf2hdr19-001</v>
      </c>
      <c r="AE64" s="73">
        <v>32</v>
      </c>
      <c r="AF64" s="74" t="s">
        <v>65</v>
      </c>
      <c r="AG64" s="43" t="str">
        <f>"disk-"&amp;VmSpecs[[#This Row],[VM Name]]&amp;"-002"</f>
        <v>disk-vmpfbpf2hdr19-002</v>
      </c>
      <c r="AH64" s="59"/>
      <c r="AI64" s="42"/>
      <c r="AJ64" s="42"/>
      <c r="AK64" s="42"/>
      <c r="AL64" s="42" t="str">
        <f>MID(VmSpecs[[#This Row],[VM Name]],3,9)</f>
        <v>pfbpf2hdr</v>
      </c>
      <c r="AM64" s="42" t="str" cm="1">
        <f t="array" ref="AM64">_xlfn.TEXTJOIN(CHAR(10), TRUE, IF(NfsExports[FMO Single VM IP]=VmSpecs[[#This Row],[IP]],NfsExports[FMO Export Summary],""))</f>
        <v>/apps/pcehr 45GB</v>
      </c>
      <c r="AN64" s="43" t="str" cm="1">
        <f t="array" ref="AN6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64" s="42"/>
      <c r="AP64" s="42" t="str">
        <f>VmSpecs[[#This Row],[Description]]</f>
        <v>HDR P2</v>
      </c>
      <c r="AQ64" s="43"/>
      <c r="AR64" s="43" t="s">
        <v>64</v>
      </c>
      <c r="AS64" s="43" t="s">
        <v>64</v>
      </c>
      <c r="AT64" s="43" t="s">
        <v>64</v>
      </c>
      <c r="AU64" s="43" t="s">
        <v>64</v>
      </c>
      <c r="AV64" s="42" t="s">
        <v>66</v>
      </c>
      <c r="AW64" s="42" t="s">
        <v>67</v>
      </c>
      <c r="AX64" s="42" t="s">
        <v>68</v>
      </c>
      <c r="AY64" s="42" t="s">
        <v>64</v>
      </c>
      <c r="AZ64" s="42" t="s">
        <v>64</v>
      </c>
      <c r="BA6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P2"
Application Service: "HDR"
Lifecycle: "PFB"</v>
      </c>
      <c r="BB64" s="78" t="s">
        <v>216</v>
      </c>
      <c r="BC64" s="42" t="str">
        <f>VLOOKUP(VmSpecs[[#This Row],[Original Hostname (CMO)]],'SSOT Data'!A:AJ,36,FALSE)</f>
        <v>HDR P2</v>
      </c>
      <c r="BD64" s="43"/>
    </row>
    <row r="65" spans="1:56" ht="29" x14ac:dyDescent="0.35">
      <c r="A65" s="42" t="s">
        <v>58</v>
      </c>
      <c r="B65" s="42" t="str">
        <f>_xlfn.XLOOKUP(VmSpecs[[#This Row],[Subnet]],NetworkReference[Subnet],NetworkReference[Subscription])</f>
        <v>NINP-PERF2</v>
      </c>
      <c r="C65" s="43" t="str">
        <f>_xlfn.XLOOKUP(VmSpecs[[#This Row],[Subnet]],NetworkReference[Subnet],NetworkReference[Virtual Network Resource Group])</f>
        <v>rg-pf2-network-aue-001</v>
      </c>
      <c r="D65" s="43" t="str">
        <f>_xlfn.XLOOKUP(VmSpecs[[#This Row],[Subnet]],NetworkReference[Subnet],NetworkReference[Virtual Network])</f>
        <v>vnet-pf2-workload-aue-001</v>
      </c>
      <c r="E65" s="132" t="s">
        <v>59</v>
      </c>
      <c r="F65" s="43" t="str">
        <f>_xlfn.XLOOKUP(VmSpecs[[#This Row],[Subnet]],NetworkReference[Subnet],NetworkReference[Virtual Network Peering])</f>
        <v>vnet-ninp-conn-pnp-hub-aue</v>
      </c>
      <c r="G65" s="43" t="str">
        <f>_xlfn.XLOOKUP(VmSpecs[[#This Row],[Subnet]],NetworkReference[Subnet],NetworkReference[Route Table])</f>
        <v>rt-sn-pfb-aue-pf2-app</v>
      </c>
      <c r="H65" s="43" t="str">
        <f>LOWER(VLOOKUP(VmSpecs[[#This Row],[Original Hostname (CMO)]],'SSOT Data'!A:K,10,FALSE))</f>
        <v>hdr</v>
      </c>
      <c r="I6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65" s="44" t="s">
        <v>162</v>
      </c>
      <c r="K65" s="43" t="str">
        <f>_xlfn.CONCAT("vm",MID(VmSpecs[[#This Row],[Subnet]],4,3),VLOOKUP(VmSpecs[[#This Row],[Subscription]],NetworkReference[#All],2,FALSE),VmSpecs[[#This Row],[Service]],VmSpecs[[#This Row],[VM iteration (nn)]])</f>
        <v>vmpfbpf2hdr20</v>
      </c>
      <c r="L65" s="45" t="s">
        <v>61</v>
      </c>
      <c r="M65" s="43" t="str">
        <f>VmSpecs[[#This Row],[VM Name]]&amp;".ninp.myhealthrecord.gov.au"</f>
        <v>vmpfbpf2hdr20.ninp.myhealthrecord.gov.au</v>
      </c>
      <c r="N65" s="42" t="str">
        <f t="shared" si="0"/>
        <v>nic-001-vmpfbpf2hdr20</v>
      </c>
      <c r="O65" s="94" t="s">
        <v>217</v>
      </c>
      <c r="P65" s="46" t="s">
        <v>63</v>
      </c>
      <c r="Q65" s="42" t="str">
        <f>VLOOKUP(VmSpecs[[#This Row],[Original Hostname (CMO)]],'SSOT Data'!A:E,5,FALSE)</f>
        <v>OEL7.9</v>
      </c>
      <c r="R65" s="42"/>
      <c r="S65" s="42" t="str">
        <f>_xlfn.CONCAT("avail-",LEFT(VmSpecs[[#This Row],[VM Name]],LEN(VmSpecs[[#This Row],[VM Name]])-2))</f>
        <v>avail-vmpfbpf2hdr</v>
      </c>
      <c r="T65" s="42" t="str">
        <f>_xlfn.CONCAT("asg-",LEFT(VmSpecs[[#This Row],[VM Name]],LEN(VmSpecs[[#This Row],[VM Name]])-2))</f>
        <v>asg-vmpfbpf2hdr</v>
      </c>
      <c r="U65" s="42" t="str">
        <f>_xlfn.CONCAT("nsg-",VmSpecs[[#This Row],[Subnet]])</f>
        <v>nsg-sn-pfb-aue-pf2-app</v>
      </c>
      <c r="V65" s="42" t="s">
        <v>64</v>
      </c>
      <c r="W65" s="43" t="str">
        <f>VLOOKUP(VmSpecs[[#This Row],[Original Hostname (CMO)]],'SSOT Data'!A:AX,50,FALSE)</f>
        <v>Standard_D8s_v4</v>
      </c>
      <c r="X65" s="43">
        <v>64</v>
      </c>
      <c r="Y65" s="43" t="s">
        <v>65</v>
      </c>
      <c r="Z65" s="43" t="str">
        <f>"osdisk-"&amp;VmSpecs[[#This Row],[VM Name]]</f>
        <v>osdisk-vmpfbpf2hdr20</v>
      </c>
      <c r="AA65" s="47" t="s">
        <v>66</v>
      </c>
      <c r="AB65" s="73">
        <v>8</v>
      </c>
      <c r="AC65" s="74" t="s">
        <v>65</v>
      </c>
      <c r="AD65" s="75" t="str">
        <f>"disk-"&amp;VmSpecs[[#This Row],[VM Name]]&amp;"-001"</f>
        <v>disk-vmpfbpf2hdr20-001</v>
      </c>
      <c r="AE65" s="73">
        <v>32</v>
      </c>
      <c r="AF65" s="74" t="s">
        <v>65</v>
      </c>
      <c r="AG65" s="43" t="str">
        <f>"disk-"&amp;VmSpecs[[#This Row],[VM Name]]&amp;"-002"</f>
        <v>disk-vmpfbpf2hdr20-002</v>
      </c>
      <c r="AH65" s="59"/>
      <c r="AI65" s="42"/>
      <c r="AJ65" s="42"/>
      <c r="AK65" s="42"/>
      <c r="AL65" s="42" t="str">
        <f>MID(VmSpecs[[#This Row],[VM Name]],3,9)</f>
        <v>pfbpf2hdr</v>
      </c>
      <c r="AM65" s="42" t="str" cm="1">
        <f t="array" ref="AM65">_xlfn.TEXTJOIN(CHAR(10), TRUE, IF(NfsExports[FMO Single VM IP]=VmSpecs[[#This Row],[IP]],NfsExports[FMO Export Summary],""))</f>
        <v>/apps/pcehr 45GB</v>
      </c>
      <c r="AN65" s="43" t="str" cm="1">
        <f t="array" ref="AN6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65" s="42"/>
      <c r="AP65" s="42" t="str">
        <f>VmSpecs[[#This Row],[Description]]</f>
        <v>HDR P2</v>
      </c>
      <c r="AQ65" s="43"/>
      <c r="AR65" s="43" t="s">
        <v>64</v>
      </c>
      <c r="AS65" s="43" t="s">
        <v>64</v>
      </c>
      <c r="AT65" s="43" t="s">
        <v>64</v>
      </c>
      <c r="AU65" s="43" t="s">
        <v>64</v>
      </c>
      <c r="AV65" s="42" t="s">
        <v>66</v>
      </c>
      <c r="AW65" s="42" t="s">
        <v>67</v>
      </c>
      <c r="AX65" s="42" t="s">
        <v>68</v>
      </c>
      <c r="AY65" s="42" t="s">
        <v>64</v>
      </c>
      <c r="AZ65" s="42" t="s">
        <v>64</v>
      </c>
      <c r="BA6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P2"
Application Service: "HDR"
Lifecycle: "PFB"</v>
      </c>
      <c r="BB65" s="78" t="s">
        <v>218</v>
      </c>
      <c r="BC65" s="42" t="str">
        <f>VLOOKUP(VmSpecs[[#This Row],[Original Hostname (CMO)]],'SSOT Data'!A:AJ,36,FALSE)</f>
        <v>HDR P2</v>
      </c>
      <c r="BD65" s="43"/>
    </row>
    <row r="66" spans="1:56" ht="29" x14ac:dyDescent="0.35">
      <c r="A66" s="42" t="s">
        <v>58</v>
      </c>
      <c r="B66" s="42" t="str">
        <f>_xlfn.XLOOKUP(VmSpecs[[#This Row],[Subnet]],NetworkReference[Subnet],NetworkReference[Subscription])</f>
        <v>NINP-PERF2</v>
      </c>
      <c r="C66" s="43" t="str">
        <f>_xlfn.XLOOKUP(VmSpecs[[#This Row],[Subnet]],NetworkReference[Subnet],NetworkReference[Virtual Network Resource Group])</f>
        <v>rg-pf2-network-aue-001</v>
      </c>
      <c r="D66" s="43" t="str">
        <f>_xlfn.XLOOKUP(VmSpecs[[#This Row],[Subnet]],NetworkReference[Subnet],NetworkReference[Virtual Network])</f>
        <v>vnet-pf2-workload-aue-001</v>
      </c>
      <c r="E66" s="132" t="s">
        <v>59</v>
      </c>
      <c r="F66" s="43" t="str">
        <f>_xlfn.XLOOKUP(VmSpecs[[#This Row],[Subnet]],NetworkReference[Subnet],NetworkReference[Virtual Network Peering])</f>
        <v>vnet-ninp-conn-pnp-hub-aue</v>
      </c>
      <c r="G66" s="43" t="str">
        <f>_xlfn.XLOOKUP(VmSpecs[[#This Row],[Subnet]],NetworkReference[Subnet],NetworkReference[Route Table])</f>
        <v>rt-sn-pfb-aue-pf2-app</v>
      </c>
      <c r="H66" s="43" t="str">
        <f>LOWER(VLOOKUP(VmSpecs[[#This Row],[Original Hostname (CMO)]],'SSOT Data'!A:K,10,FALSE))</f>
        <v>hdr</v>
      </c>
      <c r="I6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66" s="44" t="s">
        <v>165</v>
      </c>
      <c r="K66" s="43" t="str">
        <f>_xlfn.CONCAT("vm",MID(VmSpecs[[#This Row],[Subnet]],4,3),VLOOKUP(VmSpecs[[#This Row],[Subscription]],NetworkReference[#All],2,FALSE),VmSpecs[[#This Row],[Service]],VmSpecs[[#This Row],[VM iteration (nn)]])</f>
        <v>vmpfbpf2hdr21</v>
      </c>
      <c r="L66" s="45" t="s">
        <v>61</v>
      </c>
      <c r="M66" s="43" t="str">
        <f>VmSpecs[[#This Row],[VM Name]]&amp;".ninp.myhealthrecord.gov.au"</f>
        <v>vmpfbpf2hdr21.ninp.myhealthrecord.gov.au</v>
      </c>
      <c r="N66" s="42" t="str">
        <f t="shared" si="0"/>
        <v>nic-001-vmpfbpf2hdr21</v>
      </c>
      <c r="O66" s="94" t="s">
        <v>219</v>
      </c>
      <c r="P66" s="46" t="s">
        <v>63</v>
      </c>
      <c r="Q66" s="42" t="str">
        <f>VLOOKUP(VmSpecs[[#This Row],[Original Hostname (CMO)]],'SSOT Data'!A:E,5,FALSE)</f>
        <v>OEL7.9</v>
      </c>
      <c r="R66" s="42"/>
      <c r="S66" s="42" t="str">
        <f>_xlfn.CONCAT("avail-",LEFT(VmSpecs[[#This Row],[VM Name]],LEN(VmSpecs[[#This Row],[VM Name]])-2))</f>
        <v>avail-vmpfbpf2hdr</v>
      </c>
      <c r="T66" s="42" t="str">
        <f>_xlfn.CONCAT("asg-",LEFT(VmSpecs[[#This Row],[VM Name]],LEN(VmSpecs[[#This Row],[VM Name]])-2))</f>
        <v>asg-vmpfbpf2hdr</v>
      </c>
      <c r="U66" s="42" t="str">
        <f>_xlfn.CONCAT("nsg-",VmSpecs[[#This Row],[Subnet]])</f>
        <v>nsg-sn-pfb-aue-pf2-app</v>
      </c>
      <c r="V66" s="42" t="s">
        <v>64</v>
      </c>
      <c r="W66" s="43" t="str">
        <f>VLOOKUP(VmSpecs[[#This Row],[Original Hostname (CMO)]],'SSOT Data'!A:AX,50,FALSE)</f>
        <v>Standard_D8s_v4</v>
      </c>
      <c r="X66" s="43">
        <v>64</v>
      </c>
      <c r="Y66" s="43" t="s">
        <v>65</v>
      </c>
      <c r="Z66" s="43" t="str">
        <f>"osdisk-"&amp;VmSpecs[[#This Row],[VM Name]]</f>
        <v>osdisk-vmpfbpf2hdr21</v>
      </c>
      <c r="AA66" s="47" t="s">
        <v>66</v>
      </c>
      <c r="AB66" s="73">
        <v>8</v>
      </c>
      <c r="AC66" s="74" t="s">
        <v>65</v>
      </c>
      <c r="AD66" s="75" t="str">
        <f>"disk-"&amp;VmSpecs[[#This Row],[VM Name]]&amp;"-001"</f>
        <v>disk-vmpfbpf2hdr21-001</v>
      </c>
      <c r="AE66" s="73">
        <v>32</v>
      </c>
      <c r="AF66" s="74" t="s">
        <v>65</v>
      </c>
      <c r="AG66" s="43" t="str">
        <f>"disk-"&amp;VmSpecs[[#This Row],[VM Name]]&amp;"-002"</f>
        <v>disk-vmpfbpf2hdr21-002</v>
      </c>
      <c r="AH66" s="59"/>
      <c r="AI66" s="42"/>
      <c r="AJ66" s="42"/>
      <c r="AK66" s="42"/>
      <c r="AL66" s="42" t="str">
        <f>MID(VmSpecs[[#This Row],[VM Name]],3,9)</f>
        <v>pfbpf2hdr</v>
      </c>
      <c r="AM66" s="42" t="str" cm="1">
        <f t="array" ref="AM66">_xlfn.TEXTJOIN(CHAR(10), TRUE, IF(NfsExports[FMO Single VM IP]=VmSpecs[[#This Row],[IP]],NfsExports[FMO Export Summary],""))</f>
        <v>/apps/pcehr 45GB</v>
      </c>
      <c r="AN66" s="43" t="str" cm="1">
        <f t="array" ref="AN6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66" s="42"/>
      <c r="AP66" s="42" t="str">
        <f>VmSpecs[[#This Row],[Description]]</f>
        <v>HDR P2</v>
      </c>
      <c r="AQ66" s="43"/>
      <c r="AR66" s="43" t="s">
        <v>64</v>
      </c>
      <c r="AS66" s="43" t="s">
        <v>64</v>
      </c>
      <c r="AT66" s="43" t="s">
        <v>64</v>
      </c>
      <c r="AU66" s="43" t="s">
        <v>64</v>
      </c>
      <c r="AV66" s="42" t="s">
        <v>66</v>
      </c>
      <c r="AW66" s="42" t="s">
        <v>67</v>
      </c>
      <c r="AX66" s="42" t="s">
        <v>68</v>
      </c>
      <c r="AY66" s="42" t="s">
        <v>64</v>
      </c>
      <c r="AZ66" s="42" t="s">
        <v>64</v>
      </c>
      <c r="BA6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P2"
Application Service: "HDR"
Lifecycle: "PFB"</v>
      </c>
      <c r="BB66" s="78" t="s">
        <v>220</v>
      </c>
      <c r="BC66" s="42" t="str">
        <f>VLOOKUP(VmSpecs[[#This Row],[Original Hostname (CMO)]],'SSOT Data'!A:AJ,36,FALSE)</f>
        <v>HDR P2</v>
      </c>
      <c r="BD66" s="43"/>
    </row>
    <row r="67" spans="1:56" ht="29" x14ac:dyDescent="0.35">
      <c r="A67" s="42" t="s">
        <v>58</v>
      </c>
      <c r="B67" s="42" t="str">
        <f>_xlfn.XLOOKUP(VmSpecs[[#This Row],[Subnet]],NetworkReference[Subnet],NetworkReference[Subscription])</f>
        <v>NINP-PERF2</v>
      </c>
      <c r="C67" s="43" t="str">
        <f>_xlfn.XLOOKUP(VmSpecs[[#This Row],[Subnet]],NetworkReference[Subnet],NetworkReference[Virtual Network Resource Group])</f>
        <v>rg-pf2-network-aue-001</v>
      </c>
      <c r="D67" s="43" t="str">
        <f>_xlfn.XLOOKUP(VmSpecs[[#This Row],[Subnet]],NetworkReference[Subnet],NetworkReference[Virtual Network])</f>
        <v>vnet-pf2-workload-aue-001</v>
      </c>
      <c r="E67" s="132" t="s">
        <v>59</v>
      </c>
      <c r="F67" s="43" t="str">
        <f>_xlfn.XLOOKUP(VmSpecs[[#This Row],[Subnet]],NetworkReference[Subnet],NetworkReference[Virtual Network Peering])</f>
        <v>vnet-ninp-conn-pnp-hub-aue</v>
      </c>
      <c r="G67" s="43" t="str">
        <f>_xlfn.XLOOKUP(VmSpecs[[#This Row],[Subnet]],NetworkReference[Subnet],NetworkReference[Route Table])</f>
        <v>rt-sn-pfb-aue-pf2-app</v>
      </c>
      <c r="H67" s="43" t="str">
        <f>LOWER(VLOOKUP(VmSpecs[[#This Row],[Original Hostname (CMO)]],'SSOT Data'!A:K,10,FALSE))</f>
        <v>hdr</v>
      </c>
      <c r="I6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67" s="44" t="s">
        <v>168</v>
      </c>
      <c r="K67" s="43" t="str">
        <f>_xlfn.CONCAT("vm",MID(VmSpecs[[#This Row],[Subnet]],4,3),VLOOKUP(VmSpecs[[#This Row],[Subscription]],NetworkReference[#All],2,FALSE),VmSpecs[[#This Row],[Service]],VmSpecs[[#This Row],[VM iteration (nn)]])</f>
        <v>vmpfbpf2hdr22</v>
      </c>
      <c r="L67" s="45" t="s">
        <v>61</v>
      </c>
      <c r="M67" s="43" t="str">
        <f>VmSpecs[[#This Row],[VM Name]]&amp;".ninp.myhealthrecord.gov.au"</f>
        <v>vmpfbpf2hdr22.ninp.myhealthrecord.gov.au</v>
      </c>
      <c r="N67" s="42" t="str">
        <f t="shared" ref="N67:N130" si="1">"nic-001-"&amp;K67</f>
        <v>nic-001-vmpfbpf2hdr22</v>
      </c>
      <c r="O67" s="94" t="s">
        <v>221</v>
      </c>
      <c r="P67" s="46" t="s">
        <v>63</v>
      </c>
      <c r="Q67" s="42" t="str">
        <f>VLOOKUP(VmSpecs[[#This Row],[Original Hostname (CMO)]],'SSOT Data'!A:E,5,FALSE)</f>
        <v>OEL7.9</v>
      </c>
      <c r="R67" s="42"/>
      <c r="S67" s="42" t="str">
        <f>_xlfn.CONCAT("avail-",LEFT(VmSpecs[[#This Row],[VM Name]],LEN(VmSpecs[[#This Row],[VM Name]])-2))</f>
        <v>avail-vmpfbpf2hdr</v>
      </c>
      <c r="T67" s="42" t="str">
        <f>_xlfn.CONCAT("asg-",LEFT(VmSpecs[[#This Row],[VM Name]],LEN(VmSpecs[[#This Row],[VM Name]])-2))</f>
        <v>asg-vmpfbpf2hdr</v>
      </c>
      <c r="U67" s="42" t="str">
        <f>_xlfn.CONCAT("nsg-",VmSpecs[[#This Row],[Subnet]])</f>
        <v>nsg-sn-pfb-aue-pf2-app</v>
      </c>
      <c r="V67" s="42" t="s">
        <v>64</v>
      </c>
      <c r="W67" s="43" t="str">
        <f>VLOOKUP(VmSpecs[[#This Row],[Original Hostname (CMO)]],'SSOT Data'!A:AX,50,FALSE)</f>
        <v>Standard_D8s_v4</v>
      </c>
      <c r="X67" s="43">
        <v>64</v>
      </c>
      <c r="Y67" s="43" t="s">
        <v>65</v>
      </c>
      <c r="Z67" s="43" t="str">
        <f>"osdisk-"&amp;VmSpecs[[#This Row],[VM Name]]</f>
        <v>osdisk-vmpfbpf2hdr22</v>
      </c>
      <c r="AA67" s="47" t="s">
        <v>66</v>
      </c>
      <c r="AB67" s="73">
        <v>8</v>
      </c>
      <c r="AC67" s="74" t="s">
        <v>65</v>
      </c>
      <c r="AD67" s="75" t="str">
        <f>"disk-"&amp;VmSpecs[[#This Row],[VM Name]]&amp;"-001"</f>
        <v>disk-vmpfbpf2hdr22-001</v>
      </c>
      <c r="AE67" s="73">
        <v>32</v>
      </c>
      <c r="AF67" s="74" t="s">
        <v>65</v>
      </c>
      <c r="AG67" s="43" t="str">
        <f>"disk-"&amp;VmSpecs[[#This Row],[VM Name]]&amp;"-002"</f>
        <v>disk-vmpfbpf2hdr22-002</v>
      </c>
      <c r="AH67" s="59"/>
      <c r="AI67" s="42"/>
      <c r="AJ67" s="42"/>
      <c r="AK67" s="42"/>
      <c r="AL67" s="42" t="str">
        <f>MID(VmSpecs[[#This Row],[VM Name]],3,9)</f>
        <v>pfbpf2hdr</v>
      </c>
      <c r="AM67" s="42" t="str" cm="1">
        <f t="array" ref="AM67">_xlfn.TEXTJOIN(CHAR(10), TRUE, IF(NfsExports[FMO Single VM IP]=VmSpecs[[#This Row],[IP]],NfsExports[FMO Export Summary],""))</f>
        <v>/apps/pcehr 45GB</v>
      </c>
      <c r="AN67" s="43" t="str" cm="1">
        <f t="array" ref="AN6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67" s="42"/>
      <c r="AP67" s="42" t="str">
        <f>VmSpecs[[#This Row],[Description]]</f>
        <v>HDR P2</v>
      </c>
      <c r="AQ67" s="43"/>
      <c r="AR67" s="43" t="s">
        <v>64</v>
      </c>
      <c r="AS67" s="43" t="s">
        <v>64</v>
      </c>
      <c r="AT67" s="43" t="s">
        <v>64</v>
      </c>
      <c r="AU67" s="43" t="s">
        <v>64</v>
      </c>
      <c r="AV67" s="42" t="s">
        <v>66</v>
      </c>
      <c r="AW67" s="42" t="s">
        <v>67</v>
      </c>
      <c r="AX67" s="42" t="s">
        <v>68</v>
      </c>
      <c r="AY67" s="42" t="s">
        <v>64</v>
      </c>
      <c r="AZ67" s="42" t="s">
        <v>64</v>
      </c>
      <c r="BA6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P2"
Application Service: "HDR"
Lifecycle: "PFB"</v>
      </c>
      <c r="BB67" s="78" t="s">
        <v>222</v>
      </c>
      <c r="BC67" s="42" t="str">
        <f>VLOOKUP(VmSpecs[[#This Row],[Original Hostname (CMO)]],'SSOT Data'!A:AJ,36,FALSE)</f>
        <v>HDR P2</v>
      </c>
      <c r="BD67" s="43"/>
    </row>
    <row r="68" spans="1:56" ht="29" x14ac:dyDescent="0.35">
      <c r="A68" s="42"/>
      <c r="B68" s="42" t="str">
        <f>_xlfn.XLOOKUP(VmSpecs[[#This Row],[Subnet]],NetworkReference[Subnet],NetworkReference[Subscription])</f>
        <v>NINP-PERF2</v>
      </c>
      <c r="C68" s="43" t="str">
        <f>_xlfn.XLOOKUP(VmSpecs[[#This Row],[Subnet]],NetworkReference[Subnet],NetworkReference[Virtual Network Resource Group])</f>
        <v>rg-pf2-network-aue-001</v>
      </c>
      <c r="D68" s="43" t="str">
        <f>_xlfn.XLOOKUP(VmSpecs[[#This Row],[Subnet]],NetworkReference[Subnet],NetworkReference[Virtual Network])</f>
        <v>vnet-pf2-workload-aue-001</v>
      </c>
      <c r="E68" s="132" t="s">
        <v>59</v>
      </c>
      <c r="F68" s="43" t="str">
        <f>_xlfn.XLOOKUP(VmSpecs[[#This Row],[Subnet]],NetworkReference[Subnet],NetworkReference[Virtual Network Peering])</f>
        <v>vnet-ninp-conn-pnp-hub-aue</v>
      </c>
      <c r="G68" s="43" t="str">
        <f>_xlfn.XLOOKUP(VmSpecs[[#This Row],[Subnet]],NetworkReference[Subnet],NetworkReference[Route Table])</f>
        <v>rt-sn-pfb-aue-pf2-app</v>
      </c>
      <c r="H68" s="43" t="str">
        <f>LOWER(VLOOKUP(VmSpecs[[#This Row],[Original Hostname (CMO)]],'SSOT Data'!A:K,10,FALSE))</f>
        <v>hdr</v>
      </c>
      <c r="I6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68" s="44" t="s">
        <v>171</v>
      </c>
      <c r="K68" s="43" t="str">
        <f>_xlfn.CONCAT("vm",MID(VmSpecs[[#This Row],[Subnet]],4,3),VLOOKUP(VmSpecs[[#This Row],[Subscription]],NetworkReference[#All],2,FALSE),VmSpecs[[#This Row],[Service]],VmSpecs[[#This Row],[VM iteration (nn)]])</f>
        <v>vmpfbpf2hdr23</v>
      </c>
      <c r="L68" s="45" t="s">
        <v>61</v>
      </c>
      <c r="M68" s="43" t="str">
        <f>VmSpecs[[#This Row],[VM Name]]&amp;".ninp.myhealthrecord.gov.au"</f>
        <v>vmpfbpf2hdr23.ninp.myhealthrecord.gov.au</v>
      </c>
      <c r="N68" s="42" t="str">
        <f t="shared" si="1"/>
        <v>nic-001-vmpfbpf2hdr23</v>
      </c>
      <c r="O68" s="94" t="s">
        <v>223</v>
      </c>
      <c r="P68" s="46" t="s">
        <v>63</v>
      </c>
      <c r="Q68" s="42" t="str">
        <f>VLOOKUP(VmSpecs[[#This Row],[Original Hostname (CMO)]],'SSOT Data'!A:E,5,FALSE)</f>
        <v>OEL7.9</v>
      </c>
      <c r="R68" s="42"/>
      <c r="S68" s="42" t="str">
        <f>_xlfn.CONCAT("avail-",LEFT(VmSpecs[[#This Row],[VM Name]],LEN(VmSpecs[[#This Row],[VM Name]])-2))</f>
        <v>avail-vmpfbpf2hdr</v>
      </c>
      <c r="T68" s="42" t="str">
        <f>_xlfn.CONCAT("asg-",LEFT(VmSpecs[[#This Row],[VM Name]],LEN(VmSpecs[[#This Row],[VM Name]])-2))</f>
        <v>asg-vmpfbpf2hdr</v>
      </c>
      <c r="U68" s="42" t="str">
        <f>_xlfn.CONCAT("nsg-",VmSpecs[[#This Row],[Subnet]])</f>
        <v>nsg-sn-pfb-aue-pf2-app</v>
      </c>
      <c r="V68" s="42"/>
      <c r="W68" s="43" t="str">
        <f>VLOOKUP(VmSpecs[[#This Row],[Original Hostname (CMO)]],'SSOT Data'!A:AX,50,FALSE)</f>
        <v>Standard_D8s_v4</v>
      </c>
      <c r="X68" s="43">
        <v>64</v>
      </c>
      <c r="Y68" s="43" t="s">
        <v>65</v>
      </c>
      <c r="Z68" s="43" t="str">
        <f>"osdisk-"&amp;VmSpecs[[#This Row],[VM Name]]</f>
        <v>osdisk-vmpfbpf2hdr23</v>
      </c>
      <c r="AA68" s="47" t="s">
        <v>66</v>
      </c>
      <c r="AB68" s="73">
        <v>8</v>
      </c>
      <c r="AC68" s="74" t="s">
        <v>65</v>
      </c>
      <c r="AD68" s="75" t="str">
        <f>"disk-"&amp;VmSpecs[[#This Row],[VM Name]]&amp;"-001"</f>
        <v>disk-vmpfbpf2hdr23-001</v>
      </c>
      <c r="AE68" s="73">
        <v>32</v>
      </c>
      <c r="AF68" s="74" t="s">
        <v>65</v>
      </c>
      <c r="AG68" s="43" t="str">
        <f>"disk-"&amp;VmSpecs[[#This Row],[VM Name]]&amp;"-002"</f>
        <v>disk-vmpfbpf2hdr23-002</v>
      </c>
      <c r="AH68" s="59"/>
      <c r="AI68" s="42"/>
      <c r="AJ68" s="42"/>
      <c r="AK68" s="42"/>
      <c r="AL68" s="42" t="str">
        <f>MID(VmSpecs[[#This Row],[VM Name]],3,9)</f>
        <v>pfbpf2hdr</v>
      </c>
      <c r="AM68" s="42" t="str" cm="1">
        <f t="array" ref="AM68">_xlfn.TEXTJOIN(CHAR(10), TRUE, IF(NfsExports[FMO Single VM IP]=VmSpecs[[#This Row],[IP]],NfsExports[FMO Export Summary],""))</f>
        <v>/apps/pcehr 45GB</v>
      </c>
      <c r="AN68" s="43" t="str" cm="1">
        <f t="array" ref="AN6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68" s="42"/>
      <c r="AP68" s="42" t="str">
        <f>VmSpecs[[#This Row],[Description]]</f>
        <v>HDR</v>
      </c>
      <c r="AQ68" s="43"/>
      <c r="AR68" s="43"/>
      <c r="AS68" s="43"/>
      <c r="AT68" s="43"/>
      <c r="AU68" s="43"/>
      <c r="AV68" s="42"/>
      <c r="AW68" s="42"/>
      <c r="AX68" s="42"/>
      <c r="AY68" s="42"/>
      <c r="AZ68" s="42"/>
      <c r="BA68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"HDR"
Application Service: "HDR"
Lifecycle: "PFB"</v>
      </c>
      <c r="BB68" s="78" t="s">
        <v>224</v>
      </c>
      <c r="BC68" s="42" t="str">
        <f>VLOOKUP(VmSpecs[[#This Row],[Original Hostname (CMO)]],'SSOT Data'!A:AJ,36,FALSE)</f>
        <v>HDR</v>
      </c>
      <c r="BD68" s="126">
        <f>VLOOKUP(VmSpecs[[#This Row],[Original Hostname (CMO)]],'SSOT Data'!A:AQ,43,FALSE)</f>
        <v>2</v>
      </c>
    </row>
    <row r="69" spans="1:56" ht="29" x14ac:dyDescent="0.35">
      <c r="A69" s="42"/>
      <c r="B69" s="42" t="str">
        <f>_xlfn.XLOOKUP(VmSpecs[[#This Row],[Subnet]],NetworkReference[Subnet],NetworkReference[Subscription])</f>
        <v>NINP-PERF2</v>
      </c>
      <c r="C69" s="43" t="str">
        <f>_xlfn.XLOOKUP(VmSpecs[[#This Row],[Subnet]],NetworkReference[Subnet],NetworkReference[Virtual Network Resource Group])</f>
        <v>rg-pf2-network-aue-001</v>
      </c>
      <c r="D69" s="43" t="str">
        <f>_xlfn.XLOOKUP(VmSpecs[[#This Row],[Subnet]],NetworkReference[Subnet],NetworkReference[Virtual Network])</f>
        <v>vnet-pf2-workload-aue-001</v>
      </c>
      <c r="E69" s="132" t="s">
        <v>59</v>
      </c>
      <c r="F69" s="43" t="str">
        <f>_xlfn.XLOOKUP(VmSpecs[[#This Row],[Subnet]],NetworkReference[Subnet],NetworkReference[Virtual Network Peering])</f>
        <v>vnet-ninp-conn-pnp-hub-aue</v>
      </c>
      <c r="G69" s="43" t="str">
        <f>_xlfn.XLOOKUP(VmSpecs[[#This Row],[Subnet]],NetworkReference[Subnet],NetworkReference[Route Table])</f>
        <v>rt-sn-pfb-aue-pf2-app</v>
      </c>
      <c r="H69" s="43" t="str">
        <f>LOWER(VLOOKUP(VmSpecs[[#This Row],[Original Hostname (CMO)]],'SSOT Data'!A:K,10,FALSE))</f>
        <v>hdr</v>
      </c>
      <c r="I6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69" s="44" t="s">
        <v>174</v>
      </c>
      <c r="K69" s="43" t="str">
        <f>_xlfn.CONCAT("vm",MID(VmSpecs[[#This Row],[Subnet]],4,3),VLOOKUP(VmSpecs[[#This Row],[Subscription]],NetworkReference[#All],2,FALSE),VmSpecs[[#This Row],[Service]],VmSpecs[[#This Row],[VM iteration (nn)]])</f>
        <v>vmpfbpf2hdr24</v>
      </c>
      <c r="L69" s="45" t="s">
        <v>61</v>
      </c>
      <c r="M69" s="43" t="str">
        <f>VmSpecs[[#This Row],[VM Name]]&amp;".ninp.myhealthrecord.gov.au"</f>
        <v>vmpfbpf2hdr24.ninp.myhealthrecord.gov.au</v>
      </c>
      <c r="N69" s="42" t="str">
        <f t="shared" si="1"/>
        <v>nic-001-vmpfbpf2hdr24</v>
      </c>
      <c r="O69" s="94" t="s">
        <v>225</v>
      </c>
      <c r="P69" s="46" t="s">
        <v>63</v>
      </c>
      <c r="Q69" s="42" t="str">
        <f>VLOOKUP(VmSpecs[[#This Row],[Original Hostname (CMO)]],'SSOT Data'!A:E,5,FALSE)</f>
        <v>OEL7.9</v>
      </c>
      <c r="R69" s="42"/>
      <c r="S69" s="42" t="str">
        <f>_xlfn.CONCAT("avail-",LEFT(VmSpecs[[#This Row],[VM Name]],LEN(VmSpecs[[#This Row],[VM Name]])-2))</f>
        <v>avail-vmpfbpf2hdr</v>
      </c>
      <c r="T69" s="42" t="str">
        <f>_xlfn.CONCAT("asg-",LEFT(VmSpecs[[#This Row],[VM Name]],LEN(VmSpecs[[#This Row],[VM Name]])-2))</f>
        <v>asg-vmpfbpf2hdr</v>
      </c>
      <c r="U69" s="42" t="str">
        <f>_xlfn.CONCAT("nsg-",VmSpecs[[#This Row],[Subnet]])</f>
        <v>nsg-sn-pfb-aue-pf2-app</v>
      </c>
      <c r="V69" s="42"/>
      <c r="W69" s="43" t="str">
        <f>VLOOKUP(VmSpecs[[#This Row],[Original Hostname (CMO)]],'SSOT Data'!A:AX,50,FALSE)</f>
        <v>Standard_D8s_v4</v>
      </c>
      <c r="X69" s="43">
        <v>64</v>
      </c>
      <c r="Y69" s="43" t="s">
        <v>65</v>
      </c>
      <c r="Z69" s="43" t="str">
        <f>"osdisk-"&amp;VmSpecs[[#This Row],[VM Name]]</f>
        <v>osdisk-vmpfbpf2hdr24</v>
      </c>
      <c r="AA69" s="47" t="s">
        <v>66</v>
      </c>
      <c r="AB69" s="73">
        <v>8</v>
      </c>
      <c r="AC69" s="74" t="s">
        <v>65</v>
      </c>
      <c r="AD69" s="75" t="str">
        <f>"disk-"&amp;VmSpecs[[#This Row],[VM Name]]&amp;"-001"</f>
        <v>disk-vmpfbpf2hdr24-001</v>
      </c>
      <c r="AE69" s="73">
        <v>32</v>
      </c>
      <c r="AF69" s="74" t="s">
        <v>65</v>
      </c>
      <c r="AG69" s="43" t="str">
        <f>"disk-"&amp;VmSpecs[[#This Row],[VM Name]]&amp;"-002"</f>
        <v>disk-vmpfbpf2hdr24-002</v>
      </c>
      <c r="AH69" s="59"/>
      <c r="AI69" s="42"/>
      <c r="AJ69" s="42"/>
      <c r="AK69" s="42"/>
      <c r="AL69" s="42" t="str">
        <f>MID(VmSpecs[[#This Row],[VM Name]],3,9)</f>
        <v>pfbpf2hdr</v>
      </c>
      <c r="AM69" s="42" t="str" cm="1">
        <f t="array" ref="AM69">_xlfn.TEXTJOIN(CHAR(10), TRUE, IF(NfsExports[FMO Single VM IP]=VmSpecs[[#This Row],[IP]],NfsExports[FMO Export Summary],""))</f>
        <v>/apps/pcehr 45GB</v>
      </c>
      <c r="AN69" s="43" t="str" cm="1">
        <f t="array" ref="AN6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69" s="42"/>
      <c r="AP69" s="42" t="str">
        <f>VmSpecs[[#This Row],[Description]]</f>
        <v>HDR</v>
      </c>
      <c r="AQ69" s="43"/>
      <c r="AR69" s="43"/>
      <c r="AS69" s="43"/>
      <c r="AT69" s="43"/>
      <c r="AU69" s="43"/>
      <c r="AV69" s="42"/>
      <c r="AW69" s="42"/>
      <c r="AX69" s="42"/>
      <c r="AY69" s="42"/>
      <c r="AZ69" s="42"/>
      <c r="BA69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"HDR"
Application Service: "HDR"
Lifecycle: "PFB"</v>
      </c>
      <c r="BB69" s="78" t="s">
        <v>226</v>
      </c>
      <c r="BC69" s="42" t="str">
        <f>VLOOKUP(VmSpecs[[#This Row],[Original Hostname (CMO)]],'SSOT Data'!A:AJ,36,FALSE)</f>
        <v>HDR</v>
      </c>
      <c r="BD69" s="126">
        <f>VLOOKUP(VmSpecs[[#This Row],[Original Hostname (CMO)]],'SSOT Data'!A:AQ,43,FALSE)</f>
        <v>2</v>
      </c>
    </row>
    <row r="70" spans="1:56" ht="29" x14ac:dyDescent="0.35">
      <c r="A70" s="42"/>
      <c r="B70" s="42" t="str">
        <f>_xlfn.XLOOKUP(VmSpecs[[#This Row],[Subnet]],NetworkReference[Subnet],NetworkReference[Subscription])</f>
        <v>NINP-PERF2</v>
      </c>
      <c r="C70" s="43" t="str">
        <f>_xlfn.XLOOKUP(VmSpecs[[#This Row],[Subnet]],NetworkReference[Subnet],NetworkReference[Virtual Network Resource Group])</f>
        <v>rg-pf2-network-aue-001</v>
      </c>
      <c r="D70" s="43" t="str">
        <f>_xlfn.XLOOKUP(VmSpecs[[#This Row],[Subnet]],NetworkReference[Subnet],NetworkReference[Virtual Network])</f>
        <v>vnet-pf2-workload-aue-001</v>
      </c>
      <c r="E70" s="132" t="s">
        <v>59</v>
      </c>
      <c r="F70" s="43" t="str">
        <f>_xlfn.XLOOKUP(VmSpecs[[#This Row],[Subnet]],NetworkReference[Subnet],NetworkReference[Virtual Network Peering])</f>
        <v>vnet-ninp-conn-pnp-hub-aue</v>
      </c>
      <c r="G70" s="43" t="str">
        <f>_xlfn.XLOOKUP(VmSpecs[[#This Row],[Subnet]],NetworkReference[Subnet],NetworkReference[Route Table])</f>
        <v>rt-sn-pfb-aue-pf2-app</v>
      </c>
      <c r="H70" s="43" t="str">
        <f>LOWER(VLOOKUP(VmSpecs[[#This Row],[Original Hostname (CMO)]],'SSOT Data'!A:K,10,FALSE))</f>
        <v>hdr</v>
      </c>
      <c r="I7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70" s="44" t="s">
        <v>227</v>
      </c>
      <c r="K70" s="43" t="str">
        <f>_xlfn.CONCAT("vm",MID(VmSpecs[[#This Row],[Subnet]],4,3),VLOOKUP(VmSpecs[[#This Row],[Subscription]],NetworkReference[#All],2,FALSE),VmSpecs[[#This Row],[Service]],VmSpecs[[#This Row],[VM iteration (nn)]])</f>
        <v>vmpfbpf2hdr25</v>
      </c>
      <c r="L70" s="45" t="s">
        <v>61</v>
      </c>
      <c r="M70" s="43" t="str">
        <f>VmSpecs[[#This Row],[VM Name]]&amp;".ninp.myhealthrecord.gov.au"</f>
        <v>vmpfbpf2hdr25.ninp.myhealthrecord.gov.au</v>
      </c>
      <c r="N70" s="42" t="str">
        <f t="shared" si="1"/>
        <v>nic-001-vmpfbpf2hdr25</v>
      </c>
      <c r="O70" s="94" t="s">
        <v>228</v>
      </c>
      <c r="P70" s="46" t="s">
        <v>63</v>
      </c>
      <c r="Q70" s="42" t="str">
        <f>VLOOKUP(VmSpecs[[#This Row],[Original Hostname (CMO)]],'SSOT Data'!A:E,5,FALSE)</f>
        <v>OEL7.9</v>
      </c>
      <c r="R70" s="42"/>
      <c r="S70" s="42" t="str">
        <f>_xlfn.CONCAT("avail-",LEFT(VmSpecs[[#This Row],[VM Name]],LEN(VmSpecs[[#This Row],[VM Name]])-2))</f>
        <v>avail-vmpfbpf2hdr</v>
      </c>
      <c r="T70" s="42" t="str">
        <f>_xlfn.CONCAT("asg-",LEFT(VmSpecs[[#This Row],[VM Name]],LEN(VmSpecs[[#This Row],[VM Name]])-2))</f>
        <v>asg-vmpfbpf2hdr</v>
      </c>
      <c r="U70" s="42" t="str">
        <f>_xlfn.CONCAT("nsg-",VmSpecs[[#This Row],[Subnet]])</f>
        <v>nsg-sn-pfb-aue-pf2-app</v>
      </c>
      <c r="V70" s="42"/>
      <c r="W70" s="43" t="str">
        <f>VLOOKUP(VmSpecs[[#This Row],[Original Hostname (CMO)]],'SSOT Data'!A:AX,50,FALSE)</f>
        <v>Standard_D8s_v4</v>
      </c>
      <c r="X70" s="43">
        <v>64</v>
      </c>
      <c r="Y70" s="43" t="s">
        <v>65</v>
      </c>
      <c r="Z70" s="43" t="str">
        <f>"osdisk-"&amp;VmSpecs[[#This Row],[VM Name]]</f>
        <v>osdisk-vmpfbpf2hdr25</v>
      </c>
      <c r="AA70" s="47" t="s">
        <v>66</v>
      </c>
      <c r="AB70" s="73">
        <v>8</v>
      </c>
      <c r="AC70" s="74" t="s">
        <v>65</v>
      </c>
      <c r="AD70" s="75" t="str">
        <f>"disk-"&amp;VmSpecs[[#This Row],[VM Name]]&amp;"-001"</f>
        <v>disk-vmpfbpf2hdr25-001</v>
      </c>
      <c r="AE70" s="73">
        <v>32</v>
      </c>
      <c r="AF70" s="74" t="s">
        <v>65</v>
      </c>
      <c r="AG70" s="43" t="str">
        <f>"disk-"&amp;VmSpecs[[#This Row],[VM Name]]&amp;"-002"</f>
        <v>disk-vmpfbpf2hdr25-002</v>
      </c>
      <c r="AH70" s="59"/>
      <c r="AI70" s="42"/>
      <c r="AJ70" s="42"/>
      <c r="AK70" s="42"/>
      <c r="AL70" s="42" t="str">
        <f>MID(VmSpecs[[#This Row],[VM Name]],3,9)</f>
        <v>pfbpf2hdr</v>
      </c>
      <c r="AM70" s="42" t="str" cm="1">
        <f t="array" ref="AM70">_xlfn.TEXTJOIN(CHAR(10), TRUE, IF(NfsExports[FMO Single VM IP]=VmSpecs[[#This Row],[IP]],NfsExports[FMO Export Summary],""))</f>
        <v>/apps/pcehr 45GB</v>
      </c>
      <c r="AN70" s="43" t="str" cm="1">
        <f t="array" ref="AN7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70" s="42"/>
      <c r="AP70" s="42" t="str">
        <f>VmSpecs[[#This Row],[Description]]</f>
        <v>HDR</v>
      </c>
      <c r="AQ70" s="43"/>
      <c r="AR70" s="43"/>
      <c r="AS70" s="43"/>
      <c r="AT70" s="43"/>
      <c r="AU70" s="43"/>
      <c r="AV70" s="42"/>
      <c r="AW70" s="42"/>
      <c r="AX70" s="42"/>
      <c r="AY70" s="42"/>
      <c r="AZ70" s="42"/>
      <c r="BA70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"HDR"
Application Service: "HDR"
Lifecycle: "PFB"</v>
      </c>
      <c r="BB70" s="78" t="s">
        <v>229</v>
      </c>
      <c r="BC70" s="42" t="str">
        <f>VLOOKUP(VmSpecs[[#This Row],[Original Hostname (CMO)]],'SSOT Data'!A:AJ,36,FALSE)</f>
        <v>HDR</v>
      </c>
      <c r="BD70" s="126">
        <f>VLOOKUP(VmSpecs[[#This Row],[Original Hostname (CMO)]],'SSOT Data'!A:AQ,43,FALSE)</f>
        <v>2</v>
      </c>
    </row>
    <row r="71" spans="1:56" ht="29" x14ac:dyDescent="0.35">
      <c r="A71" s="42"/>
      <c r="B71" s="42" t="str">
        <f>_xlfn.XLOOKUP(VmSpecs[[#This Row],[Subnet]],NetworkReference[Subnet],NetworkReference[Subscription])</f>
        <v>NINP-PERF2</v>
      </c>
      <c r="C71" s="43" t="str">
        <f>_xlfn.XLOOKUP(VmSpecs[[#This Row],[Subnet]],NetworkReference[Subnet],NetworkReference[Virtual Network Resource Group])</f>
        <v>rg-pf2-network-aue-001</v>
      </c>
      <c r="D71" s="43" t="str">
        <f>_xlfn.XLOOKUP(VmSpecs[[#This Row],[Subnet]],NetworkReference[Subnet],NetworkReference[Virtual Network])</f>
        <v>vnet-pf2-workload-aue-001</v>
      </c>
      <c r="E71" s="132" t="s">
        <v>59</v>
      </c>
      <c r="F71" s="43" t="str">
        <f>_xlfn.XLOOKUP(VmSpecs[[#This Row],[Subnet]],NetworkReference[Subnet],NetworkReference[Virtual Network Peering])</f>
        <v>vnet-ninp-conn-pnp-hub-aue</v>
      </c>
      <c r="G71" s="43" t="str">
        <f>_xlfn.XLOOKUP(VmSpecs[[#This Row],[Subnet]],NetworkReference[Subnet],NetworkReference[Route Table])</f>
        <v>rt-sn-pfb-aue-pf2-app</v>
      </c>
      <c r="H71" s="43" t="str">
        <f>LOWER(VLOOKUP(VmSpecs[[#This Row],[Original Hostname (CMO)]],'SSOT Data'!A:K,10,FALSE))</f>
        <v>hdr</v>
      </c>
      <c r="I7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71" s="44" t="s">
        <v>230</v>
      </c>
      <c r="K71" s="43" t="str">
        <f>_xlfn.CONCAT("vm",MID(VmSpecs[[#This Row],[Subnet]],4,3),VLOOKUP(VmSpecs[[#This Row],[Subscription]],NetworkReference[#All],2,FALSE),VmSpecs[[#This Row],[Service]],VmSpecs[[#This Row],[VM iteration (nn)]])</f>
        <v>vmpfbpf2hdr26</v>
      </c>
      <c r="L71" s="45" t="s">
        <v>61</v>
      </c>
      <c r="M71" s="43" t="str">
        <f>VmSpecs[[#This Row],[VM Name]]&amp;".ninp.myhealthrecord.gov.au"</f>
        <v>vmpfbpf2hdr26.ninp.myhealthrecord.gov.au</v>
      </c>
      <c r="N71" s="42" t="str">
        <f t="shared" si="1"/>
        <v>nic-001-vmpfbpf2hdr26</v>
      </c>
      <c r="O71" s="94" t="s">
        <v>231</v>
      </c>
      <c r="P71" s="46" t="s">
        <v>63</v>
      </c>
      <c r="Q71" s="42" t="str">
        <f>VLOOKUP(VmSpecs[[#This Row],[Original Hostname (CMO)]],'SSOT Data'!A:E,5,FALSE)</f>
        <v>OEL7.9</v>
      </c>
      <c r="R71" s="42"/>
      <c r="S71" s="42" t="str">
        <f>_xlfn.CONCAT("avail-",LEFT(VmSpecs[[#This Row],[VM Name]],LEN(VmSpecs[[#This Row],[VM Name]])-2))</f>
        <v>avail-vmpfbpf2hdr</v>
      </c>
      <c r="T71" s="42" t="str">
        <f>_xlfn.CONCAT("asg-",LEFT(VmSpecs[[#This Row],[VM Name]],LEN(VmSpecs[[#This Row],[VM Name]])-2))</f>
        <v>asg-vmpfbpf2hdr</v>
      </c>
      <c r="U71" s="42" t="str">
        <f>_xlfn.CONCAT("nsg-",VmSpecs[[#This Row],[Subnet]])</f>
        <v>nsg-sn-pfb-aue-pf2-app</v>
      </c>
      <c r="V71" s="42"/>
      <c r="W71" s="43" t="str">
        <f>VLOOKUP(VmSpecs[[#This Row],[Original Hostname (CMO)]],'SSOT Data'!A:AX,50,FALSE)</f>
        <v>Standard_D8s_v4</v>
      </c>
      <c r="X71" s="43">
        <v>64</v>
      </c>
      <c r="Y71" s="43" t="s">
        <v>65</v>
      </c>
      <c r="Z71" s="43" t="str">
        <f>"osdisk-"&amp;VmSpecs[[#This Row],[VM Name]]</f>
        <v>osdisk-vmpfbpf2hdr26</v>
      </c>
      <c r="AA71" s="47" t="s">
        <v>66</v>
      </c>
      <c r="AB71" s="73">
        <v>8</v>
      </c>
      <c r="AC71" s="74" t="s">
        <v>65</v>
      </c>
      <c r="AD71" s="75" t="str">
        <f>"disk-"&amp;VmSpecs[[#This Row],[VM Name]]&amp;"-001"</f>
        <v>disk-vmpfbpf2hdr26-001</v>
      </c>
      <c r="AE71" s="73">
        <v>32</v>
      </c>
      <c r="AF71" s="74" t="s">
        <v>65</v>
      </c>
      <c r="AG71" s="43" t="str">
        <f>"disk-"&amp;VmSpecs[[#This Row],[VM Name]]&amp;"-002"</f>
        <v>disk-vmpfbpf2hdr26-002</v>
      </c>
      <c r="AH71" s="59"/>
      <c r="AI71" s="42"/>
      <c r="AJ71" s="42"/>
      <c r="AK71" s="42"/>
      <c r="AL71" s="42" t="str">
        <f>MID(VmSpecs[[#This Row],[VM Name]],3,9)</f>
        <v>pfbpf2hdr</v>
      </c>
      <c r="AM71" s="42" t="str" cm="1">
        <f t="array" ref="AM71">_xlfn.TEXTJOIN(CHAR(10), TRUE, IF(NfsExports[FMO Single VM IP]=VmSpecs[[#This Row],[IP]],NfsExports[FMO Export Summary],""))</f>
        <v>/apps/pcehr 45GB</v>
      </c>
      <c r="AN71" s="43" t="str" cm="1">
        <f t="array" ref="AN7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71" s="42"/>
      <c r="AP71" s="42" t="str">
        <f>VmSpecs[[#This Row],[Description]]</f>
        <v>HDR</v>
      </c>
      <c r="AQ71" s="43"/>
      <c r="AR71" s="43"/>
      <c r="AS71" s="43"/>
      <c r="AT71" s="43"/>
      <c r="AU71" s="43"/>
      <c r="AV71" s="42"/>
      <c r="AW71" s="42"/>
      <c r="AX71" s="42"/>
      <c r="AY71" s="42"/>
      <c r="AZ71" s="42"/>
      <c r="BA71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"HDR"
Application Service: "HDR"
Lifecycle: "PFB"</v>
      </c>
      <c r="BB71" s="78" t="s">
        <v>232</v>
      </c>
      <c r="BC71" s="42" t="str">
        <f>VLOOKUP(VmSpecs[[#This Row],[Original Hostname (CMO)]],'SSOT Data'!A:AJ,36,FALSE)</f>
        <v>HDR</v>
      </c>
      <c r="BD71" s="126">
        <f>VLOOKUP(VmSpecs[[#This Row],[Original Hostname (CMO)]],'SSOT Data'!A:AQ,43,FALSE)</f>
        <v>2</v>
      </c>
    </row>
    <row r="72" spans="1:56" ht="29" x14ac:dyDescent="0.35">
      <c r="A72" s="42"/>
      <c r="B72" s="42" t="str">
        <f>_xlfn.XLOOKUP(VmSpecs[[#This Row],[Subnet]],NetworkReference[Subnet],NetworkReference[Subscription])</f>
        <v>NINP-PERF2</v>
      </c>
      <c r="C72" s="43" t="str">
        <f>_xlfn.XLOOKUP(VmSpecs[[#This Row],[Subnet]],NetworkReference[Subnet],NetworkReference[Virtual Network Resource Group])</f>
        <v>rg-pf2-network-aue-001</v>
      </c>
      <c r="D72" s="43" t="str">
        <f>_xlfn.XLOOKUP(VmSpecs[[#This Row],[Subnet]],NetworkReference[Subnet],NetworkReference[Virtual Network])</f>
        <v>vnet-pf2-workload-aue-001</v>
      </c>
      <c r="E72" s="132" t="s">
        <v>59</v>
      </c>
      <c r="F72" s="43" t="str">
        <f>_xlfn.XLOOKUP(VmSpecs[[#This Row],[Subnet]],NetworkReference[Subnet],NetworkReference[Virtual Network Peering])</f>
        <v>vnet-ninp-conn-pnp-hub-aue</v>
      </c>
      <c r="G72" s="43" t="str">
        <f>_xlfn.XLOOKUP(VmSpecs[[#This Row],[Subnet]],NetworkReference[Subnet],NetworkReference[Route Table])</f>
        <v>rt-sn-pfb-aue-pf2-app</v>
      </c>
      <c r="H72" s="43" t="str">
        <f>LOWER(VLOOKUP(VmSpecs[[#This Row],[Original Hostname (CMO)]],'SSOT Data'!A:K,10,FALSE))</f>
        <v>hdr</v>
      </c>
      <c r="I7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72" s="88" t="s">
        <v>233</v>
      </c>
      <c r="K72" s="43" t="str">
        <f>_xlfn.CONCAT("vm",MID(VmSpecs[[#This Row],[Subnet]],4,3),VLOOKUP(VmSpecs[[#This Row],[Subscription]],NetworkReference[#All],2,FALSE),VmSpecs[[#This Row],[Service]],VmSpecs[[#This Row],[VM iteration (nn)]])</f>
        <v>vmpfbpf2hdr27</v>
      </c>
      <c r="L72" s="45" t="s">
        <v>61</v>
      </c>
      <c r="M72" s="43" t="str">
        <f>VmSpecs[[#This Row],[VM Name]]&amp;".ninp.myhealthrecord.gov.au"</f>
        <v>vmpfbpf2hdr27.ninp.myhealthrecord.gov.au</v>
      </c>
      <c r="N72" s="42" t="str">
        <f t="shared" si="1"/>
        <v>nic-001-vmpfbpf2hdr27</v>
      </c>
      <c r="O72" s="94" t="s">
        <v>234</v>
      </c>
      <c r="P72" s="46" t="s">
        <v>63</v>
      </c>
      <c r="Q72" s="42" t="str">
        <f>VLOOKUP(VmSpecs[[#This Row],[Original Hostname (CMO)]],'SSOT Data'!A:E,5,FALSE)</f>
        <v>OEL7.9</v>
      </c>
      <c r="R72" s="42"/>
      <c r="S72" s="42" t="str">
        <f>_xlfn.CONCAT("avail-",LEFT(VmSpecs[[#This Row],[VM Name]],LEN(VmSpecs[[#This Row],[VM Name]])-2))</f>
        <v>avail-vmpfbpf2hdr</v>
      </c>
      <c r="T72" s="42" t="str">
        <f>_xlfn.CONCAT("asg-",LEFT(VmSpecs[[#This Row],[VM Name]],LEN(VmSpecs[[#This Row],[VM Name]])-2))</f>
        <v>asg-vmpfbpf2hdr</v>
      </c>
      <c r="U72" s="42" t="str">
        <f>_xlfn.CONCAT("nsg-",VmSpecs[[#This Row],[Subnet]])</f>
        <v>nsg-sn-pfb-aue-pf2-app</v>
      </c>
      <c r="V72" s="42"/>
      <c r="W72" s="43" t="str">
        <f>VLOOKUP(VmSpecs[[#This Row],[Original Hostname (CMO)]],'SSOT Data'!A:AX,50,FALSE)</f>
        <v>Standard_D8s_v4</v>
      </c>
      <c r="X72" s="43">
        <v>64</v>
      </c>
      <c r="Y72" s="43" t="s">
        <v>65</v>
      </c>
      <c r="Z72" s="43" t="str">
        <f>"osdisk-"&amp;VmSpecs[[#This Row],[VM Name]]</f>
        <v>osdisk-vmpfbpf2hdr27</v>
      </c>
      <c r="AA72" s="47" t="s">
        <v>66</v>
      </c>
      <c r="AB72" s="73">
        <v>8</v>
      </c>
      <c r="AC72" s="74" t="s">
        <v>65</v>
      </c>
      <c r="AD72" s="75" t="str">
        <f>"disk-"&amp;VmSpecs[[#This Row],[VM Name]]&amp;"-001"</f>
        <v>disk-vmpfbpf2hdr27-001</v>
      </c>
      <c r="AE72" s="73">
        <v>32</v>
      </c>
      <c r="AF72" s="74" t="s">
        <v>65</v>
      </c>
      <c r="AG72" s="43" t="str">
        <f>"disk-"&amp;VmSpecs[[#This Row],[VM Name]]&amp;"-002"</f>
        <v>disk-vmpfbpf2hdr27-002</v>
      </c>
      <c r="AH72" s="59"/>
      <c r="AI72" s="42"/>
      <c r="AJ72" s="42"/>
      <c r="AK72" s="42"/>
      <c r="AL72" s="42" t="str">
        <f>MID(VmSpecs[[#This Row],[VM Name]],3,9)</f>
        <v>pfbpf2hdr</v>
      </c>
      <c r="AM72" s="42" t="str" cm="1">
        <f t="array" ref="AM72">_xlfn.TEXTJOIN(CHAR(10), TRUE, IF(NfsExports[FMO Single VM IP]=VmSpecs[[#This Row],[IP]],NfsExports[FMO Export Summary],""))</f>
        <v>/apps/pcehr 45GB</v>
      </c>
      <c r="AN72" s="43" t="str" cm="1">
        <f t="array" ref="AN7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72" s="42"/>
      <c r="AP72" s="42" t="str">
        <f>VmSpecs[[#This Row],[Description]]</f>
        <v>HDR</v>
      </c>
      <c r="AQ72" s="43"/>
      <c r="AR72" s="43"/>
      <c r="AS72" s="43"/>
      <c r="AT72" s="43"/>
      <c r="AU72" s="43"/>
      <c r="AV72" s="42"/>
      <c r="AW72" s="42"/>
      <c r="AX72" s="42"/>
      <c r="AY72" s="42"/>
      <c r="AZ72" s="42"/>
      <c r="BA72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"HDR"
Application Service: "HDR"
Lifecycle: "PFB"</v>
      </c>
      <c r="BB72" s="78" t="s">
        <v>235</v>
      </c>
      <c r="BC72" s="42" t="str">
        <f>VLOOKUP(VmSpecs[[#This Row],[Original Hostname (CMO)]],'SSOT Data'!A:AJ,36,FALSE)</f>
        <v>HDR</v>
      </c>
      <c r="BD72" s="126">
        <f>VLOOKUP(VmSpecs[[#This Row],[Original Hostname (CMO)]],'SSOT Data'!A:AQ,43,FALSE)</f>
        <v>2</v>
      </c>
    </row>
    <row r="73" spans="1:56" ht="29" x14ac:dyDescent="0.35">
      <c r="A73" s="42"/>
      <c r="B73" s="42" t="str">
        <f>_xlfn.XLOOKUP(VmSpecs[[#This Row],[Subnet]],NetworkReference[Subnet],NetworkReference[Subscription])</f>
        <v>NINP-PERF2</v>
      </c>
      <c r="C73" s="43" t="str">
        <f>_xlfn.XLOOKUP(VmSpecs[[#This Row],[Subnet]],NetworkReference[Subnet],NetworkReference[Virtual Network Resource Group])</f>
        <v>rg-pf2-network-aue-001</v>
      </c>
      <c r="D73" s="43" t="str">
        <f>_xlfn.XLOOKUP(VmSpecs[[#This Row],[Subnet]],NetworkReference[Subnet],NetworkReference[Virtual Network])</f>
        <v>vnet-pf2-workload-aue-001</v>
      </c>
      <c r="E73" s="132" t="s">
        <v>59</v>
      </c>
      <c r="F73" s="43" t="str">
        <f>_xlfn.XLOOKUP(VmSpecs[[#This Row],[Subnet]],NetworkReference[Subnet],NetworkReference[Virtual Network Peering])</f>
        <v>vnet-ninp-conn-pnp-hub-aue</v>
      </c>
      <c r="G73" s="43" t="str">
        <f>_xlfn.XLOOKUP(VmSpecs[[#This Row],[Subnet]],NetworkReference[Subnet],NetworkReference[Route Table])</f>
        <v>rt-sn-pfb-aue-pf2-app</v>
      </c>
      <c r="H73" s="43" t="str">
        <f>LOWER(VLOOKUP(VmSpecs[[#This Row],[Original Hostname (CMO)]],'SSOT Data'!A:K,10,FALSE))</f>
        <v>hdr</v>
      </c>
      <c r="I7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73" s="44" t="s">
        <v>236</v>
      </c>
      <c r="K73" s="43" t="str">
        <f>_xlfn.CONCAT("vm",MID(VmSpecs[[#This Row],[Subnet]],4,3),VLOOKUP(VmSpecs[[#This Row],[Subscription]],NetworkReference[#All],2,FALSE),VmSpecs[[#This Row],[Service]],VmSpecs[[#This Row],[VM iteration (nn)]])</f>
        <v>vmpfbpf2hdr28</v>
      </c>
      <c r="L73" s="45" t="s">
        <v>61</v>
      </c>
      <c r="M73" s="43" t="str">
        <f>VmSpecs[[#This Row],[VM Name]]&amp;".ninp.myhealthrecord.gov.au"</f>
        <v>vmpfbpf2hdr28.ninp.myhealthrecord.gov.au</v>
      </c>
      <c r="N73" s="42" t="str">
        <f t="shared" si="1"/>
        <v>nic-001-vmpfbpf2hdr28</v>
      </c>
      <c r="O73" s="94" t="s">
        <v>237</v>
      </c>
      <c r="P73" s="46" t="s">
        <v>63</v>
      </c>
      <c r="Q73" s="42" t="str">
        <f>VLOOKUP(VmSpecs[[#This Row],[Original Hostname (CMO)]],'SSOT Data'!A:E,5,FALSE)</f>
        <v>OEL7.9</v>
      </c>
      <c r="R73" s="42"/>
      <c r="S73" s="42" t="str">
        <f>_xlfn.CONCAT("avail-",LEFT(VmSpecs[[#This Row],[VM Name]],LEN(VmSpecs[[#This Row],[VM Name]])-2))</f>
        <v>avail-vmpfbpf2hdr</v>
      </c>
      <c r="T73" s="42" t="str">
        <f>_xlfn.CONCAT("asg-",LEFT(VmSpecs[[#This Row],[VM Name]],LEN(VmSpecs[[#This Row],[VM Name]])-2))</f>
        <v>asg-vmpfbpf2hdr</v>
      </c>
      <c r="U73" s="42" t="str">
        <f>_xlfn.CONCAT("nsg-",VmSpecs[[#This Row],[Subnet]])</f>
        <v>nsg-sn-pfb-aue-pf2-app</v>
      </c>
      <c r="V73" s="42"/>
      <c r="W73" s="43" t="str">
        <f>VLOOKUP(VmSpecs[[#This Row],[Original Hostname (CMO)]],'SSOT Data'!A:AX,50,FALSE)</f>
        <v>Standard_D8s_v4</v>
      </c>
      <c r="X73" s="43">
        <v>64</v>
      </c>
      <c r="Y73" s="43" t="s">
        <v>65</v>
      </c>
      <c r="Z73" s="43" t="str">
        <f>"osdisk-"&amp;VmSpecs[[#This Row],[VM Name]]</f>
        <v>osdisk-vmpfbpf2hdr28</v>
      </c>
      <c r="AA73" s="47" t="s">
        <v>66</v>
      </c>
      <c r="AB73" s="73">
        <v>8</v>
      </c>
      <c r="AC73" s="74" t="s">
        <v>65</v>
      </c>
      <c r="AD73" s="75" t="str">
        <f>"disk-"&amp;VmSpecs[[#This Row],[VM Name]]&amp;"-001"</f>
        <v>disk-vmpfbpf2hdr28-001</v>
      </c>
      <c r="AE73" s="73">
        <v>32</v>
      </c>
      <c r="AF73" s="74" t="s">
        <v>65</v>
      </c>
      <c r="AG73" s="43" t="str">
        <f>"disk-"&amp;VmSpecs[[#This Row],[VM Name]]&amp;"-002"</f>
        <v>disk-vmpfbpf2hdr28-002</v>
      </c>
      <c r="AH73" s="59"/>
      <c r="AI73" s="42"/>
      <c r="AJ73" s="42"/>
      <c r="AK73" s="42"/>
      <c r="AL73" s="42" t="str">
        <f>MID(VmSpecs[[#This Row],[VM Name]],3,9)</f>
        <v>pfbpf2hdr</v>
      </c>
      <c r="AM73" s="42" t="str" cm="1">
        <f t="array" ref="AM73">_xlfn.TEXTJOIN(CHAR(10), TRUE, IF(NfsExports[FMO Single VM IP]=VmSpecs[[#This Row],[IP]],NfsExports[FMO Export Summary],""))</f>
        <v>/apps/pcehr 45GB</v>
      </c>
      <c r="AN73" s="43" t="str" cm="1">
        <f t="array" ref="AN7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73" s="42"/>
      <c r="AP73" s="42" t="str">
        <f>VmSpecs[[#This Row],[Description]]</f>
        <v>HDR</v>
      </c>
      <c r="AQ73" s="43"/>
      <c r="AR73" s="43"/>
      <c r="AS73" s="43"/>
      <c r="AT73" s="43"/>
      <c r="AU73" s="43"/>
      <c r="AV73" s="42"/>
      <c r="AW73" s="42"/>
      <c r="AX73" s="42"/>
      <c r="AY73" s="42"/>
      <c r="AZ73" s="42"/>
      <c r="BA73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"HDR"
Application Service: "HDR"
Lifecycle: "PFB"</v>
      </c>
      <c r="BB73" s="78" t="s">
        <v>238</v>
      </c>
      <c r="BC73" s="42" t="str">
        <f>VLOOKUP(VmSpecs[[#This Row],[Original Hostname (CMO)]],'SSOT Data'!A:AJ,36,FALSE)</f>
        <v>HDR</v>
      </c>
      <c r="BD73" s="126">
        <f>VLOOKUP(VmSpecs[[#This Row],[Original Hostname (CMO)]],'SSOT Data'!A:AQ,43,FALSE)</f>
        <v>2</v>
      </c>
    </row>
    <row r="74" spans="1:56" ht="29" x14ac:dyDescent="0.35">
      <c r="A74" s="42"/>
      <c r="B74" s="42" t="str">
        <f>_xlfn.XLOOKUP(VmSpecs[[#This Row],[Subnet]],NetworkReference[Subnet],NetworkReference[Subscription])</f>
        <v>NINP-PERF2</v>
      </c>
      <c r="C74" s="43" t="str">
        <f>_xlfn.XLOOKUP(VmSpecs[[#This Row],[Subnet]],NetworkReference[Subnet],NetworkReference[Virtual Network Resource Group])</f>
        <v>rg-pf2-network-aue-001</v>
      </c>
      <c r="D74" s="43" t="str">
        <f>_xlfn.XLOOKUP(VmSpecs[[#This Row],[Subnet]],NetworkReference[Subnet],NetworkReference[Virtual Network])</f>
        <v>vnet-pf2-workload-aue-001</v>
      </c>
      <c r="E74" s="132" t="s">
        <v>59</v>
      </c>
      <c r="F74" s="43" t="str">
        <f>_xlfn.XLOOKUP(VmSpecs[[#This Row],[Subnet]],NetworkReference[Subnet],NetworkReference[Virtual Network Peering])</f>
        <v>vnet-ninp-conn-pnp-hub-aue</v>
      </c>
      <c r="G74" s="43" t="str">
        <f>_xlfn.XLOOKUP(VmSpecs[[#This Row],[Subnet]],NetworkReference[Subnet],NetworkReference[Route Table])</f>
        <v>rt-sn-pfb-aue-pf2-app</v>
      </c>
      <c r="H74" s="43" t="str">
        <f>LOWER(VLOOKUP(VmSpecs[[#This Row],[Original Hostname (CMO)]],'SSOT Data'!A:K,10,FALSE))</f>
        <v>hdr</v>
      </c>
      <c r="I7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74" s="44" t="s">
        <v>239</v>
      </c>
      <c r="K74" s="43" t="str">
        <f>_xlfn.CONCAT("vm",MID(VmSpecs[[#This Row],[Subnet]],4,3),VLOOKUP(VmSpecs[[#This Row],[Subscription]],NetworkReference[#All],2,FALSE),VmSpecs[[#This Row],[Service]],VmSpecs[[#This Row],[VM iteration (nn)]])</f>
        <v>vmpfbpf2hdr29</v>
      </c>
      <c r="L74" s="45" t="s">
        <v>61</v>
      </c>
      <c r="M74" s="43" t="str">
        <f>VmSpecs[[#This Row],[VM Name]]&amp;".ninp.myhealthrecord.gov.au"</f>
        <v>vmpfbpf2hdr29.ninp.myhealthrecord.gov.au</v>
      </c>
      <c r="N74" s="42" t="str">
        <f t="shared" si="1"/>
        <v>nic-001-vmpfbpf2hdr29</v>
      </c>
      <c r="O74" s="94" t="s">
        <v>240</v>
      </c>
      <c r="P74" s="46" t="s">
        <v>63</v>
      </c>
      <c r="Q74" s="42" t="str">
        <f>VLOOKUP(VmSpecs[[#This Row],[Original Hostname (CMO)]],'SSOT Data'!A:E,5,FALSE)</f>
        <v>OEL7.9</v>
      </c>
      <c r="R74" s="42"/>
      <c r="S74" s="42" t="str">
        <f>_xlfn.CONCAT("avail-",LEFT(VmSpecs[[#This Row],[VM Name]],LEN(VmSpecs[[#This Row],[VM Name]])-2))</f>
        <v>avail-vmpfbpf2hdr</v>
      </c>
      <c r="T74" s="42" t="str">
        <f>_xlfn.CONCAT("asg-",LEFT(VmSpecs[[#This Row],[VM Name]],LEN(VmSpecs[[#This Row],[VM Name]])-2))</f>
        <v>asg-vmpfbpf2hdr</v>
      </c>
      <c r="U74" s="42" t="str">
        <f>_xlfn.CONCAT("nsg-",VmSpecs[[#This Row],[Subnet]])</f>
        <v>nsg-sn-pfb-aue-pf2-app</v>
      </c>
      <c r="V74" s="42"/>
      <c r="W74" s="43" t="str">
        <f>VLOOKUP(VmSpecs[[#This Row],[Original Hostname (CMO)]],'SSOT Data'!A:AX,50,FALSE)</f>
        <v>Standard_D8s_v4</v>
      </c>
      <c r="X74" s="43">
        <v>64</v>
      </c>
      <c r="Y74" s="43" t="s">
        <v>65</v>
      </c>
      <c r="Z74" s="43" t="str">
        <f>"osdisk-"&amp;VmSpecs[[#This Row],[VM Name]]</f>
        <v>osdisk-vmpfbpf2hdr29</v>
      </c>
      <c r="AA74" s="47" t="s">
        <v>66</v>
      </c>
      <c r="AB74" s="73">
        <v>8</v>
      </c>
      <c r="AC74" s="74" t="s">
        <v>65</v>
      </c>
      <c r="AD74" s="75" t="str">
        <f>"disk-"&amp;VmSpecs[[#This Row],[VM Name]]&amp;"-001"</f>
        <v>disk-vmpfbpf2hdr29-001</v>
      </c>
      <c r="AE74" s="73">
        <v>32</v>
      </c>
      <c r="AF74" s="74" t="s">
        <v>65</v>
      </c>
      <c r="AG74" s="43" t="str">
        <f>"disk-"&amp;VmSpecs[[#This Row],[VM Name]]&amp;"-002"</f>
        <v>disk-vmpfbpf2hdr29-002</v>
      </c>
      <c r="AH74" s="59"/>
      <c r="AI74" s="42"/>
      <c r="AJ74" s="42"/>
      <c r="AK74" s="42"/>
      <c r="AL74" s="42" t="str">
        <f>MID(VmSpecs[[#This Row],[VM Name]],3,9)</f>
        <v>pfbpf2hdr</v>
      </c>
      <c r="AM74" s="42" t="str" cm="1">
        <f t="array" ref="AM74">_xlfn.TEXTJOIN(CHAR(10), TRUE, IF(NfsExports[FMO Single VM IP]=VmSpecs[[#This Row],[IP]],NfsExports[FMO Export Summary],""))</f>
        <v>/apps/pcehr 45GB</v>
      </c>
      <c r="AN74" s="43" t="str" cm="1">
        <f t="array" ref="AN7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74" s="42"/>
      <c r="AP74" s="42" t="str">
        <f>VmSpecs[[#This Row],[Description]]</f>
        <v>HDR</v>
      </c>
      <c r="AQ74" s="43"/>
      <c r="AR74" s="43"/>
      <c r="AS74" s="43"/>
      <c r="AT74" s="43"/>
      <c r="AU74" s="43"/>
      <c r="AV74" s="42"/>
      <c r="AW74" s="42"/>
      <c r="AX74" s="42"/>
      <c r="AY74" s="42"/>
      <c r="AZ74" s="42"/>
      <c r="BA74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"HDR"
Application Service: "HDR"
Lifecycle: "PFB"</v>
      </c>
      <c r="BB74" s="78" t="s">
        <v>241</v>
      </c>
      <c r="BC74" s="42" t="str">
        <f>VLOOKUP(VmSpecs[[#This Row],[Original Hostname (CMO)]],'SSOT Data'!A:AJ,36,FALSE)</f>
        <v>HDR</v>
      </c>
      <c r="BD74" s="126">
        <f>VLOOKUP(VmSpecs[[#This Row],[Original Hostname (CMO)]],'SSOT Data'!A:AQ,43,FALSE)</f>
        <v>2</v>
      </c>
    </row>
    <row r="75" spans="1:56" ht="29" x14ac:dyDescent="0.35">
      <c r="A75" s="42"/>
      <c r="B75" s="42" t="str">
        <f>_xlfn.XLOOKUP(VmSpecs[[#This Row],[Subnet]],NetworkReference[Subnet],NetworkReference[Subscription])</f>
        <v>NINP-PERF2</v>
      </c>
      <c r="C75" s="43" t="str">
        <f>_xlfn.XLOOKUP(VmSpecs[[#This Row],[Subnet]],NetworkReference[Subnet],NetworkReference[Virtual Network Resource Group])</f>
        <v>rg-pf2-network-aue-001</v>
      </c>
      <c r="D75" s="43" t="str">
        <f>_xlfn.XLOOKUP(VmSpecs[[#This Row],[Subnet]],NetworkReference[Subnet],NetworkReference[Virtual Network])</f>
        <v>vnet-pf2-workload-aue-001</v>
      </c>
      <c r="E75" s="132" t="s">
        <v>59</v>
      </c>
      <c r="F75" s="43" t="str">
        <f>_xlfn.XLOOKUP(VmSpecs[[#This Row],[Subnet]],NetworkReference[Subnet],NetworkReference[Virtual Network Peering])</f>
        <v>vnet-ninp-conn-pnp-hub-aue</v>
      </c>
      <c r="G75" s="43" t="str">
        <f>_xlfn.XLOOKUP(VmSpecs[[#This Row],[Subnet]],NetworkReference[Subnet],NetworkReference[Route Table])</f>
        <v>rt-sn-pfb-aue-pf2-app</v>
      </c>
      <c r="H75" s="43" t="str">
        <f>LOWER(VLOOKUP(VmSpecs[[#This Row],[Original Hostname (CMO)]],'SSOT Data'!A:K,10,FALSE))</f>
        <v>hdr</v>
      </c>
      <c r="I7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75" s="44" t="s">
        <v>242</v>
      </c>
      <c r="K75" s="43" t="str">
        <f>_xlfn.CONCAT("vm",MID(VmSpecs[[#This Row],[Subnet]],4,3),VLOOKUP(VmSpecs[[#This Row],[Subscription]],NetworkReference[#All],2,FALSE),VmSpecs[[#This Row],[Service]],VmSpecs[[#This Row],[VM iteration (nn)]])</f>
        <v>vmpfbpf2hdr30</v>
      </c>
      <c r="L75" s="45" t="s">
        <v>61</v>
      </c>
      <c r="M75" s="43" t="str">
        <f>VmSpecs[[#This Row],[VM Name]]&amp;".ninp.myhealthrecord.gov.au"</f>
        <v>vmpfbpf2hdr30.ninp.myhealthrecord.gov.au</v>
      </c>
      <c r="N75" s="42" t="str">
        <f t="shared" si="1"/>
        <v>nic-001-vmpfbpf2hdr30</v>
      </c>
      <c r="O75" s="94" t="s">
        <v>243</v>
      </c>
      <c r="P75" s="46" t="s">
        <v>63</v>
      </c>
      <c r="Q75" s="42" t="str">
        <f>VLOOKUP(VmSpecs[[#This Row],[Original Hostname (CMO)]],'SSOT Data'!A:E,5,FALSE)</f>
        <v>OEL7.9</v>
      </c>
      <c r="R75" s="42"/>
      <c r="S75" s="42" t="str">
        <f>_xlfn.CONCAT("avail-",LEFT(VmSpecs[[#This Row],[VM Name]],LEN(VmSpecs[[#This Row],[VM Name]])-2))</f>
        <v>avail-vmpfbpf2hdr</v>
      </c>
      <c r="T75" s="42" t="str">
        <f>_xlfn.CONCAT("asg-",LEFT(VmSpecs[[#This Row],[VM Name]],LEN(VmSpecs[[#This Row],[VM Name]])-2))</f>
        <v>asg-vmpfbpf2hdr</v>
      </c>
      <c r="U75" s="42" t="str">
        <f>_xlfn.CONCAT("nsg-",VmSpecs[[#This Row],[Subnet]])</f>
        <v>nsg-sn-pfb-aue-pf2-app</v>
      </c>
      <c r="V75" s="42"/>
      <c r="W75" s="43" t="str">
        <f>VLOOKUP(VmSpecs[[#This Row],[Original Hostname (CMO)]],'SSOT Data'!A:AX,50,FALSE)</f>
        <v>Standard_D8s_v4</v>
      </c>
      <c r="X75" s="43">
        <v>64</v>
      </c>
      <c r="Y75" s="43" t="s">
        <v>65</v>
      </c>
      <c r="Z75" s="43" t="str">
        <f>"osdisk-"&amp;VmSpecs[[#This Row],[VM Name]]</f>
        <v>osdisk-vmpfbpf2hdr30</v>
      </c>
      <c r="AA75" s="47" t="s">
        <v>66</v>
      </c>
      <c r="AB75" s="73">
        <v>8</v>
      </c>
      <c r="AC75" s="74" t="s">
        <v>65</v>
      </c>
      <c r="AD75" s="75" t="str">
        <f>"disk-"&amp;VmSpecs[[#This Row],[VM Name]]&amp;"-001"</f>
        <v>disk-vmpfbpf2hdr30-001</v>
      </c>
      <c r="AE75" s="73">
        <v>32</v>
      </c>
      <c r="AF75" s="74" t="s">
        <v>65</v>
      </c>
      <c r="AG75" s="43" t="str">
        <f>"disk-"&amp;VmSpecs[[#This Row],[VM Name]]&amp;"-002"</f>
        <v>disk-vmpfbpf2hdr30-002</v>
      </c>
      <c r="AH75" s="59"/>
      <c r="AI75" s="42"/>
      <c r="AJ75" s="42"/>
      <c r="AK75" s="42"/>
      <c r="AL75" s="42" t="str">
        <f>MID(VmSpecs[[#This Row],[VM Name]],3,9)</f>
        <v>pfbpf2hdr</v>
      </c>
      <c r="AM75" s="42" t="str" cm="1">
        <f t="array" ref="AM75">_xlfn.TEXTJOIN(CHAR(10), TRUE, IF(NfsExports[FMO Single VM IP]=VmSpecs[[#This Row],[IP]],NfsExports[FMO Export Summary],""))</f>
        <v>/apps/pcehr 45GB</v>
      </c>
      <c r="AN75" s="43" t="str" cm="1">
        <f t="array" ref="AN7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75" s="42"/>
      <c r="AP75" s="42" t="str">
        <f>VmSpecs[[#This Row],[Description]]</f>
        <v>HDR</v>
      </c>
      <c r="AQ75" s="43"/>
      <c r="AR75" s="43"/>
      <c r="AS75" s="43"/>
      <c r="AT75" s="43"/>
      <c r="AU75" s="43"/>
      <c r="AV75" s="42"/>
      <c r="AW75" s="42"/>
      <c r="AX75" s="42"/>
      <c r="AY75" s="42"/>
      <c r="AZ75" s="42"/>
      <c r="BA75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"HDR"
Application Service: "HDR"
Lifecycle: "PFB"</v>
      </c>
      <c r="BB75" s="42" t="s">
        <v>244</v>
      </c>
      <c r="BC75" s="83" t="str">
        <f>VLOOKUP(VmSpecs[[#This Row],[Original Hostname (CMO)]],'SSOT Data'!A:AJ,36,FALSE)</f>
        <v>HDR</v>
      </c>
      <c r="BD75" s="126">
        <f>VLOOKUP(VmSpecs[[#This Row],[Original Hostname (CMO)]],'SSOT Data'!A:AQ,43,FALSE)</f>
        <v>2</v>
      </c>
    </row>
    <row r="76" spans="1:56" ht="29" x14ac:dyDescent="0.35">
      <c r="A76" s="42"/>
      <c r="B76" s="42" t="str">
        <f>_xlfn.XLOOKUP(VmSpecs[[#This Row],[Subnet]],NetworkReference[Subnet],NetworkReference[Subscription])</f>
        <v>NINP-PERF2</v>
      </c>
      <c r="C76" s="43" t="str">
        <f>_xlfn.XLOOKUP(VmSpecs[[#This Row],[Subnet]],NetworkReference[Subnet],NetworkReference[Virtual Network Resource Group])</f>
        <v>rg-pf2-network-aue-001</v>
      </c>
      <c r="D76" s="43" t="str">
        <f>_xlfn.XLOOKUP(VmSpecs[[#This Row],[Subnet]],NetworkReference[Subnet],NetworkReference[Virtual Network])</f>
        <v>vnet-pf2-workload-aue-001</v>
      </c>
      <c r="E76" s="132" t="s">
        <v>59</v>
      </c>
      <c r="F76" s="43" t="str">
        <f>_xlfn.XLOOKUP(VmSpecs[[#This Row],[Subnet]],NetworkReference[Subnet],NetworkReference[Virtual Network Peering])</f>
        <v>vnet-ninp-conn-pnp-hub-aue</v>
      </c>
      <c r="G76" s="43" t="str">
        <f>_xlfn.XLOOKUP(VmSpecs[[#This Row],[Subnet]],NetworkReference[Subnet],NetworkReference[Route Table])</f>
        <v>rt-sn-pfb-aue-pf2-app</v>
      </c>
      <c r="H76" s="43" t="str">
        <f>LOWER(VLOOKUP(VmSpecs[[#This Row],[Original Hostname (CMO)]],'SSOT Data'!A:K,10,FALSE))</f>
        <v>hdr</v>
      </c>
      <c r="I7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76" s="44" t="s">
        <v>245</v>
      </c>
      <c r="K76" s="43" t="str">
        <f>_xlfn.CONCAT("vm",MID(VmSpecs[[#This Row],[Subnet]],4,3),VLOOKUP(VmSpecs[[#This Row],[Subscription]],NetworkReference[#All],2,FALSE),VmSpecs[[#This Row],[Service]],VmSpecs[[#This Row],[VM iteration (nn)]])</f>
        <v>vmpfbpf2hdr31</v>
      </c>
      <c r="L76" s="45" t="s">
        <v>61</v>
      </c>
      <c r="M76" s="43" t="str">
        <f>VmSpecs[[#This Row],[VM Name]]&amp;".ninp.myhealthrecord.gov.au"</f>
        <v>vmpfbpf2hdr31.ninp.myhealthrecord.gov.au</v>
      </c>
      <c r="N76" s="42" t="str">
        <f t="shared" si="1"/>
        <v>nic-001-vmpfbpf2hdr31</v>
      </c>
      <c r="O76" s="94" t="s">
        <v>246</v>
      </c>
      <c r="P76" s="46" t="s">
        <v>63</v>
      </c>
      <c r="Q76" s="42" t="str">
        <f>VLOOKUP(VmSpecs[[#This Row],[Original Hostname (CMO)]],'SSOT Data'!A:E,5,FALSE)</f>
        <v>OEL7.9</v>
      </c>
      <c r="R76" s="42"/>
      <c r="S76" s="42" t="str">
        <f>_xlfn.CONCAT("avail-",LEFT(VmSpecs[[#This Row],[VM Name]],LEN(VmSpecs[[#This Row],[VM Name]])-2))</f>
        <v>avail-vmpfbpf2hdr</v>
      </c>
      <c r="T76" s="42" t="str">
        <f>_xlfn.CONCAT("asg-",LEFT(VmSpecs[[#This Row],[VM Name]],LEN(VmSpecs[[#This Row],[VM Name]])-2))</f>
        <v>asg-vmpfbpf2hdr</v>
      </c>
      <c r="U76" s="42" t="str">
        <f>_xlfn.CONCAT("nsg-",VmSpecs[[#This Row],[Subnet]])</f>
        <v>nsg-sn-pfb-aue-pf2-app</v>
      </c>
      <c r="V76" s="42"/>
      <c r="W76" s="43" t="str">
        <f>VLOOKUP(VmSpecs[[#This Row],[Original Hostname (CMO)]],'SSOT Data'!A:AX,50,FALSE)</f>
        <v>Standard_D8s_v4</v>
      </c>
      <c r="X76" s="43">
        <v>64</v>
      </c>
      <c r="Y76" s="43" t="s">
        <v>65</v>
      </c>
      <c r="Z76" s="43" t="str">
        <f>"osdisk-"&amp;VmSpecs[[#This Row],[VM Name]]</f>
        <v>osdisk-vmpfbpf2hdr31</v>
      </c>
      <c r="AA76" s="47" t="s">
        <v>66</v>
      </c>
      <c r="AB76" s="73">
        <v>8</v>
      </c>
      <c r="AC76" s="74" t="s">
        <v>65</v>
      </c>
      <c r="AD76" s="75" t="str">
        <f>"disk-"&amp;VmSpecs[[#This Row],[VM Name]]&amp;"-001"</f>
        <v>disk-vmpfbpf2hdr31-001</v>
      </c>
      <c r="AE76" s="73">
        <v>32</v>
      </c>
      <c r="AF76" s="74" t="s">
        <v>65</v>
      </c>
      <c r="AG76" s="43" t="str">
        <f>"disk-"&amp;VmSpecs[[#This Row],[VM Name]]&amp;"-002"</f>
        <v>disk-vmpfbpf2hdr31-002</v>
      </c>
      <c r="AH76" s="59"/>
      <c r="AI76" s="42"/>
      <c r="AJ76" s="42"/>
      <c r="AK76" s="42"/>
      <c r="AL76" s="42" t="str">
        <f>MID(VmSpecs[[#This Row],[VM Name]],3,9)</f>
        <v>pfbpf2hdr</v>
      </c>
      <c r="AM76" s="42" t="str" cm="1">
        <f t="array" ref="AM76">_xlfn.TEXTJOIN(CHAR(10), TRUE, IF(NfsExports[FMO Single VM IP]=VmSpecs[[#This Row],[IP]],NfsExports[FMO Export Summary],""))</f>
        <v>/apps/pcehr 45GB</v>
      </c>
      <c r="AN76" s="43" t="str" cm="1">
        <f t="array" ref="AN7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76" s="42"/>
      <c r="AP76" s="42" t="str">
        <f>VmSpecs[[#This Row],[Description]]</f>
        <v>HDR</v>
      </c>
      <c r="AQ76" s="43"/>
      <c r="AR76" s="43"/>
      <c r="AS76" s="43"/>
      <c r="AT76" s="43"/>
      <c r="AU76" s="43"/>
      <c r="AV76" s="42"/>
      <c r="AW76" s="42"/>
      <c r="AX76" s="42"/>
      <c r="AY76" s="42"/>
      <c r="AZ76" s="42"/>
      <c r="BA76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"HDR"
Application Service: "HDR"
Lifecycle: "PFB"</v>
      </c>
      <c r="BB76" s="42" t="s">
        <v>247</v>
      </c>
      <c r="BC76" s="83" t="str">
        <f>VLOOKUP(VmSpecs[[#This Row],[Original Hostname (CMO)]],'SSOT Data'!A:AJ,36,FALSE)</f>
        <v>HDR</v>
      </c>
      <c r="BD76" s="126">
        <f>VLOOKUP(VmSpecs[[#This Row],[Original Hostname (CMO)]],'SSOT Data'!A:AQ,43,FALSE)</f>
        <v>2</v>
      </c>
    </row>
    <row r="77" spans="1:56" ht="29" x14ac:dyDescent="0.35">
      <c r="A77" s="42"/>
      <c r="B77" s="42" t="str">
        <f>_xlfn.XLOOKUP(VmSpecs[[#This Row],[Subnet]],NetworkReference[Subnet],NetworkReference[Subscription])</f>
        <v>NINP-PERF2</v>
      </c>
      <c r="C77" s="43" t="str">
        <f>_xlfn.XLOOKUP(VmSpecs[[#This Row],[Subnet]],NetworkReference[Subnet],NetworkReference[Virtual Network Resource Group])</f>
        <v>rg-pf2-network-aue-001</v>
      </c>
      <c r="D77" s="43" t="str">
        <f>_xlfn.XLOOKUP(VmSpecs[[#This Row],[Subnet]],NetworkReference[Subnet],NetworkReference[Virtual Network])</f>
        <v>vnet-pf2-workload-aue-001</v>
      </c>
      <c r="E77" s="132" t="s">
        <v>59</v>
      </c>
      <c r="F77" s="43" t="str">
        <f>_xlfn.XLOOKUP(VmSpecs[[#This Row],[Subnet]],NetworkReference[Subnet],NetworkReference[Virtual Network Peering])</f>
        <v>vnet-ninp-conn-pnp-hub-aue</v>
      </c>
      <c r="G77" s="43" t="str">
        <f>_xlfn.XLOOKUP(VmSpecs[[#This Row],[Subnet]],NetworkReference[Subnet],NetworkReference[Route Table])</f>
        <v>rt-sn-pfb-aue-pf2-app</v>
      </c>
      <c r="H77" s="43" t="str">
        <f>LOWER(VLOOKUP(VmSpecs[[#This Row],[Original Hostname (CMO)]],'SSOT Data'!A:K,10,FALSE))</f>
        <v>hdr</v>
      </c>
      <c r="I7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77" s="44" t="s">
        <v>248</v>
      </c>
      <c r="K77" s="43" t="str">
        <f>_xlfn.CONCAT("vm",MID(VmSpecs[[#This Row],[Subnet]],4,3),VLOOKUP(VmSpecs[[#This Row],[Subscription]],NetworkReference[#All],2,FALSE),VmSpecs[[#This Row],[Service]],VmSpecs[[#This Row],[VM iteration (nn)]])</f>
        <v>vmpfbpf2hdr32</v>
      </c>
      <c r="L77" s="45" t="s">
        <v>61</v>
      </c>
      <c r="M77" s="43" t="str">
        <f>VmSpecs[[#This Row],[VM Name]]&amp;".ninp.myhealthrecord.gov.au"</f>
        <v>vmpfbpf2hdr32.ninp.myhealthrecord.gov.au</v>
      </c>
      <c r="N77" s="42" t="str">
        <f t="shared" si="1"/>
        <v>nic-001-vmpfbpf2hdr32</v>
      </c>
      <c r="O77" s="94" t="s">
        <v>249</v>
      </c>
      <c r="P77" s="46" t="s">
        <v>63</v>
      </c>
      <c r="Q77" s="42" t="str">
        <f>VLOOKUP(VmSpecs[[#This Row],[Original Hostname (CMO)]],'SSOT Data'!A:E,5,FALSE)</f>
        <v>OEL7.9</v>
      </c>
      <c r="R77" s="42"/>
      <c r="S77" s="42" t="str">
        <f>_xlfn.CONCAT("avail-",LEFT(VmSpecs[[#This Row],[VM Name]],LEN(VmSpecs[[#This Row],[VM Name]])-2))</f>
        <v>avail-vmpfbpf2hdr</v>
      </c>
      <c r="T77" s="42" t="str">
        <f>_xlfn.CONCAT("asg-",LEFT(VmSpecs[[#This Row],[VM Name]],LEN(VmSpecs[[#This Row],[VM Name]])-2))</f>
        <v>asg-vmpfbpf2hdr</v>
      </c>
      <c r="U77" s="42" t="str">
        <f>_xlfn.CONCAT("nsg-",VmSpecs[[#This Row],[Subnet]])</f>
        <v>nsg-sn-pfb-aue-pf2-app</v>
      </c>
      <c r="V77" s="42"/>
      <c r="W77" s="43" t="str">
        <f>VLOOKUP(VmSpecs[[#This Row],[Original Hostname (CMO)]],'SSOT Data'!A:AX,50,FALSE)</f>
        <v>Standard_D8s_v4</v>
      </c>
      <c r="X77" s="43">
        <v>64</v>
      </c>
      <c r="Y77" s="43" t="s">
        <v>65</v>
      </c>
      <c r="Z77" s="43" t="str">
        <f>"osdisk-"&amp;VmSpecs[[#This Row],[VM Name]]</f>
        <v>osdisk-vmpfbpf2hdr32</v>
      </c>
      <c r="AA77" s="47" t="s">
        <v>66</v>
      </c>
      <c r="AB77" s="73">
        <v>8</v>
      </c>
      <c r="AC77" s="74" t="s">
        <v>65</v>
      </c>
      <c r="AD77" s="75" t="str">
        <f>"disk-"&amp;VmSpecs[[#This Row],[VM Name]]&amp;"-001"</f>
        <v>disk-vmpfbpf2hdr32-001</v>
      </c>
      <c r="AE77" s="73">
        <v>32</v>
      </c>
      <c r="AF77" s="74" t="s">
        <v>65</v>
      </c>
      <c r="AG77" s="43" t="str">
        <f>"disk-"&amp;VmSpecs[[#This Row],[VM Name]]&amp;"-002"</f>
        <v>disk-vmpfbpf2hdr32-002</v>
      </c>
      <c r="AH77" s="59"/>
      <c r="AI77" s="42"/>
      <c r="AJ77" s="42"/>
      <c r="AK77" s="42"/>
      <c r="AL77" s="42" t="str">
        <f>MID(VmSpecs[[#This Row],[VM Name]],3,9)</f>
        <v>pfbpf2hdr</v>
      </c>
      <c r="AM77" s="42" t="str" cm="1">
        <f t="array" ref="AM77">_xlfn.TEXTJOIN(CHAR(10), TRUE, IF(NfsExports[FMO Single VM IP]=VmSpecs[[#This Row],[IP]],NfsExports[FMO Export Summary],""))</f>
        <v>/apps/pcehr 45GB</v>
      </c>
      <c r="AN77" s="43" t="str" cm="1">
        <f t="array" ref="AN7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77" s="42"/>
      <c r="AP77" s="42" t="str">
        <f>VmSpecs[[#This Row],[Description]]</f>
        <v>HDR</v>
      </c>
      <c r="AQ77" s="43"/>
      <c r="AR77" s="43"/>
      <c r="AS77" s="43"/>
      <c r="AT77" s="43"/>
      <c r="AU77" s="43"/>
      <c r="AV77" s="42"/>
      <c r="AW77" s="42"/>
      <c r="AX77" s="42"/>
      <c r="AY77" s="42"/>
      <c r="AZ77" s="42"/>
      <c r="BA77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"HDR"
Application Service: "HDR"
Lifecycle: "PFB"</v>
      </c>
      <c r="BB77" s="78" t="s">
        <v>250</v>
      </c>
      <c r="BC77" s="42" t="str">
        <f>VLOOKUP(VmSpecs[[#This Row],[Original Hostname (CMO)]],'SSOT Data'!A:AJ,36,FALSE)</f>
        <v>HDR</v>
      </c>
      <c r="BD77" s="126">
        <f>VLOOKUP(VmSpecs[[#This Row],[Original Hostname (CMO)]],'SSOT Data'!A:AQ,43,FALSE)</f>
        <v>2</v>
      </c>
    </row>
    <row r="78" spans="1:56" ht="29" x14ac:dyDescent="0.35">
      <c r="A78" s="42"/>
      <c r="B78" s="42" t="str">
        <f>_xlfn.XLOOKUP(VmSpecs[[#This Row],[Subnet]],NetworkReference[Subnet],NetworkReference[Subscription])</f>
        <v>NINP-PERF2</v>
      </c>
      <c r="C78" s="43" t="str">
        <f>_xlfn.XLOOKUP(VmSpecs[[#This Row],[Subnet]],NetworkReference[Subnet],NetworkReference[Virtual Network Resource Group])</f>
        <v>rg-pf2-network-aue-001</v>
      </c>
      <c r="D78" s="43" t="str">
        <f>_xlfn.XLOOKUP(VmSpecs[[#This Row],[Subnet]],NetworkReference[Subnet],NetworkReference[Virtual Network])</f>
        <v>vnet-pf2-workload-aue-001</v>
      </c>
      <c r="E78" s="132" t="s">
        <v>59</v>
      </c>
      <c r="F78" s="43" t="str">
        <f>_xlfn.XLOOKUP(VmSpecs[[#This Row],[Subnet]],NetworkReference[Subnet],NetworkReference[Virtual Network Peering])</f>
        <v>vnet-ninp-conn-pnp-hub-aue</v>
      </c>
      <c r="G78" s="43" t="str">
        <f>_xlfn.XLOOKUP(VmSpecs[[#This Row],[Subnet]],NetworkReference[Subnet],NetworkReference[Route Table])</f>
        <v>rt-sn-pfb-aue-pf2-app</v>
      </c>
      <c r="H78" s="43" t="str">
        <f>LOWER(VLOOKUP(VmSpecs[[#This Row],[Original Hostname (CMO)]],'SSOT Data'!A:K,10,FALSE))</f>
        <v>hdr</v>
      </c>
      <c r="I7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78" s="44" t="s">
        <v>251</v>
      </c>
      <c r="K78" s="43" t="str">
        <f>_xlfn.CONCAT("vm",MID(VmSpecs[[#This Row],[Subnet]],4,3),VLOOKUP(VmSpecs[[#This Row],[Subscription]],NetworkReference[#All],2,FALSE),VmSpecs[[#This Row],[Service]],VmSpecs[[#This Row],[VM iteration (nn)]])</f>
        <v>vmpfbpf2hdr33</v>
      </c>
      <c r="L78" s="45" t="s">
        <v>61</v>
      </c>
      <c r="M78" s="43" t="str">
        <f>VmSpecs[[#This Row],[VM Name]]&amp;".ninp.myhealthrecord.gov.au"</f>
        <v>vmpfbpf2hdr33.ninp.myhealthrecord.gov.au</v>
      </c>
      <c r="N78" s="42" t="str">
        <f t="shared" si="1"/>
        <v>nic-001-vmpfbpf2hdr33</v>
      </c>
      <c r="O78" s="94" t="s">
        <v>252</v>
      </c>
      <c r="P78" s="46" t="s">
        <v>63</v>
      </c>
      <c r="Q78" s="42" t="str">
        <f>VLOOKUP(VmSpecs[[#This Row],[Original Hostname (CMO)]],'SSOT Data'!A:E,5,FALSE)</f>
        <v>OEL7.9</v>
      </c>
      <c r="R78" s="42"/>
      <c r="S78" s="42" t="str">
        <f>_xlfn.CONCAT("avail-",LEFT(VmSpecs[[#This Row],[VM Name]],LEN(VmSpecs[[#This Row],[VM Name]])-2))</f>
        <v>avail-vmpfbpf2hdr</v>
      </c>
      <c r="T78" s="42" t="str">
        <f>_xlfn.CONCAT("asg-",LEFT(VmSpecs[[#This Row],[VM Name]],LEN(VmSpecs[[#This Row],[VM Name]])-2))</f>
        <v>asg-vmpfbpf2hdr</v>
      </c>
      <c r="U78" s="42" t="str">
        <f>_xlfn.CONCAT("nsg-",VmSpecs[[#This Row],[Subnet]])</f>
        <v>nsg-sn-pfb-aue-pf2-app</v>
      </c>
      <c r="V78" s="42"/>
      <c r="W78" s="43" t="str">
        <f>VLOOKUP(VmSpecs[[#This Row],[Original Hostname (CMO)]],'SSOT Data'!A:AX,50,FALSE)</f>
        <v>Standard_D8s_v4</v>
      </c>
      <c r="X78" s="43">
        <v>64</v>
      </c>
      <c r="Y78" s="43" t="s">
        <v>65</v>
      </c>
      <c r="Z78" s="43" t="str">
        <f>"osdisk-"&amp;VmSpecs[[#This Row],[VM Name]]</f>
        <v>osdisk-vmpfbpf2hdr33</v>
      </c>
      <c r="AA78" s="47" t="s">
        <v>66</v>
      </c>
      <c r="AB78" s="73">
        <v>8</v>
      </c>
      <c r="AC78" s="74" t="s">
        <v>65</v>
      </c>
      <c r="AD78" s="75" t="str">
        <f>"disk-"&amp;VmSpecs[[#This Row],[VM Name]]&amp;"-001"</f>
        <v>disk-vmpfbpf2hdr33-001</v>
      </c>
      <c r="AE78" s="73">
        <v>32</v>
      </c>
      <c r="AF78" s="74" t="s">
        <v>65</v>
      </c>
      <c r="AG78" s="43" t="str">
        <f>"disk-"&amp;VmSpecs[[#This Row],[VM Name]]&amp;"-002"</f>
        <v>disk-vmpfbpf2hdr33-002</v>
      </c>
      <c r="AH78" s="59"/>
      <c r="AI78" s="42"/>
      <c r="AJ78" s="42"/>
      <c r="AK78" s="42"/>
      <c r="AL78" s="42" t="str">
        <f>MID(VmSpecs[[#This Row],[VM Name]],3,9)</f>
        <v>pfbpf2hdr</v>
      </c>
      <c r="AM78" s="42" t="str" cm="1">
        <f t="array" ref="AM78">_xlfn.TEXTJOIN(CHAR(10), TRUE, IF(NfsExports[FMO Single VM IP]=VmSpecs[[#This Row],[IP]],NfsExports[FMO Export Summary],""))</f>
        <v>/apps/pcehr 45GB</v>
      </c>
      <c r="AN78" s="43" t="str" cm="1">
        <f t="array" ref="AN7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78" s="42"/>
      <c r="AP78" s="42" t="str">
        <f>VmSpecs[[#This Row],[Description]]</f>
        <v>HDR</v>
      </c>
      <c r="AQ78" s="43"/>
      <c r="AR78" s="43"/>
      <c r="AS78" s="43"/>
      <c r="AT78" s="43"/>
      <c r="AU78" s="43"/>
      <c r="AV78" s="42"/>
      <c r="AW78" s="42"/>
      <c r="AX78" s="42"/>
      <c r="AY78" s="42"/>
      <c r="AZ78" s="42"/>
      <c r="BA78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"HDR"
Application Service: "HDR"
Lifecycle: "PFB"</v>
      </c>
      <c r="BB78" s="78" t="s">
        <v>253</v>
      </c>
      <c r="BC78" s="42" t="str">
        <f>VLOOKUP(VmSpecs[[#This Row],[Original Hostname (CMO)]],'SSOT Data'!A:AJ,36,FALSE)</f>
        <v>HDR</v>
      </c>
      <c r="BD78" s="126">
        <f>VLOOKUP(VmSpecs[[#This Row],[Original Hostname (CMO)]],'SSOT Data'!A:AQ,43,FALSE)</f>
        <v>2</v>
      </c>
    </row>
    <row r="79" spans="1:56" ht="29" x14ac:dyDescent="0.35">
      <c r="A79" s="42"/>
      <c r="B79" s="42" t="str">
        <f>_xlfn.XLOOKUP(VmSpecs[[#This Row],[Subnet]],NetworkReference[Subnet],NetworkReference[Subscription])</f>
        <v>NINP-PERF2</v>
      </c>
      <c r="C79" s="43" t="str">
        <f>_xlfn.XLOOKUP(VmSpecs[[#This Row],[Subnet]],NetworkReference[Subnet],NetworkReference[Virtual Network Resource Group])</f>
        <v>rg-pf2-network-aue-001</v>
      </c>
      <c r="D79" s="43" t="str">
        <f>_xlfn.XLOOKUP(VmSpecs[[#This Row],[Subnet]],NetworkReference[Subnet],NetworkReference[Virtual Network])</f>
        <v>vnet-pf2-workload-aue-001</v>
      </c>
      <c r="E79" s="132" t="s">
        <v>59</v>
      </c>
      <c r="F79" s="43" t="str">
        <f>_xlfn.XLOOKUP(VmSpecs[[#This Row],[Subnet]],NetworkReference[Subnet],NetworkReference[Virtual Network Peering])</f>
        <v>vnet-ninp-conn-pnp-hub-aue</v>
      </c>
      <c r="G79" s="43" t="str">
        <f>_xlfn.XLOOKUP(VmSpecs[[#This Row],[Subnet]],NetworkReference[Subnet],NetworkReference[Route Table])</f>
        <v>rt-sn-pfb-aue-pf2-app</v>
      </c>
      <c r="H79" s="43" t="str">
        <f>LOWER(VLOOKUP(VmSpecs[[#This Row],[Original Hostname (CMO)]],'SSOT Data'!A:K,10,FALSE))</f>
        <v>hdr</v>
      </c>
      <c r="I7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79" s="44" t="s">
        <v>254</v>
      </c>
      <c r="K79" s="43" t="str">
        <f>_xlfn.CONCAT("vm",MID(VmSpecs[[#This Row],[Subnet]],4,3),VLOOKUP(VmSpecs[[#This Row],[Subscription]],NetworkReference[#All],2,FALSE),VmSpecs[[#This Row],[Service]],VmSpecs[[#This Row],[VM iteration (nn)]])</f>
        <v>vmpfbpf2hdr34</v>
      </c>
      <c r="L79" s="45" t="s">
        <v>61</v>
      </c>
      <c r="M79" s="43" t="str">
        <f>VmSpecs[[#This Row],[VM Name]]&amp;".ninp.myhealthrecord.gov.au"</f>
        <v>vmpfbpf2hdr34.ninp.myhealthrecord.gov.au</v>
      </c>
      <c r="N79" s="42" t="str">
        <f t="shared" si="1"/>
        <v>nic-001-vmpfbpf2hdr34</v>
      </c>
      <c r="O79" s="94" t="s">
        <v>255</v>
      </c>
      <c r="P79" s="46" t="s">
        <v>63</v>
      </c>
      <c r="Q79" s="42" t="str">
        <f>VLOOKUP(VmSpecs[[#This Row],[Original Hostname (CMO)]],'SSOT Data'!A:E,5,FALSE)</f>
        <v>OEL7.9</v>
      </c>
      <c r="R79" s="42"/>
      <c r="S79" s="42" t="str">
        <f>_xlfn.CONCAT("avail-",LEFT(VmSpecs[[#This Row],[VM Name]],LEN(VmSpecs[[#This Row],[VM Name]])-2))</f>
        <v>avail-vmpfbpf2hdr</v>
      </c>
      <c r="T79" s="42" t="str">
        <f>_xlfn.CONCAT("asg-",LEFT(VmSpecs[[#This Row],[VM Name]],LEN(VmSpecs[[#This Row],[VM Name]])-2))</f>
        <v>asg-vmpfbpf2hdr</v>
      </c>
      <c r="U79" s="42" t="str">
        <f>_xlfn.CONCAT("nsg-",VmSpecs[[#This Row],[Subnet]])</f>
        <v>nsg-sn-pfb-aue-pf2-app</v>
      </c>
      <c r="V79" s="42"/>
      <c r="W79" s="43" t="str">
        <f>VLOOKUP(VmSpecs[[#This Row],[Original Hostname (CMO)]],'SSOT Data'!A:AX,50,FALSE)</f>
        <v>Standard_D8s_v4</v>
      </c>
      <c r="X79" s="43">
        <v>64</v>
      </c>
      <c r="Y79" s="43" t="s">
        <v>65</v>
      </c>
      <c r="Z79" s="43" t="str">
        <f>"osdisk-"&amp;VmSpecs[[#This Row],[VM Name]]</f>
        <v>osdisk-vmpfbpf2hdr34</v>
      </c>
      <c r="AA79" s="47" t="s">
        <v>66</v>
      </c>
      <c r="AB79" s="73">
        <v>8</v>
      </c>
      <c r="AC79" s="74" t="s">
        <v>65</v>
      </c>
      <c r="AD79" s="75" t="str">
        <f>"disk-"&amp;VmSpecs[[#This Row],[VM Name]]&amp;"-001"</f>
        <v>disk-vmpfbpf2hdr34-001</v>
      </c>
      <c r="AE79" s="73">
        <v>32</v>
      </c>
      <c r="AF79" s="74" t="s">
        <v>65</v>
      </c>
      <c r="AG79" s="43" t="str">
        <f>"disk-"&amp;VmSpecs[[#This Row],[VM Name]]&amp;"-002"</f>
        <v>disk-vmpfbpf2hdr34-002</v>
      </c>
      <c r="AH79" s="59"/>
      <c r="AI79" s="42"/>
      <c r="AJ79" s="42"/>
      <c r="AK79" s="42"/>
      <c r="AL79" s="42" t="str">
        <f>MID(VmSpecs[[#This Row],[VM Name]],3,9)</f>
        <v>pfbpf2hdr</v>
      </c>
      <c r="AM79" s="42" t="str" cm="1">
        <f t="array" ref="AM79">_xlfn.TEXTJOIN(CHAR(10), TRUE, IF(NfsExports[FMO Single VM IP]=VmSpecs[[#This Row],[IP]],NfsExports[FMO Export Summary],""))</f>
        <v>/apps/pcehr 45GB</v>
      </c>
      <c r="AN79" s="43" t="str" cm="1">
        <f t="array" ref="AN7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79" s="42"/>
      <c r="AP79" s="42" t="str">
        <f>VmSpecs[[#This Row],[Description]]</f>
        <v>HDR</v>
      </c>
      <c r="AQ79" s="43"/>
      <c r="AR79" s="43"/>
      <c r="AS79" s="43"/>
      <c r="AT79" s="43"/>
      <c r="AU79" s="43"/>
      <c r="AV79" s="42"/>
      <c r="AW79" s="42"/>
      <c r="AX79" s="42"/>
      <c r="AY79" s="42"/>
      <c r="AZ79" s="42"/>
      <c r="BA79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"HDR"
Application Service: "HDR"
Lifecycle: "PFB"</v>
      </c>
      <c r="BB79" s="78" t="s">
        <v>256</v>
      </c>
      <c r="BC79" s="42" t="str">
        <f>VLOOKUP(VmSpecs[[#This Row],[Original Hostname (CMO)]],'SSOT Data'!A:AJ,36,FALSE)</f>
        <v>HDR</v>
      </c>
      <c r="BD79" s="126">
        <f>VLOOKUP(VmSpecs[[#This Row],[Original Hostname (CMO)]],'SSOT Data'!A:AQ,43,FALSE)</f>
        <v>2</v>
      </c>
    </row>
    <row r="80" spans="1:56" ht="29" x14ac:dyDescent="0.35">
      <c r="A80" s="42"/>
      <c r="B80" s="42" t="str">
        <f>_xlfn.XLOOKUP(VmSpecs[[#This Row],[Subnet]],NetworkReference[Subnet],NetworkReference[Subscription])</f>
        <v>NINP-PERF2</v>
      </c>
      <c r="C80" s="43" t="str">
        <f>_xlfn.XLOOKUP(VmSpecs[[#This Row],[Subnet]],NetworkReference[Subnet],NetworkReference[Virtual Network Resource Group])</f>
        <v>rg-pf2-network-aue-001</v>
      </c>
      <c r="D80" s="43" t="str">
        <f>_xlfn.XLOOKUP(VmSpecs[[#This Row],[Subnet]],NetworkReference[Subnet],NetworkReference[Virtual Network])</f>
        <v>vnet-pf2-workload-aue-001</v>
      </c>
      <c r="E80" s="132" t="s">
        <v>59</v>
      </c>
      <c r="F80" s="43" t="str">
        <f>_xlfn.XLOOKUP(VmSpecs[[#This Row],[Subnet]],NetworkReference[Subnet],NetworkReference[Virtual Network Peering])</f>
        <v>vnet-ninp-conn-pnp-hub-aue</v>
      </c>
      <c r="G80" s="43" t="str">
        <f>_xlfn.XLOOKUP(VmSpecs[[#This Row],[Subnet]],NetworkReference[Subnet],NetworkReference[Route Table])</f>
        <v>rt-sn-pfb-aue-pf2-app</v>
      </c>
      <c r="H80" s="43" t="str">
        <f>LOWER(VLOOKUP(VmSpecs[[#This Row],[Original Hostname (CMO)]],'SSOT Data'!A:K,10,FALSE))</f>
        <v>hdr</v>
      </c>
      <c r="I8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80" s="44" t="s">
        <v>257</v>
      </c>
      <c r="K80" s="43" t="str">
        <f>_xlfn.CONCAT("vm",MID(VmSpecs[[#This Row],[Subnet]],4,3),VLOOKUP(VmSpecs[[#This Row],[Subscription]],NetworkReference[#All],2,FALSE),VmSpecs[[#This Row],[Service]],VmSpecs[[#This Row],[VM iteration (nn)]])</f>
        <v>vmpfbpf2hdr35</v>
      </c>
      <c r="L80" s="45" t="s">
        <v>61</v>
      </c>
      <c r="M80" s="43" t="str">
        <f>VmSpecs[[#This Row],[VM Name]]&amp;".ninp.myhealthrecord.gov.au"</f>
        <v>vmpfbpf2hdr35.ninp.myhealthrecord.gov.au</v>
      </c>
      <c r="N80" s="42" t="str">
        <f t="shared" si="1"/>
        <v>nic-001-vmpfbpf2hdr35</v>
      </c>
      <c r="O80" s="94" t="s">
        <v>258</v>
      </c>
      <c r="P80" s="46" t="s">
        <v>63</v>
      </c>
      <c r="Q80" s="42" t="str">
        <f>VLOOKUP(VmSpecs[[#This Row],[Original Hostname (CMO)]],'SSOT Data'!A:E,5,FALSE)</f>
        <v>OEL7.9</v>
      </c>
      <c r="R80" s="42"/>
      <c r="S80" s="42" t="str">
        <f>_xlfn.CONCAT("avail-",LEFT(VmSpecs[[#This Row],[VM Name]],LEN(VmSpecs[[#This Row],[VM Name]])-2))</f>
        <v>avail-vmpfbpf2hdr</v>
      </c>
      <c r="T80" s="42" t="str">
        <f>_xlfn.CONCAT("asg-",LEFT(VmSpecs[[#This Row],[VM Name]],LEN(VmSpecs[[#This Row],[VM Name]])-2))</f>
        <v>asg-vmpfbpf2hdr</v>
      </c>
      <c r="U80" s="42" t="str">
        <f>_xlfn.CONCAT("nsg-",VmSpecs[[#This Row],[Subnet]])</f>
        <v>nsg-sn-pfb-aue-pf2-app</v>
      </c>
      <c r="V80" s="42"/>
      <c r="W80" s="43" t="str">
        <f>VLOOKUP(VmSpecs[[#This Row],[Original Hostname (CMO)]],'SSOT Data'!A:AX,50,FALSE)</f>
        <v>Standard_D8s_v4</v>
      </c>
      <c r="X80" s="43">
        <v>64</v>
      </c>
      <c r="Y80" s="43" t="s">
        <v>65</v>
      </c>
      <c r="Z80" s="43" t="str">
        <f>"osdisk-"&amp;VmSpecs[[#This Row],[VM Name]]</f>
        <v>osdisk-vmpfbpf2hdr35</v>
      </c>
      <c r="AA80" s="47" t="s">
        <v>66</v>
      </c>
      <c r="AB80" s="73">
        <v>8</v>
      </c>
      <c r="AC80" s="74" t="s">
        <v>65</v>
      </c>
      <c r="AD80" s="75" t="str">
        <f>"disk-"&amp;VmSpecs[[#This Row],[VM Name]]&amp;"-001"</f>
        <v>disk-vmpfbpf2hdr35-001</v>
      </c>
      <c r="AE80" s="73">
        <v>32</v>
      </c>
      <c r="AF80" s="74" t="s">
        <v>65</v>
      </c>
      <c r="AG80" s="43" t="str">
        <f>"disk-"&amp;VmSpecs[[#This Row],[VM Name]]&amp;"-002"</f>
        <v>disk-vmpfbpf2hdr35-002</v>
      </c>
      <c r="AH80" s="59"/>
      <c r="AI80" s="42"/>
      <c r="AJ80" s="42"/>
      <c r="AK80" s="42"/>
      <c r="AL80" s="42" t="str">
        <f>MID(VmSpecs[[#This Row],[VM Name]],3,9)</f>
        <v>pfbpf2hdr</v>
      </c>
      <c r="AM80" s="42" t="str" cm="1">
        <f t="array" ref="AM80">_xlfn.TEXTJOIN(CHAR(10), TRUE, IF(NfsExports[FMO Single VM IP]=VmSpecs[[#This Row],[IP]],NfsExports[FMO Export Summary],""))</f>
        <v>/apps/pcehr 45GB</v>
      </c>
      <c r="AN80" s="43" t="str" cm="1">
        <f t="array" ref="AN8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80" s="42"/>
      <c r="AP80" s="42" t="str">
        <f>VmSpecs[[#This Row],[Description]]</f>
        <v>HDR</v>
      </c>
      <c r="AQ80" s="43"/>
      <c r="AR80" s="43"/>
      <c r="AS80" s="43"/>
      <c r="AT80" s="43"/>
      <c r="AU80" s="43"/>
      <c r="AV80" s="42"/>
      <c r="AW80" s="42"/>
      <c r="AX80" s="42"/>
      <c r="AY80" s="42"/>
      <c r="AZ80" s="42"/>
      <c r="BA80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"HDR"
Application Service: "HDR"
Lifecycle: "PFB"</v>
      </c>
      <c r="BB80" s="78" t="s">
        <v>259</v>
      </c>
      <c r="BC80" s="42" t="str">
        <f>VLOOKUP(VmSpecs[[#This Row],[Original Hostname (CMO)]],'SSOT Data'!A:AJ,36,FALSE)</f>
        <v>HDR</v>
      </c>
      <c r="BD80" s="126">
        <f>VLOOKUP(VmSpecs[[#This Row],[Original Hostname (CMO)]],'SSOT Data'!A:AQ,43,FALSE)</f>
        <v>2</v>
      </c>
    </row>
    <row r="81" spans="1:56" ht="29" x14ac:dyDescent="0.35">
      <c r="A81" s="42" t="s">
        <v>58</v>
      </c>
      <c r="B81" s="42" t="str">
        <f>_xlfn.XLOOKUP(VmSpecs[[#This Row],[Subnet]],NetworkReference[Subnet],NetworkReference[Subscription])</f>
        <v>NINP-PERF2</v>
      </c>
      <c r="C81" s="43" t="str">
        <f>_xlfn.XLOOKUP(VmSpecs[[#This Row],[Subnet]],NetworkReference[Subnet],NetworkReference[Virtual Network Resource Group])</f>
        <v>rg-pf2-network-aue-001</v>
      </c>
      <c r="D81" s="43" t="str">
        <f>_xlfn.XLOOKUP(VmSpecs[[#This Row],[Subnet]],NetworkReference[Subnet],NetworkReference[Virtual Network])</f>
        <v>vnet-pf2-workload-aue-001</v>
      </c>
      <c r="E81" s="132" t="s">
        <v>59</v>
      </c>
      <c r="F81" s="43" t="str">
        <f>_xlfn.XLOOKUP(VmSpecs[[#This Row],[Subnet]],NetworkReference[Subnet],NetworkReference[Virtual Network Peering])</f>
        <v>vnet-ninp-conn-pnp-hub-aue</v>
      </c>
      <c r="G81" s="43" t="str">
        <f>_xlfn.XLOOKUP(VmSpecs[[#This Row],[Subnet]],NetworkReference[Subnet],NetworkReference[Route Table])</f>
        <v>rt-sn-pfb-aue-pf2-app</v>
      </c>
      <c r="H81" s="43" t="str">
        <f>LOWER(VLOOKUP(VmSpecs[[#This Row],[Original Hostname (CMO)]],'SSOT Data'!A:K,10,FALSE))</f>
        <v>hmr</v>
      </c>
      <c r="I8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81" s="44" t="s">
        <v>60</v>
      </c>
      <c r="K81" s="43" t="str">
        <f>_xlfn.CONCAT("vm",MID(VmSpecs[[#This Row],[Subnet]],4,3),VLOOKUP(VmSpecs[[#This Row],[Subscription]],NetworkReference[#All],2,FALSE),VmSpecs[[#This Row],[Service]],VmSpecs[[#This Row],[VM iteration (nn)]])</f>
        <v>vmpfbpf2hmr01</v>
      </c>
      <c r="L81" s="45" t="s">
        <v>61</v>
      </c>
      <c r="M81" s="43" t="str">
        <f>VmSpecs[[#This Row],[VM Name]]&amp;".ninp.myhealthrecord.gov.au"</f>
        <v>vmpfbpf2hmr01.ninp.myhealthrecord.gov.au</v>
      </c>
      <c r="N81" s="42" t="str">
        <f t="shared" si="1"/>
        <v>nic-001-vmpfbpf2hmr01</v>
      </c>
      <c r="O81" s="94" t="s">
        <v>260</v>
      </c>
      <c r="P81" s="46" t="s">
        <v>63</v>
      </c>
      <c r="Q81" s="42" t="str">
        <f>VLOOKUP(VmSpecs[[#This Row],[Original Hostname (CMO)]],'SSOT Data'!A:E,5,FALSE)</f>
        <v>OEL7.9</v>
      </c>
      <c r="R81" s="42"/>
      <c r="S81" s="42" t="str">
        <f>_xlfn.CONCAT("avail-",LEFT(VmSpecs[[#This Row],[VM Name]],LEN(VmSpecs[[#This Row],[VM Name]])-2))</f>
        <v>avail-vmpfbpf2hmr</v>
      </c>
      <c r="T81" s="42" t="str">
        <f>_xlfn.CONCAT("asg-",LEFT(VmSpecs[[#This Row],[VM Name]],LEN(VmSpecs[[#This Row],[VM Name]])-2))</f>
        <v>asg-vmpfbpf2hmr</v>
      </c>
      <c r="U81" s="42" t="str">
        <f>_xlfn.CONCAT("nsg-",VmSpecs[[#This Row],[Subnet]])</f>
        <v>nsg-sn-pfb-aue-pf2-app</v>
      </c>
      <c r="V81" s="42" t="s">
        <v>64</v>
      </c>
      <c r="W81" s="43" t="str">
        <f>VLOOKUP(VmSpecs[[#This Row],[Original Hostname (CMO)]],'SSOT Data'!A:AX,50,FALSE)</f>
        <v>Standard_D8s_v4</v>
      </c>
      <c r="X81" s="43">
        <v>64</v>
      </c>
      <c r="Y81" s="43" t="s">
        <v>65</v>
      </c>
      <c r="Z81" s="43" t="str">
        <f>"osdisk-"&amp;VmSpecs[[#This Row],[VM Name]]</f>
        <v>osdisk-vmpfbpf2hmr01</v>
      </c>
      <c r="AA81" s="47" t="s">
        <v>66</v>
      </c>
      <c r="AB81" s="73">
        <v>8</v>
      </c>
      <c r="AC81" s="74" t="s">
        <v>65</v>
      </c>
      <c r="AD81" s="75" t="str">
        <f>"disk-"&amp;VmSpecs[[#This Row],[VM Name]]&amp;"-001"</f>
        <v>disk-vmpfbpf2hmr01-001</v>
      </c>
      <c r="AE81" s="73">
        <v>32</v>
      </c>
      <c r="AF81" s="74" t="s">
        <v>65</v>
      </c>
      <c r="AG81" s="43" t="str">
        <f>"disk-"&amp;VmSpecs[[#This Row],[VM Name]]&amp;"-002"</f>
        <v>disk-vmpfbpf2hmr01-002</v>
      </c>
      <c r="AH81" s="59"/>
      <c r="AI81" s="42"/>
      <c r="AJ81" s="42"/>
      <c r="AK81" s="42"/>
      <c r="AL81" s="42" t="str">
        <f>MID(VmSpecs[[#This Row],[VM Name]],3,9)</f>
        <v>pfbpf2hmr</v>
      </c>
      <c r="AM81" s="42" t="str" cm="1">
        <f t="array" ref="AM81">_xlfn.TEXTJOIN(CHAR(10), TRUE, IF(NfsExports[FMO Single VM IP]=VmSpecs[[#This Row],[IP]],NfsExports[FMO Export Summary],""))</f>
        <v>/apps/pcehr 50GB</v>
      </c>
      <c r="AN81" s="43" t="str" cm="1">
        <f t="array" ref="AN8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81" s="42"/>
      <c r="AP81" s="42" t="str">
        <f>VmSpecs[[#This Row],[Description]]</f>
        <v>RLS N1</v>
      </c>
      <c r="AQ81" s="43"/>
      <c r="AR81" s="43" t="s">
        <v>64</v>
      </c>
      <c r="AS81" s="43" t="s">
        <v>64</v>
      </c>
      <c r="AT81" s="43" t="s">
        <v>64</v>
      </c>
      <c r="AU81" s="43" t="s">
        <v>64</v>
      </c>
      <c r="AV81" s="42" t="s">
        <v>66</v>
      </c>
      <c r="AW81" s="42" t="s">
        <v>67</v>
      </c>
      <c r="AX81" s="42" t="s">
        <v>68</v>
      </c>
      <c r="AY81" s="42" t="s">
        <v>64</v>
      </c>
      <c r="AZ81" s="42" t="s">
        <v>64</v>
      </c>
      <c r="BA8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"RLS N1"
Application Service: "HMR"
Lifecycle: "PFB"</v>
      </c>
      <c r="BB81" s="78" t="s">
        <v>261</v>
      </c>
      <c r="BC81" s="42" t="str">
        <f>VLOOKUP(VmSpecs[[#This Row],[Original Hostname (CMO)]],'SSOT Data'!A:AJ,36,FALSE)</f>
        <v>RLS N1</v>
      </c>
      <c r="BD81" s="43"/>
    </row>
    <row r="82" spans="1:56" ht="29" x14ac:dyDescent="0.35">
      <c r="A82" s="42" t="s">
        <v>58</v>
      </c>
      <c r="B82" s="42" t="str">
        <f>_xlfn.XLOOKUP(VmSpecs[[#This Row],[Subnet]],NetworkReference[Subnet],NetworkReference[Subscription])</f>
        <v>NINP-PERF2</v>
      </c>
      <c r="C82" s="43" t="str">
        <f>_xlfn.XLOOKUP(VmSpecs[[#This Row],[Subnet]],NetworkReference[Subnet],NetworkReference[Virtual Network Resource Group])</f>
        <v>rg-pf2-network-aue-001</v>
      </c>
      <c r="D82" s="43" t="str">
        <f>_xlfn.XLOOKUP(VmSpecs[[#This Row],[Subnet]],NetworkReference[Subnet],NetworkReference[Virtual Network])</f>
        <v>vnet-pf2-workload-aue-001</v>
      </c>
      <c r="E82" s="132" t="s">
        <v>59</v>
      </c>
      <c r="F82" s="43" t="str">
        <f>_xlfn.XLOOKUP(VmSpecs[[#This Row],[Subnet]],NetworkReference[Subnet],NetworkReference[Virtual Network Peering])</f>
        <v>vnet-ninp-conn-pnp-hub-aue</v>
      </c>
      <c r="G82" s="43" t="str">
        <f>_xlfn.XLOOKUP(VmSpecs[[#This Row],[Subnet]],NetworkReference[Subnet],NetworkReference[Route Table])</f>
        <v>rt-sn-pfb-aue-pf2-app</v>
      </c>
      <c r="H82" s="43" t="str">
        <f>LOWER(VLOOKUP(VmSpecs[[#This Row],[Original Hostname (CMO)]],'SSOT Data'!A:K,10,FALSE))</f>
        <v>hmr</v>
      </c>
      <c r="I8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82" s="44" t="s">
        <v>72</v>
      </c>
      <c r="K82" s="43" t="str">
        <f>_xlfn.CONCAT("vm",MID(VmSpecs[[#This Row],[Subnet]],4,3),VLOOKUP(VmSpecs[[#This Row],[Subscription]],NetworkReference[#All],2,FALSE),VmSpecs[[#This Row],[Service]],VmSpecs[[#This Row],[VM iteration (nn)]])</f>
        <v>vmpfbpf2hmr02</v>
      </c>
      <c r="L82" s="45" t="s">
        <v>61</v>
      </c>
      <c r="M82" s="43" t="str">
        <f>VmSpecs[[#This Row],[VM Name]]&amp;".ninp.myhealthrecord.gov.au"</f>
        <v>vmpfbpf2hmr02.ninp.myhealthrecord.gov.au</v>
      </c>
      <c r="N82" s="42" t="str">
        <f t="shared" si="1"/>
        <v>nic-001-vmpfbpf2hmr02</v>
      </c>
      <c r="O82" s="94" t="s">
        <v>262</v>
      </c>
      <c r="P82" s="46" t="s">
        <v>63</v>
      </c>
      <c r="Q82" s="42" t="str">
        <f>VLOOKUP(VmSpecs[[#This Row],[Original Hostname (CMO)]],'SSOT Data'!A:E,5,FALSE)</f>
        <v>OEL7.9</v>
      </c>
      <c r="R82" s="42"/>
      <c r="S82" s="42" t="str">
        <f>_xlfn.CONCAT("avail-",LEFT(VmSpecs[[#This Row],[VM Name]],LEN(VmSpecs[[#This Row],[VM Name]])-2))</f>
        <v>avail-vmpfbpf2hmr</v>
      </c>
      <c r="T82" s="42" t="str">
        <f>_xlfn.CONCAT("asg-",LEFT(VmSpecs[[#This Row],[VM Name]],LEN(VmSpecs[[#This Row],[VM Name]])-2))</f>
        <v>asg-vmpfbpf2hmr</v>
      </c>
      <c r="U82" s="42" t="str">
        <f>_xlfn.CONCAT("nsg-",VmSpecs[[#This Row],[Subnet]])</f>
        <v>nsg-sn-pfb-aue-pf2-app</v>
      </c>
      <c r="V82" s="42" t="s">
        <v>64</v>
      </c>
      <c r="W82" s="43" t="str">
        <f>VLOOKUP(VmSpecs[[#This Row],[Original Hostname (CMO)]],'SSOT Data'!A:AX,50,FALSE)</f>
        <v>Standard_D4s_v4</v>
      </c>
      <c r="X82" s="43">
        <v>64</v>
      </c>
      <c r="Y82" s="43" t="s">
        <v>65</v>
      </c>
      <c r="Z82" s="43" t="str">
        <f>"osdisk-"&amp;VmSpecs[[#This Row],[VM Name]]</f>
        <v>osdisk-vmpfbpf2hmr02</v>
      </c>
      <c r="AA82" s="47" t="s">
        <v>66</v>
      </c>
      <c r="AB82" s="73">
        <v>8</v>
      </c>
      <c r="AC82" s="74" t="s">
        <v>65</v>
      </c>
      <c r="AD82" s="75" t="str">
        <f>"disk-"&amp;VmSpecs[[#This Row],[VM Name]]&amp;"-001"</f>
        <v>disk-vmpfbpf2hmr02-001</v>
      </c>
      <c r="AE82" s="73">
        <v>32</v>
      </c>
      <c r="AF82" s="74" t="s">
        <v>65</v>
      </c>
      <c r="AG82" s="43" t="str">
        <f>"disk-"&amp;VmSpecs[[#This Row],[VM Name]]&amp;"-002"</f>
        <v>disk-vmpfbpf2hmr02-002</v>
      </c>
      <c r="AH82" s="59"/>
      <c r="AI82" s="42"/>
      <c r="AJ82" s="42"/>
      <c r="AK82" s="42"/>
      <c r="AL82" s="42" t="str">
        <f>MID(VmSpecs[[#This Row],[VM Name]],3,9)</f>
        <v>pfbpf2hmr</v>
      </c>
      <c r="AM82" s="42" t="str" cm="1">
        <f t="array" ref="AM82">_xlfn.TEXTJOIN(CHAR(10), TRUE, IF(NfsExports[FMO Single VM IP]=VmSpecs[[#This Row],[IP]],NfsExports[FMO Export Summary],""))</f>
        <v>/apps/pcehr 50GB</v>
      </c>
      <c r="AN82" s="43" t="str" cm="1">
        <f t="array" ref="AN8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82" s="42"/>
      <c r="AP82" s="42" t="str">
        <f>VmSpecs[[#This Row],[Description]]</f>
        <v>RLS N2</v>
      </c>
      <c r="AQ82" s="43"/>
      <c r="AR82" s="43" t="s">
        <v>64</v>
      </c>
      <c r="AS82" s="43" t="s">
        <v>64</v>
      </c>
      <c r="AT82" s="43" t="s">
        <v>64</v>
      </c>
      <c r="AU82" s="43" t="s">
        <v>64</v>
      </c>
      <c r="AV82" s="42" t="s">
        <v>66</v>
      </c>
      <c r="AW82" s="42" t="s">
        <v>67</v>
      </c>
      <c r="AX82" s="42" t="s">
        <v>68</v>
      </c>
      <c r="AY82" s="42" t="s">
        <v>64</v>
      </c>
      <c r="AZ82" s="42" t="s">
        <v>64</v>
      </c>
      <c r="BA8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"RLS N2"
Application Service: "HMR"
Lifecycle: "PFB"</v>
      </c>
      <c r="BB82" s="78" t="s">
        <v>263</v>
      </c>
      <c r="BC82" s="42" t="str">
        <f>VLOOKUP(VmSpecs[[#This Row],[Original Hostname (CMO)]],'SSOT Data'!A:AJ,36,FALSE)</f>
        <v>RLS N2</v>
      </c>
      <c r="BD82" s="43"/>
    </row>
    <row r="83" spans="1:56" ht="29" x14ac:dyDescent="0.35">
      <c r="A83" s="42" t="s">
        <v>58</v>
      </c>
      <c r="B83" s="42" t="str">
        <f>_xlfn.XLOOKUP(VmSpecs[[#This Row],[Subnet]],NetworkReference[Subnet],NetworkReference[Subscription])</f>
        <v>NINP-PERF2</v>
      </c>
      <c r="C83" s="43" t="str">
        <f>_xlfn.XLOOKUP(VmSpecs[[#This Row],[Subnet]],NetworkReference[Subnet],NetworkReference[Virtual Network Resource Group])</f>
        <v>rg-pf2-network-aue-001</v>
      </c>
      <c r="D83" s="43" t="str">
        <f>_xlfn.XLOOKUP(VmSpecs[[#This Row],[Subnet]],NetworkReference[Subnet],NetworkReference[Virtual Network])</f>
        <v>vnet-pf2-workload-aue-001</v>
      </c>
      <c r="E83" s="132" t="s">
        <v>59</v>
      </c>
      <c r="F83" s="43" t="str">
        <f>_xlfn.XLOOKUP(VmSpecs[[#This Row],[Subnet]],NetworkReference[Subnet],NetworkReference[Virtual Network Peering])</f>
        <v>vnet-ninp-conn-pnp-hub-aue</v>
      </c>
      <c r="G83" s="43" t="str">
        <f>_xlfn.XLOOKUP(VmSpecs[[#This Row],[Subnet]],NetworkReference[Subnet],NetworkReference[Route Table])</f>
        <v>rt-sn-pfb-aue-pf2-app</v>
      </c>
      <c r="H83" s="43" t="str">
        <f>LOWER(VLOOKUP(VmSpecs[[#This Row],[Original Hostname (CMO)]],'SSOT Data'!A:K,10,FALSE))</f>
        <v>hmr</v>
      </c>
      <c r="I8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83" s="44" t="s">
        <v>75</v>
      </c>
      <c r="K83" s="43" t="str">
        <f>_xlfn.CONCAT("vm",MID(VmSpecs[[#This Row],[Subnet]],4,3),VLOOKUP(VmSpecs[[#This Row],[Subscription]],NetworkReference[#All],2,FALSE),VmSpecs[[#This Row],[Service]],VmSpecs[[#This Row],[VM iteration (nn)]])</f>
        <v>vmpfbpf2hmr03</v>
      </c>
      <c r="L83" s="45" t="s">
        <v>61</v>
      </c>
      <c r="M83" s="43" t="str">
        <f>VmSpecs[[#This Row],[VM Name]]&amp;".ninp.myhealthrecord.gov.au"</f>
        <v>vmpfbpf2hmr03.ninp.myhealthrecord.gov.au</v>
      </c>
      <c r="N83" s="42" t="str">
        <f t="shared" si="1"/>
        <v>nic-001-vmpfbpf2hmr03</v>
      </c>
      <c r="O83" s="94" t="s">
        <v>264</v>
      </c>
      <c r="P83" s="46" t="s">
        <v>63</v>
      </c>
      <c r="Q83" s="42" t="str">
        <f>VLOOKUP(VmSpecs[[#This Row],[Original Hostname (CMO)]],'SSOT Data'!A:E,5,FALSE)</f>
        <v>OEL7.9</v>
      </c>
      <c r="R83" s="42"/>
      <c r="S83" s="42" t="str">
        <f>_xlfn.CONCAT("avail-",LEFT(VmSpecs[[#This Row],[VM Name]],LEN(VmSpecs[[#This Row],[VM Name]])-2))</f>
        <v>avail-vmpfbpf2hmr</v>
      </c>
      <c r="T83" s="42" t="str">
        <f>_xlfn.CONCAT("asg-",LEFT(VmSpecs[[#This Row],[VM Name]],LEN(VmSpecs[[#This Row],[VM Name]])-2))</f>
        <v>asg-vmpfbpf2hmr</v>
      </c>
      <c r="U83" s="42" t="str">
        <f>_xlfn.CONCAT("nsg-",VmSpecs[[#This Row],[Subnet]])</f>
        <v>nsg-sn-pfb-aue-pf2-app</v>
      </c>
      <c r="V83" s="42" t="s">
        <v>64</v>
      </c>
      <c r="W83" s="43" t="str">
        <f>VLOOKUP(VmSpecs[[#This Row],[Original Hostname (CMO)]],'SSOT Data'!A:AX,50,FALSE)</f>
        <v>Standard_D8s_v4</v>
      </c>
      <c r="X83" s="43">
        <v>64</v>
      </c>
      <c r="Y83" s="43" t="s">
        <v>65</v>
      </c>
      <c r="Z83" s="43" t="str">
        <f>"osdisk-"&amp;VmSpecs[[#This Row],[VM Name]]</f>
        <v>osdisk-vmpfbpf2hmr03</v>
      </c>
      <c r="AA83" s="47" t="s">
        <v>66</v>
      </c>
      <c r="AB83" s="73">
        <v>8</v>
      </c>
      <c r="AC83" s="74" t="s">
        <v>65</v>
      </c>
      <c r="AD83" s="75" t="str">
        <f>"disk-"&amp;VmSpecs[[#This Row],[VM Name]]&amp;"-001"</f>
        <v>disk-vmpfbpf2hmr03-001</v>
      </c>
      <c r="AE83" s="73">
        <v>32</v>
      </c>
      <c r="AF83" s="74" t="s">
        <v>65</v>
      </c>
      <c r="AG83" s="43" t="str">
        <f>"disk-"&amp;VmSpecs[[#This Row],[VM Name]]&amp;"-002"</f>
        <v>disk-vmpfbpf2hmr03-002</v>
      </c>
      <c r="AH83" s="59"/>
      <c r="AI83" s="42"/>
      <c r="AJ83" s="42"/>
      <c r="AK83" s="42"/>
      <c r="AL83" s="42" t="str">
        <f>MID(VmSpecs[[#This Row],[VM Name]],3,9)</f>
        <v>pfbpf2hmr</v>
      </c>
      <c r="AM83" s="42" t="str" cm="1">
        <f t="array" ref="AM83">_xlfn.TEXTJOIN(CHAR(10), TRUE, IF(NfsExports[FMO Single VM IP]=VmSpecs[[#This Row],[IP]],NfsExports[FMO Export Summary],""))</f>
        <v>/apps/pcehr 50GB</v>
      </c>
      <c r="AN83" s="43" t="str" cm="1">
        <f t="array" ref="AN8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83" s="42"/>
      <c r="AP83" s="42" t="str">
        <f>VmSpecs[[#This Row],[Description]]</f>
        <v>RLS N3</v>
      </c>
      <c r="AQ83" s="43"/>
      <c r="AR83" s="43" t="s">
        <v>64</v>
      </c>
      <c r="AS83" s="43" t="s">
        <v>64</v>
      </c>
      <c r="AT83" s="43" t="s">
        <v>64</v>
      </c>
      <c r="AU83" s="43" t="s">
        <v>64</v>
      </c>
      <c r="AV83" s="42" t="s">
        <v>66</v>
      </c>
      <c r="AW83" s="42" t="s">
        <v>67</v>
      </c>
      <c r="AX83" s="42" t="s">
        <v>68</v>
      </c>
      <c r="AY83" s="42" t="s">
        <v>64</v>
      </c>
      <c r="AZ83" s="42" t="s">
        <v>64</v>
      </c>
      <c r="BA8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"RLS N3"
Application Service: "HMR"
Lifecycle: "PFB"</v>
      </c>
      <c r="BB83" s="78" t="s">
        <v>265</v>
      </c>
      <c r="BC83" s="42" t="str">
        <f>VLOOKUP(VmSpecs[[#This Row],[Original Hostname (CMO)]],'SSOT Data'!A:AJ,36,FALSE)</f>
        <v>RLS N3</v>
      </c>
      <c r="BD83" s="43"/>
    </row>
    <row r="84" spans="1:56" ht="29" x14ac:dyDescent="0.35">
      <c r="A84" s="42" t="s">
        <v>58</v>
      </c>
      <c r="B84" s="42" t="str">
        <f>_xlfn.XLOOKUP(VmSpecs[[#This Row],[Subnet]],NetworkReference[Subnet],NetworkReference[Subscription])</f>
        <v>NINP-PERF2</v>
      </c>
      <c r="C84" s="43" t="str">
        <f>_xlfn.XLOOKUP(VmSpecs[[#This Row],[Subnet]],NetworkReference[Subnet],NetworkReference[Virtual Network Resource Group])</f>
        <v>rg-pf2-network-aue-001</v>
      </c>
      <c r="D84" s="43" t="str">
        <f>_xlfn.XLOOKUP(VmSpecs[[#This Row],[Subnet]],NetworkReference[Subnet],NetworkReference[Virtual Network])</f>
        <v>vnet-pf2-workload-aue-001</v>
      </c>
      <c r="E84" s="132" t="s">
        <v>59</v>
      </c>
      <c r="F84" s="43" t="str">
        <f>_xlfn.XLOOKUP(VmSpecs[[#This Row],[Subnet]],NetworkReference[Subnet],NetworkReference[Virtual Network Peering])</f>
        <v>vnet-ninp-conn-pnp-hub-aue</v>
      </c>
      <c r="G84" s="43" t="str">
        <f>_xlfn.XLOOKUP(VmSpecs[[#This Row],[Subnet]],NetworkReference[Subnet],NetworkReference[Route Table])</f>
        <v>rt-sn-pfb-aue-pf2-app</v>
      </c>
      <c r="H84" s="43" t="str">
        <f>LOWER(VLOOKUP(VmSpecs[[#This Row],[Original Hostname (CMO)]],'SSOT Data'!A:K,10,FALSE))</f>
        <v>hmr</v>
      </c>
      <c r="I8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84" s="44" t="s">
        <v>78</v>
      </c>
      <c r="K84" s="43" t="str">
        <f>_xlfn.CONCAT("vm",MID(VmSpecs[[#This Row],[Subnet]],4,3),VLOOKUP(VmSpecs[[#This Row],[Subscription]],NetworkReference[#All],2,FALSE),VmSpecs[[#This Row],[Service]],VmSpecs[[#This Row],[VM iteration (nn)]])</f>
        <v>vmpfbpf2hmr04</v>
      </c>
      <c r="L84" s="45" t="s">
        <v>61</v>
      </c>
      <c r="M84" s="43" t="str">
        <f>VmSpecs[[#This Row],[VM Name]]&amp;".ninp.myhealthrecord.gov.au"</f>
        <v>vmpfbpf2hmr04.ninp.myhealthrecord.gov.au</v>
      </c>
      <c r="N84" s="42" t="str">
        <f t="shared" si="1"/>
        <v>nic-001-vmpfbpf2hmr04</v>
      </c>
      <c r="O84" s="94" t="s">
        <v>266</v>
      </c>
      <c r="P84" s="46" t="s">
        <v>63</v>
      </c>
      <c r="Q84" s="42" t="str">
        <f>VLOOKUP(VmSpecs[[#This Row],[Original Hostname (CMO)]],'SSOT Data'!A:E,5,FALSE)</f>
        <v>OEL7.9</v>
      </c>
      <c r="R84" s="42"/>
      <c r="S84" s="42" t="str">
        <f>_xlfn.CONCAT("avail-",LEFT(VmSpecs[[#This Row],[VM Name]],LEN(VmSpecs[[#This Row],[VM Name]])-2))</f>
        <v>avail-vmpfbpf2hmr</v>
      </c>
      <c r="T84" s="42" t="str">
        <f>_xlfn.CONCAT("asg-",LEFT(VmSpecs[[#This Row],[VM Name]],LEN(VmSpecs[[#This Row],[VM Name]])-2))</f>
        <v>asg-vmpfbpf2hmr</v>
      </c>
      <c r="U84" s="42" t="str">
        <f>_xlfn.CONCAT("nsg-",VmSpecs[[#This Row],[Subnet]])</f>
        <v>nsg-sn-pfb-aue-pf2-app</v>
      </c>
      <c r="V84" s="42" t="s">
        <v>64</v>
      </c>
      <c r="W84" s="43" t="str">
        <f>VLOOKUP(VmSpecs[[#This Row],[Original Hostname (CMO)]],'SSOT Data'!A:AX,50,FALSE)</f>
        <v>Standard_D4s_v4</v>
      </c>
      <c r="X84" s="43">
        <v>64</v>
      </c>
      <c r="Y84" s="43" t="s">
        <v>65</v>
      </c>
      <c r="Z84" s="43" t="str">
        <f>"osdisk-"&amp;VmSpecs[[#This Row],[VM Name]]</f>
        <v>osdisk-vmpfbpf2hmr04</v>
      </c>
      <c r="AA84" s="47" t="s">
        <v>66</v>
      </c>
      <c r="AB84" s="73">
        <v>8</v>
      </c>
      <c r="AC84" s="74" t="s">
        <v>65</v>
      </c>
      <c r="AD84" s="75" t="str">
        <f>"disk-"&amp;VmSpecs[[#This Row],[VM Name]]&amp;"-001"</f>
        <v>disk-vmpfbpf2hmr04-001</v>
      </c>
      <c r="AE84" s="73">
        <v>32</v>
      </c>
      <c r="AF84" s="74" t="s">
        <v>65</v>
      </c>
      <c r="AG84" s="43" t="str">
        <f>"disk-"&amp;VmSpecs[[#This Row],[VM Name]]&amp;"-002"</f>
        <v>disk-vmpfbpf2hmr04-002</v>
      </c>
      <c r="AH84" s="59"/>
      <c r="AI84" s="42"/>
      <c r="AJ84" s="42"/>
      <c r="AK84" s="42"/>
      <c r="AL84" s="42" t="str">
        <f>MID(VmSpecs[[#This Row],[VM Name]],3,9)</f>
        <v>pfbpf2hmr</v>
      </c>
      <c r="AM84" s="42" t="str" cm="1">
        <f t="array" ref="AM84">_xlfn.TEXTJOIN(CHAR(10), TRUE, IF(NfsExports[FMO Single VM IP]=VmSpecs[[#This Row],[IP]],NfsExports[FMO Export Summary],""))</f>
        <v>/apps/pcehr 50GB</v>
      </c>
      <c r="AN84" s="43" t="str" cm="1">
        <f t="array" ref="AN8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84" s="42"/>
      <c r="AP84" s="42" t="str">
        <f>VmSpecs[[#This Row],[Description]]</f>
        <v>RLS N4</v>
      </c>
      <c r="AQ84" s="43"/>
      <c r="AR84" s="43" t="s">
        <v>64</v>
      </c>
      <c r="AS84" s="43" t="s">
        <v>64</v>
      </c>
      <c r="AT84" s="43" t="s">
        <v>64</v>
      </c>
      <c r="AU84" s="43" t="s">
        <v>64</v>
      </c>
      <c r="AV84" s="42" t="s">
        <v>66</v>
      </c>
      <c r="AW84" s="42" t="s">
        <v>67</v>
      </c>
      <c r="AX84" s="42" t="s">
        <v>68</v>
      </c>
      <c r="AY84" s="42" t="s">
        <v>64</v>
      </c>
      <c r="AZ84" s="42" t="s">
        <v>64</v>
      </c>
      <c r="BA8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"RLS N4"
Application Service: "HMR"
Lifecycle: "PFB"</v>
      </c>
      <c r="BB84" s="78" t="s">
        <v>267</v>
      </c>
      <c r="BC84" s="42" t="str">
        <f>VLOOKUP(VmSpecs[[#This Row],[Original Hostname (CMO)]],'SSOT Data'!A:AJ,36,FALSE)</f>
        <v>RLS N4</v>
      </c>
      <c r="BD84" s="43"/>
    </row>
    <row r="85" spans="1:56" ht="29" x14ac:dyDescent="0.35">
      <c r="A85" s="42" t="s">
        <v>58</v>
      </c>
      <c r="B85" s="42" t="str">
        <f>_xlfn.XLOOKUP(VmSpecs[[#This Row],[Subnet]],NetworkReference[Subnet],NetworkReference[Subscription])</f>
        <v>NINP-PERF2</v>
      </c>
      <c r="C85" s="43" t="str">
        <f>_xlfn.XLOOKUP(VmSpecs[[#This Row],[Subnet]],NetworkReference[Subnet],NetworkReference[Virtual Network Resource Group])</f>
        <v>rg-pf2-network-aue-001</v>
      </c>
      <c r="D85" s="43" t="str">
        <f>_xlfn.XLOOKUP(VmSpecs[[#This Row],[Subnet]],NetworkReference[Subnet],NetworkReference[Virtual Network])</f>
        <v>vnet-pf2-workload-aue-001</v>
      </c>
      <c r="E85" s="132" t="s">
        <v>59</v>
      </c>
      <c r="F85" s="43" t="str">
        <f>_xlfn.XLOOKUP(VmSpecs[[#This Row],[Subnet]],NetworkReference[Subnet],NetworkReference[Virtual Network Peering])</f>
        <v>vnet-ninp-conn-pnp-hub-aue</v>
      </c>
      <c r="G85" s="43" t="str">
        <f>_xlfn.XLOOKUP(VmSpecs[[#This Row],[Subnet]],NetworkReference[Subnet],NetworkReference[Route Table])</f>
        <v>rt-sn-pfb-aue-pf2-app</v>
      </c>
      <c r="H85" s="43" t="str">
        <f>LOWER(VLOOKUP(VmSpecs[[#This Row],[Original Hostname (CMO)]],'SSOT Data'!A:K,10,FALSE))</f>
        <v>hmr</v>
      </c>
      <c r="I8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85" s="44" t="s">
        <v>81</v>
      </c>
      <c r="K85" s="43" t="str">
        <f>_xlfn.CONCAT("vm",MID(VmSpecs[[#This Row],[Subnet]],4,3),VLOOKUP(VmSpecs[[#This Row],[Subscription]],NetworkReference[#All],2,FALSE),VmSpecs[[#This Row],[Service]],VmSpecs[[#This Row],[VM iteration (nn)]])</f>
        <v>vmpfbpf2hmr05</v>
      </c>
      <c r="L85" s="45" t="s">
        <v>61</v>
      </c>
      <c r="M85" s="43" t="str">
        <f>VmSpecs[[#This Row],[VM Name]]&amp;".ninp.myhealthrecord.gov.au"</f>
        <v>vmpfbpf2hmr05.ninp.myhealthrecord.gov.au</v>
      </c>
      <c r="N85" s="42" t="str">
        <f t="shared" si="1"/>
        <v>nic-001-vmpfbpf2hmr05</v>
      </c>
      <c r="O85" s="94" t="s">
        <v>268</v>
      </c>
      <c r="P85" s="46" t="s">
        <v>63</v>
      </c>
      <c r="Q85" s="42" t="str">
        <f>VLOOKUP(VmSpecs[[#This Row],[Original Hostname (CMO)]],'SSOT Data'!A:E,5,FALSE)</f>
        <v>OEL7.9</v>
      </c>
      <c r="R85" s="42"/>
      <c r="S85" s="42" t="str">
        <f>_xlfn.CONCAT("avail-",LEFT(VmSpecs[[#This Row],[VM Name]],LEN(VmSpecs[[#This Row],[VM Name]])-2))</f>
        <v>avail-vmpfbpf2hmr</v>
      </c>
      <c r="T85" s="42" t="str">
        <f>_xlfn.CONCAT("asg-",LEFT(VmSpecs[[#This Row],[VM Name]],LEN(VmSpecs[[#This Row],[VM Name]])-2))</f>
        <v>asg-vmpfbpf2hmr</v>
      </c>
      <c r="U85" s="42" t="str">
        <f>_xlfn.CONCAT("nsg-",VmSpecs[[#This Row],[Subnet]])</f>
        <v>nsg-sn-pfb-aue-pf2-app</v>
      </c>
      <c r="V85" s="42" t="s">
        <v>64</v>
      </c>
      <c r="W85" s="43" t="str">
        <f>VLOOKUP(VmSpecs[[#This Row],[Original Hostname (CMO)]],'SSOT Data'!A:AX,50,FALSE)</f>
        <v>Standard_D8s_v4</v>
      </c>
      <c r="X85" s="43">
        <v>64</v>
      </c>
      <c r="Y85" s="43" t="s">
        <v>65</v>
      </c>
      <c r="Z85" s="43" t="str">
        <f>"osdisk-"&amp;VmSpecs[[#This Row],[VM Name]]</f>
        <v>osdisk-vmpfbpf2hmr05</v>
      </c>
      <c r="AA85" s="47" t="s">
        <v>66</v>
      </c>
      <c r="AB85" s="73">
        <v>8</v>
      </c>
      <c r="AC85" s="74" t="s">
        <v>65</v>
      </c>
      <c r="AD85" s="75" t="str">
        <f>"disk-"&amp;VmSpecs[[#This Row],[VM Name]]&amp;"-001"</f>
        <v>disk-vmpfbpf2hmr05-001</v>
      </c>
      <c r="AE85" s="73">
        <v>32</v>
      </c>
      <c r="AF85" s="74" t="s">
        <v>65</v>
      </c>
      <c r="AG85" s="43" t="str">
        <f>"disk-"&amp;VmSpecs[[#This Row],[VM Name]]&amp;"-002"</f>
        <v>disk-vmpfbpf2hmr05-002</v>
      </c>
      <c r="AH85" s="59"/>
      <c r="AI85" s="42"/>
      <c r="AJ85" s="42"/>
      <c r="AK85" s="42"/>
      <c r="AL85" s="42" t="str">
        <f>MID(VmSpecs[[#This Row],[VM Name]],3,9)</f>
        <v>pfbpf2hmr</v>
      </c>
      <c r="AM85" s="42" t="str" cm="1">
        <f t="array" ref="AM85">_xlfn.TEXTJOIN(CHAR(10), TRUE, IF(NfsExports[FMO Single VM IP]=VmSpecs[[#This Row],[IP]],NfsExports[FMO Export Summary],""))</f>
        <v>/apps/pcehr 50GB</v>
      </c>
      <c r="AN85" s="43" t="str" cm="1">
        <f t="array" ref="AN8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85" s="42"/>
      <c r="AP85" s="42" t="str">
        <f>VmSpecs[[#This Row],[Description]]</f>
        <v>RLS N5</v>
      </c>
      <c r="AQ85" s="43"/>
      <c r="AR85" s="43" t="s">
        <v>64</v>
      </c>
      <c r="AS85" s="43" t="s">
        <v>64</v>
      </c>
      <c r="AT85" s="43" t="s">
        <v>64</v>
      </c>
      <c r="AU85" s="43" t="s">
        <v>64</v>
      </c>
      <c r="AV85" s="42" t="s">
        <v>66</v>
      </c>
      <c r="AW85" s="42" t="s">
        <v>67</v>
      </c>
      <c r="AX85" s="42" t="s">
        <v>68</v>
      </c>
      <c r="AY85" s="42" t="s">
        <v>64</v>
      </c>
      <c r="AZ85" s="42" t="s">
        <v>64</v>
      </c>
      <c r="BA8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"RLS N5"
Application Service: "HMR"
Lifecycle: "PFB"</v>
      </c>
      <c r="BB85" s="78" t="s">
        <v>269</v>
      </c>
      <c r="BC85" s="42" t="str">
        <f>VLOOKUP(VmSpecs[[#This Row],[Original Hostname (CMO)]],'SSOT Data'!A:AJ,36,FALSE)</f>
        <v>RLS N5</v>
      </c>
      <c r="BD85" s="43"/>
    </row>
    <row r="86" spans="1:56" ht="29" x14ac:dyDescent="0.35">
      <c r="A86" s="42" t="s">
        <v>58</v>
      </c>
      <c r="B86" s="42" t="str">
        <f>_xlfn.XLOOKUP(VmSpecs[[#This Row],[Subnet]],NetworkReference[Subnet],NetworkReference[Subscription])</f>
        <v>NINP-PERF2</v>
      </c>
      <c r="C86" s="43" t="str">
        <f>_xlfn.XLOOKUP(VmSpecs[[#This Row],[Subnet]],NetworkReference[Subnet],NetworkReference[Virtual Network Resource Group])</f>
        <v>rg-pf2-network-aue-001</v>
      </c>
      <c r="D86" s="43" t="str">
        <f>_xlfn.XLOOKUP(VmSpecs[[#This Row],[Subnet]],NetworkReference[Subnet],NetworkReference[Virtual Network])</f>
        <v>vnet-pf2-workload-aue-001</v>
      </c>
      <c r="E86" s="132" t="s">
        <v>59</v>
      </c>
      <c r="F86" s="43" t="str">
        <f>_xlfn.XLOOKUP(VmSpecs[[#This Row],[Subnet]],NetworkReference[Subnet],NetworkReference[Virtual Network Peering])</f>
        <v>vnet-ninp-conn-pnp-hub-aue</v>
      </c>
      <c r="G86" s="43" t="str">
        <f>_xlfn.XLOOKUP(VmSpecs[[#This Row],[Subnet]],NetworkReference[Subnet],NetworkReference[Route Table])</f>
        <v>rt-sn-pfb-aue-pf2-app</v>
      </c>
      <c r="H86" s="43" t="str">
        <f>LOWER(VLOOKUP(VmSpecs[[#This Row],[Original Hostname (CMO)]],'SSOT Data'!A:K,10,FALSE))</f>
        <v>hmr</v>
      </c>
      <c r="I8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86" s="44" t="s">
        <v>84</v>
      </c>
      <c r="K86" s="43" t="str">
        <f>_xlfn.CONCAT("vm",MID(VmSpecs[[#This Row],[Subnet]],4,3),VLOOKUP(VmSpecs[[#This Row],[Subscription]],NetworkReference[#All],2,FALSE),VmSpecs[[#This Row],[Service]],VmSpecs[[#This Row],[VM iteration (nn)]])</f>
        <v>vmpfbpf2hmr06</v>
      </c>
      <c r="L86" s="45" t="s">
        <v>61</v>
      </c>
      <c r="M86" s="43" t="str">
        <f>VmSpecs[[#This Row],[VM Name]]&amp;".ninp.myhealthrecord.gov.au"</f>
        <v>vmpfbpf2hmr06.ninp.myhealthrecord.gov.au</v>
      </c>
      <c r="N86" s="42" t="str">
        <f t="shared" si="1"/>
        <v>nic-001-vmpfbpf2hmr06</v>
      </c>
      <c r="O86" s="94" t="s">
        <v>270</v>
      </c>
      <c r="P86" s="46" t="s">
        <v>63</v>
      </c>
      <c r="Q86" s="42" t="str">
        <f>VLOOKUP(VmSpecs[[#This Row],[Original Hostname (CMO)]],'SSOT Data'!A:E,5,FALSE)</f>
        <v>OEL7.9</v>
      </c>
      <c r="R86" s="42"/>
      <c r="S86" s="42" t="str">
        <f>_xlfn.CONCAT("avail-",LEFT(VmSpecs[[#This Row],[VM Name]],LEN(VmSpecs[[#This Row],[VM Name]])-2))</f>
        <v>avail-vmpfbpf2hmr</v>
      </c>
      <c r="T86" s="42" t="str">
        <f>_xlfn.CONCAT("asg-",LEFT(VmSpecs[[#This Row],[VM Name]],LEN(VmSpecs[[#This Row],[VM Name]])-2))</f>
        <v>asg-vmpfbpf2hmr</v>
      </c>
      <c r="U86" s="42" t="str">
        <f>_xlfn.CONCAT("nsg-",VmSpecs[[#This Row],[Subnet]])</f>
        <v>nsg-sn-pfb-aue-pf2-app</v>
      </c>
      <c r="V86" s="42" t="s">
        <v>64</v>
      </c>
      <c r="W86" s="43" t="str">
        <f>VLOOKUP(VmSpecs[[#This Row],[Original Hostname (CMO)]],'SSOT Data'!A:AX,50,FALSE)</f>
        <v>Standard_D4s_v4</v>
      </c>
      <c r="X86" s="43">
        <v>64</v>
      </c>
      <c r="Y86" s="43" t="s">
        <v>65</v>
      </c>
      <c r="Z86" s="43" t="str">
        <f>"osdisk-"&amp;VmSpecs[[#This Row],[VM Name]]</f>
        <v>osdisk-vmpfbpf2hmr06</v>
      </c>
      <c r="AA86" s="47" t="s">
        <v>66</v>
      </c>
      <c r="AB86" s="73">
        <v>8</v>
      </c>
      <c r="AC86" s="74" t="s">
        <v>65</v>
      </c>
      <c r="AD86" s="75" t="str">
        <f>"disk-"&amp;VmSpecs[[#This Row],[VM Name]]&amp;"-001"</f>
        <v>disk-vmpfbpf2hmr06-001</v>
      </c>
      <c r="AE86" s="73">
        <v>32</v>
      </c>
      <c r="AF86" s="74" t="s">
        <v>65</v>
      </c>
      <c r="AG86" s="43" t="str">
        <f>"disk-"&amp;VmSpecs[[#This Row],[VM Name]]&amp;"-002"</f>
        <v>disk-vmpfbpf2hmr06-002</v>
      </c>
      <c r="AH86" s="59"/>
      <c r="AI86" s="42"/>
      <c r="AJ86" s="42"/>
      <c r="AK86" s="42"/>
      <c r="AL86" s="42" t="str">
        <f>MID(VmSpecs[[#This Row],[VM Name]],3,9)</f>
        <v>pfbpf2hmr</v>
      </c>
      <c r="AM86" s="42" t="str" cm="1">
        <f t="array" ref="AM86">_xlfn.TEXTJOIN(CHAR(10), TRUE, IF(NfsExports[FMO Single VM IP]=VmSpecs[[#This Row],[IP]],NfsExports[FMO Export Summary],""))</f>
        <v>/apps/pcehr 50GB</v>
      </c>
      <c r="AN86" s="43" t="str" cm="1">
        <f t="array" ref="AN8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86" s="42"/>
      <c r="AP86" s="42" t="str">
        <f>VmSpecs[[#This Row],[Description]]</f>
        <v>RLS N6</v>
      </c>
      <c r="AQ86" s="43"/>
      <c r="AR86" s="43" t="s">
        <v>64</v>
      </c>
      <c r="AS86" s="43" t="s">
        <v>64</v>
      </c>
      <c r="AT86" s="43" t="s">
        <v>64</v>
      </c>
      <c r="AU86" s="43" t="s">
        <v>64</v>
      </c>
      <c r="AV86" s="42" t="s">
        <v>66</v>
      </c>
      <c r="AW86" s="42" t="s">
        <v>67</v>
      </c>
      <c r="AX86" s="42" t="s">
        <v>68</v>
      </c>
      <c r="AY86" s="42" t="s">
        <v>64</v>
      </c>
      <c r="AZ86" s="42" t="s">
        <v>64</v>
      </c>
      <c r="BA8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"RLS N6"
Application Service: "HMR"
Lifecycle: "PFB"</v>
      </c>
      <c r="BB86" s="78" t="s">
        <v>271</v>
      </c>
      <c r="BC86" s="42" t="str">
        <f>VLOOKUP(VmSpecs[[#This Row],[Original Hostname (CMO)]],'SSOT Data'!A:AJ,36,FALSE)</f>
        <v>RLS N6</v>
      </c>
      <c r="BD86" s="43"/>
    </row>
    <row r="87" spans="1:56" ht="29" x14ac:dyDescent="0.35">
      <c r="A87" s="42" t="s">
        <v>58</v>
      </c>
      <c r="B87" s="42" t="str">
        <f>_xlfn.XLOOKUP(VmSpecs[[#This Row],[Subnet]],NetworkReference[Subnet],NetworkReference[Subscription])</f>
        <v>NINP-PERF2</v>
      </c>
      <c r="C87" s="43" t="str">
        <f>_xlfn.XLOOKUP(VmSpecs[[#This Row],[Subnet]],NetworkReference[Subnet],NetworkReference[Virtual Network Resource Group])</f>
        <v>rg-pf2-network-aue-001</v>
      </c>
      <c r="D87" s="43" t="str">
        <f>_xlfn.XLOOKUP(VmSpecs[[#This Row],[Subnet]],NetworkReference[Subnet],NetworkReference[Virtual Network])</f>
        <v>vnet-pf2-workload-aue-001</v>
      </c>
      <c r="E87" s="132" t="s">
        <v>59</v>
      </c>
      <c r="F87" s="43" t="str">
        <f>_xlfn.XLOOKUP(VmSpecs[[#This Row],[Subnet]],NetworkReference[Subnet],NetworkReference[Virtual Network Peering])</f>
        <v>vnet-ninp-conn-pnp-hub-aue</v>
      </c>
      <c r="G87" s="43" t="str">
        <f>_xlfn.XLOOKUP(VmSpecs[[#This Row],[Subnet]],NetworkReference[Subnet],NetworkReference[Route Table])</f>
        <v>rt-sn-pfb-aue-pf2-app</v>
      </c>
      <c r="H87" s="43" t="str">
        <f>LOWER(VLOOKUP(VmSpecs[[#This Row],[Original Hostname (CMO)]],'SSOT Data'!A:K,10,FALSE))</f>
        <v>hmr</v>
      </c>
      <c r="I8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87" s="44" t="s">
        <v>99</v>
      </c>
      <c r="K87" s="43" t="str">
        <f>_xlfn.CONCAT("vm",MID(VmSpecs[[#This Row],[Subnet]],4,3),VLOOKUP(VmSpecs[[#This Row],[Subscription]],NetworkReference[#All],2,FALSE),VmSpecs[[#This Row],[Service]],VmSpecs[[#This Row],[VM iteration (nn)]])</f>
        <v>vmpfbpf2hmr07</v>
      </c>
      <c r="L87" s="45" t="s">
        <v>61</v>
      </c>
      <c r="M87" s="43" t="str">
        <f>VmSpecs[[#This Row],[VM Name]]&amp;".ninp.myhealthrecord.gov.au"</f>
        <v>vmpfbpf2hmr07.ninp.myhealthrecord.gov.au</v>
      </c>
      <c r="N87" s="42" t="str">
        <f t="shared" si="1"/>
        <v>nic-001-vmpfbpf2hmr07</v>
      </c>
      <c r="O87" s="94" t="s">
        <v>272</v>
      </c>
      <c r="P87" s="46" t="s">
        <v>63</v>
      </c>
      <c r="Q87" s="42" t="str">
        <f>VLOOKUP(VmSpecs[[#This Row],[Original Hostname (CMO)]],'SSOT Data'!A:E,5,FALSE)</f>
        <v>OEL7.9</v>
      </c>
      <c r="R87" s="42"/>
      <c r="S87" s="42" t="str">
        <f>_xlfn.CONCAT("avail-",LEFT(VmSpecs[[#This Row],[VM Name]],LEN(VmSpecs[[#This Row],[VM Name]])-2))</f>
        <v>avail-vmpfbpf2hmr</v>
      </c>
      <c r="T87" s="42" t="str">
        <f>_xlfn.CONCAT("asg-",LEFT(VmSpecs[[#This Row],[VM Name]],LEN(VmSpecs[[#This Row],[VM Name]])-2))</f>
        <v>asg-vmpfbpf2hmr</v>
      </c>
      <c r="U87" s="42" t="str">
        <f>_xlfn.CONCAT("nsg-",VmSpecs[[#This Row],[Subnet]])</f>
        <v>nsg-sn-pfb-aue-pf2-app</v>
      </c>
      <c r="V87" s="42" t="s">
        <v>64</v>
      </c>
      <c r="W87" s="43" t="str">
        <f>VLOOKUP(VmSpecs[[#This Row],[Original Hostname (CMO)]],'SSOT Data'!A:AX,50,FALSE)</f>
        <v>Standard_D4s_v4</v>
      </c>
      <c r="X87" s="43">
        <v>64</v>
      </c>
      <c r="Y87" s="43" t="s">
        <v>65</v>
      </c>
      <c r="Z87" s="43" t="str">
        <f>"osdisk-"&amp;VmSpecs[[#This Row],[VM Name]]</f>
        <v>osdisk-vmpfbpf2hmr07</v>
      </c>
      <c r="AA87" s="47" t="s">
        <v>66</v>
      </c>
      <c r="AB87" s="73">
        <v>8</v>
      </c>
      <c r="AC87" s="74" t="s">
        <v>65</v>
      </c>
      <c r="AD87" s="75" t="str">
        <f>"disk-"&amp;VmSpecs[[#This Row],[VM Name]]&amp;"-001"</f>
        <v>disk-vmpfbpf2hmr07-001</v>
      </c>
      <c r="AE87" s="73">
        <v>32</v>
      </c>
      <c r="AF87" s="74" t="s">
        <v>65</v>
      </c>
      <c r="AG87" s="43" t="str">
        <f>"disk-"&amp;VmSpecs[[#This Row],[VM Name]]&amp;"-002"</f>
        <v>disk-vmpfbpf2hmr07-002</v>
      </c>
      <c r="AH87" s="59"/>
      <c r="AI87" s="42"/>
      <c r="AJ87" s="42"/>
      <c r="AK87" s="42"/>
      <c r="AL87" s="42" t="str">
        <f>MID(VmSpecs[[#This Row],[VM Name]],3,9)</f>
        <v>pfbpf2hmr</v>
      </c>
      <c r="AM87" s="42" t="str" cm="1">
        <f t="array" ref="AM87">_xlfn.TEXTJOIN(CHAR(10), TRUE, IF(NfsExports[FMO Single VM IP]=VmSpecs[[#This Row],[IP]],NfsExports[FMO Export Summary],""))</f>
        <v>/apps/pcehr 50GB</v>
      </c>
      <c r="AN87" s="43" t="str" cm="1">
        <f t="array" ref="AN8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87" s="42"/>
      <c r="AP87" s="42" t="str">
        <f>VmSpecs[[#This Row],[Description]]</f>
        <v>RLS N7</v>
      </c>
      <c r="AQ87" s="43"/>
      <c r="AR87" s="43" t="s">
        <v>64</v>
      </c>
      <c r="AS87" s="43" t="s">
        <v>64</v>
      </c>
      <c r="AT87" s="43" t="s">
        <v>64</v>
      </c>
      <c r="AU87" s="43" t="s">
        <v>64</v>
      </c>
      <c r="AV87" s="42" t="s">
        <v>66</v>
      </c>
      <c r="AW87" s="42" t="s">
        <v>67</v>
      </c>
      <c r="AX87" s="42" t="s">
        <v>68</v>
      </c>
      <c r="AY87" s="42" t="s">
        <v>64</v>
      </c>
      <c r="AZ87" s="42" t="s">
        <v>64</v>
      </c>
      <c r="BA8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"RLS N7"
Application Service: "HMR"
Lifecycle: "PFB"</v>
      </c>
      <c r="BB87" s="78" t="s">
        <v>273</v>
      </c>
      <c r="BC87" s="42" t="str">
        <f>VLOOKUP(VmSpecs[[#This Row],[Original Hostname (CMO)]],'SSOT Data'!A:AJ,36,FALSE)</f>
        <v>RLS N7</v>
      </c>
      <c r="BD87" s="43"/>
    </row>
    <row r="88" spans="1:56" ht="29" x14ac:dyDescent="0.35">
      <c r="A88" s="42" t="s">
        <v>58</v>
      </c>
      <c r="B88" s="42" t="str">
        <f>_xlfn.XLOOKUP(VmSpecs[[#This Row],[Subnet]],NetworkReference[Subnet],NetworkReference[Subscription])</f>
        <v>NINP-PERF2</v>
      </c>
      <c r="C88" s="43" t="str">
        <f>_xlfn.XLOOKUP(VmSpecs[[#This Row],[Subnet]],NetworkReference[Subnet],NetworkReference[Virtual Network Resource Group])</f>
        <v>rg-pf2-network-aue-001</v>
      </c>
      <c r="D88" s="43" t="str">
        <f>_xlfn.XLOOKUP(VmSpecs[[#This Row],[Subnet]],NetworkReference[Subnet],NetworkReference[Virtual Network])</f>
        <v>vnet-pf2-workload-aue-001</v>
      </c>
      <c r="E88" s="132" t="s">
        <v>59</v>
      </c>
      <c r="F88" s="43" t="str">
        <f>_xlfn.XLOOKUP(VmSpecs[[#This Row],[Subnet]],NetworkReference[Subnet],NetworkReference[Virtual Network Peering])</f>
        <v>vnet-ninp-conn-pnp-hub-aue</v>
      </c>
      <c r="G88" s="43" t="str">
        <f>_xlfn.XLOOKUP(VmSpecs[[#This Row],[Subnet]],NetworkReference[Subnet],NetworkReference[Route Table])</f>
        <v>rt-sn-pfb-aue-pf2-app</v>
      </c>
      <c r="H88" s="43" t="str">
        <f>LOWER(VLOOKUP(VmSpecs[[#This Row],[Original Hostname (CMO)]],'SSOT Data'!A:K,10,FALSE))</f>
        <v>hmr</v>
      </c>
      <c r="I8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88" s="44" t="s">
        <v>102</v>
      </c>
      <c r="K88" s="43" t="str">
        <f>_xlfn.CONCAT("vm",MID(VmSpecs[[#This Row],[Subnet]],4,3),VLOOKUP(VmSpecs[[#This Row],[Subscription]],NetworkReference[#All],2,FALSE),VmSpecs[[#This Row],[Service]],VmSpecs[[#This Row],[VM iteration (nn)]])</f>
        <v>vmpfbpf2hmr08</v>
      </c>
      <c r="L88" s="45" t="s">
        <v>61</v>
      </c>
      <c r="M88" s="43" t="str">
        <f>VmSpecs[[#This Row],[VM Name]]&amp;".ninp.myhealthrecord.gov.au"</f>
        <v>vmpfbpf2hmr08.ninp.myhealthrecord.gov.au</v>
      </c>
      <c r="N88" s="42" t="str">
        <f t="shared" si="1"/>
        <v>nic-001-vmpfbpf2hmr08</v>
      </c>
      <c r="O88" s="94" t="s">
        <v>274</v>
      </c>
      <c r="P88" s="46" t="s">
        <v>63</v>
      </c>
      <c r="Q88" s="42" t="str">
        <f>VLOOKUP(VmSpecs[[#This Row],[Original Hostname (CMO)]],'SSOT Data'!A:E,5,FALSE)</f>
        <v>OEL7.9</v>
      </c>
      <c r="R88" s="42"/>
      <c r="S88" s="42" t="str">
        <f>_xlfn.CONCAT("avail-",LEFT(VmSpecs[[#This Row],[VM Name]],LEN(VmSpecs[[#This Row],[VM Name]])-2))</f>
        <v>avail-vmpfbpf2hmr</v>
      </c>
      <c r="T88" s="42" t="str">
        <f>_xlfn.CONCAT("asg-",LEFT(VmSpecs[[#This Row],[VM Name]],LEN(VmSpecs[[#This Row],[VM Name]])-2))</f>
        <v>asg-vmpfbpf2hmr</v>
      </c>
      <c r="U88" s="42" t="str">
        <f>_xlfn.CONCAT("nsg-",VmSpecs[[#This Row],[Subnet]])</f>
        <v>nsg-sn-pfb-aue-pf2-app</v>
      </c>
      <c r="V88" s="42" t="s">
        <v>64</v>
      </c>
      <c r="W88" s="43" t="str">
        <f>VLOOKUP(VmSpecs[[#This Row],[Original Hostname (CMO)]],'SSOT Data'!A:AX,50,FALSE)</f>
        <v>Standard_D4s_v4</v>
      </c>
      <c r="X88" s="43">
        <v>64</v>
      </c>
      <c r="Y88" s="43" t="s">
        <v>65</v>
      </c>
      <c r="Z88" s="43" t="str">
        <f>"osdisk-"&amp;VmSpecs[[#This Row],[VM Name]]</f>
        <v>osdisk-vmpfbpf2hmr08</v>
      </c>
      <c r="AA88" s="47" t="s">
        <v>66</v>
      </c>
      <c r="AB88" s="73">
        <v>8</v>
      </c>
      <c r="AC88" s="74" t="s">
        <v>65</v>
      </c>
      <c r="AD88" s="75" t="str">
        <f>"disk-"&amp;VmSpecs[[#This Row],[VM Name]]&amp;"-001"</f>
        <v>disk-vmpfbpf2hmr08-001</v>
      </c>
      <c r="AE88" s="73">
        <v>32</v>
      </c>
      <c r="AF88" s="74" t="s">
        <v>65</v>
      </c>
      <c r="AG88" s="43" t="str">
        <f>"disk-"&amp;VmSpecs[[#This Row],[VM Name]]&amp;"-002"</f>
        <v>disk-vmpfbpf2hmr08-002</v>
      </c>
      <c r="AH88" s="59"/>
      <c r="AI88" s="42"/>
      <c r="AJ88" s="42"/>
      <c r="AK88" s="42"/>
      <c r="AL88" s="42" t="str">
        <f>MID(VmSpecs[[#This Row],[VM Name]],3,9)</f>
        <v>pfbpf2hmr</v>
      </c>
      <c r="AM88" s="42" t="str" cm="1">
        <f t="array" ref="AM88">_xlfn.TEXTJOIN(CHAR(10), TRUE, IF(NfsExports[FMO Single VM IP]=VmSpecs[[#This Row],[IP]],NfsExports[FMO Export Summary],""))</f>
        <v>/apps/pcehr 50GB</v>
      </c>
      <c r="AN88" s="43" t="str" cm="1">
        <f t="array" ref="AN8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88" s="42"/>
      <c r="AP88" s="42" t="str">
        <f>VmSpecs[[#This Row],[Description]]</f>
        <v>RLS N8</v>
      </c>
      <c r="AQ88" s="43"/>
      <c r="AR88" s="43" t="s">
        <v>64</v>
      </c>
      <c r="AS88" s="43" t="s">
        <v>64</v>
      </c>
      <c r="AT88" s="43" t="s">
        <v>64</v>
      </c>
      <c r="AU88" s="43" t="s">
        <v>64</v>
      </c>
      <c r="AV88" s="42" t="s">
        <v>66</v>
      </c>
      <c r="AW88" s="42" t="s">
        <v>67</v>
      </c>
      <c r="AX88" s="42" t="s">
        <v>68</v>
      </c>
      <c r="AY88" s="42" t="s">
        <v>64</v>
      </c>
      <c r="AZ88" s="42" t="s">
        <v>64</v>
      </c>
      <c r="BA8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"RLS N8"
Application Service: "HMR"
Lifecycle: "PFB"</v>
      </c>
      <c r="BB88" s="78" t="s">
        <v>275</v>
      </c>
      <c r="BC88" s="42" t="str">
        <f>VLOOKUP(VmSpecs[[#This Row],[Original Hostname (CMO)]],'SSOT Data'!A:AJ,36,FALSE)</f>
        <v>RLS N8</v>
      </c>
      <c r="BD88" s="43"/>
    </row>
    <row r="89" spans="1:56" ht="29" x14ac:dyDescent="0.35">
      <c r="A89" s="42" t="s">
        <v>58</v>
      </c>
      <c r="B89" s="42" t="str">
        <f>_xlfn.XLOOKUP(VmSpecs[[#This Row],[Subnet]],NetworkReference[Subnet],NetworkReference[Subscription])</f>
        <v>NINP-PERF2</v>
      </c>
      <c r="C89" s="43" t="str">
        <f>_xlfn.XLOOKUP(VmSpecs[[#This Row],[Subnet]],NetworkReference[Subnet],NetworkReference[Virtual Network Resource Group])</f>
        <v>rg-pf2-network-aue-001</v>
      </c>
      <c r="D89" s="43" t="str">
        <f>_xlfn.XLOOKUP(VmSpecs[[#This Row],[Subnet]],NetworkReference[Subnet],NetworkReference[Virtual Network])</f>
        <v>vnet-pf2-workload-aue-001</v>
      </c>
      <c r="E89" s="132" t="s">
        <v>59</v>
      </c>
      <c r="F89" s="43" t="str">
        <f>_xlfn.XLOOKUP(VmSpecs[[#This Row],[Subnet]],NetworkReference[Subnet],NetworkReference[Virtual Network Peering])</f>
        <v>vnet-ninp-conn-pnp-hub-aue</v>
      </c>
      <c r="G89" s="43" t="str">
        <f>_xlfn.XLOOKUP(VmSpecs[[#This Row],[Subnet]],NetworkReference[Subnet],NetworkReference[Route Table])</f>
        <v>rt-sn-pfb-aue-pf2-app</v>
      </c>
      <c r="H89" s="43" t="str">
        <f>LOWER(VLOOKUP(VmSpecs[[#This Row],[Original Hostname (CMO)]],'SSOT Data'!A:K,10,FALSE))</f>
        <v>hmr</v>
      </c>
      <c r="I8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89" s="44" t="s">
        <v>129</v>
      </c>
      <c r="K89" s="43" t="str">
        <f>_xlfn.CONCAT("vm",MID(VmSpecs[[#This Row],[Subnet]],4,3),VLOOKUP(VmSpecs[[#This Row],[Subscription]],NetworkReference[#All],2,FALSE),VmSpecs[[#This Row],[Service]],VmSpecs[[#This Row],[VM iteration (nn)]])</f>
        <v>vmpfbpf2hmr09</v>
      </c>
      <c r="L89" s="45" t="s">
        <v>61</v>
      </c>
      <c r="M89" s="43" t="str">
        <f>VmSpecs[[#This Row],[VM Name]]&amp;".ninp.myhealthrecord.gov.au"</f>
        <v>vmpfbpf2hmr09.ninp.myhealthrecord.gov.au</v>
      </c>
      <c r="N89" s="42" t="str">
        <f t="shared" si="1"/>
        <v>nic-001-vmpfbpf2hmr09</v>
      </c>
      <c r="O89" s="94" t="s">
        <v>276</v>
      </c>
      <c r="P89" s="46" t="s">
        <v>63</v>
      </c>
      <c r="Q89" s="42" t="str">
        <f>VLOOKUP(VmSpecs[[#This Row],[Original Hostname (CMO)]],'SSOT Data'!A:E,5,FALSE)</f>
        <v>OEL7.9</v>
      </c>
      <c r="R89" s="42"/>
      <c r="S89" s="42" t="str">
        <f>_xlfn.CONCAT("avail-",LEFT(VmSpecs[[#This Row],[VM Name]],LEN(VmSpecs[[#This Row],[VM Name]])-2))</f>
        <v>avail-vmpfbpf2hmr</v>
      </c>
      <c r="T89" s="42" t="str">
        <f>_xlfn.CONCAT("asg-",LEFT(VmSpecs[[#This Row],[VM Name]],LEN(VmSpecs[[#This Row],[VM Name]])-2))</f>
        <v>asg-vmpfbpf2hmr</v>
      </c>
      <c r="U89" s="42" t="str">
        <f>_xlfn.CONCAT("nsg-",VmSpecs[[#This Row],[Subnet]])</f>
        <v>nsg-sn-pfb-aue-pf2-app</v>
      </c>
      <c r="V89" s="42" t="s">
        <v>64</v>
      </c>
      <c r="W89" s="43" t="str">
        <f>VLOOKUP(VmSpecs[[#This Row],[Original Hostname (CMO)]],'SSOT Data'!A:AX,50,FALSE)</f>
        <v>Standard_D4s_v4</v>
      </c>
      <c r="X89" s="43">
        <v>64</v>
      </c>
      <c r="Y89" s="43" t="s">
        <v>65</v>
      </c>
      <c r="Z89" s="43" t="str">
        <f>"osdisk-"&amp;VmSpecs[[#This Row],[VM Name]]</f>
        <v>osdisk-vmpfbpf2hmr09</v>
      </c>
      <c r="AA89" s="47" t="s">
        <v>66</v>
      </c>
      <c r="AB89" s="73">
        <v>8</v>
      </c>
      <c r="AC89" s="74" t="s">
        <v>65</v>
      </c>
      <c r="AD89" s="75" t="str">
        <f>"disk-"&amp;VmSpecs[[#This Row],[VM Name]]&amp;"-001"</f>
        <v>disk-vmpfbpf2hmr09-001</v>
      </c>
      <c r="AE89" s="73">
        <v>32</v>
      </c>
      <c r="AF89" s="74" t="s">
        <v>65</v>
      </c>
      <c r="AG89" s="43" t="str">
        <f>"disk-"&amp;VmSpecs[[#This Row],[VM Name]]&amp;"-002"</f>
        <v>disk-vmpfbpf2hmr09-002</v>
      </c>
      <c r="AH89" s="59"/>
      <c r="AI89" s="42"/>
      <c r="AJ89" s="42"/>
      <c r="AK89" s="42"/>
      <c r="AL89" s="42" t="str">
        <f>MID(VmSpecs[[#This Row],[VM Name]],3,9)</f>
        <v>pfbpf2hmr</v>
      </c>
      <c r="AM89" s="42" t="str" cm="1">
        <f t="array" ref="AM89">_xlfn.TEXTJOIN(CHAR(10), TRUE, IF(NfsExports[FMO Single VM IP]=VmSpecs[[#This Row],[IP]],NfsExports[FMO Export Summary],""))</f>
        <v>/apps/pcehr 50GB</v>
      </c>
      <c r="AN89" s="43" t="str" cm="1">
        <f t="array" ref="AN8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89" s="42"/>
      <c r="AP89" s="42" t="str">
        <f>VmSpecs[[#This Row],[Description]]</f>
        <v>RLS N9</v>
      </c>
      <c r="AQ89" s="43"/>
      <c r="AR89" s="43" t="s">
        <v>64</v>
      </c>
      <c r="AS89" s="43" t="s">
        <v>64</v>
      </c>
      <c r="AT89" s="43" t="s">
        <v>64</v>
      </c>
      <c r="AU89" s="43" t="s">
        <v>64</v>
      </c>
      <c r="AV89" s="42" t="s">
        <v>66</v>
      </c>
      <c r="AW89" s="42" t="s">
        <v>67</v>
      </c>
      <c r="AX89" s="42" t="s">
        <v>68</v>
      </c>
      <c r="AY89" s="42" t="s">
        <v>64</v>
      </c>
      <c r="AZ89" s="42" t="s">
        <v>64</v>
      </c>
      <c r="BA8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"RLS N9"
Application Service: "HMR"
Lifecycle: "PFB"</v>
      </c>
      <c r="BB89" s="78" t="s">
        <v>277</v>
      </c>
      <c r="BC89" s="42" t="str">
        <f>VLOOKUP(VmSpecs[[#This Row],[Original Hostname (CMO)]],'SSOT Data'!A:AJ,36,FALSE)</f>
        <v>RLS N9</v>
      </c>
      <c r="BD89" s="43"/>
    </row>
    <row r="90" spans="1:56" ht="29" x14ac:dyDescent="0.35">
      <c r="A90" s="42" t="s">
        <v>58</v>
      </c>
      <c r="B90" s="42" t="str">
        <f>_xlfn.XLOOKUP(VmSpecs[[#This Row],[Subnet]],NetworkReference[Subnet],NetworkReference[Subscription])</f>
        <v>NINP-PERF2</v>
      </c>
      <c r="C90" s="43" t="str">
        <f>_xlfn.XLOOKUP(VmSpecs[[#This Row],[Subnet]],NetworkReference[Subnet],NetworkReference[Virtual Network Resource Group])</f>
        <v>rg-pf2-network-aue-001</v>
      </c>
      <c r="D90" s="43" t="str">
        <f>_xlfn.XLOOKUP(VmSpecs[[#This Row],[Subnet]],NetworkReference[Subnet],NetworkReference[Virtual Network])</f>
        <v>vnet-pf2-workload-aue-001</v>
      </c>
      <c r="E90" s="132" t="s">
        <v>59</v>
      </c>
      <c r="F90" s="43" t="str">
        <f>_xlfn.XLOOKUP(VmSpecs[[#This Row],[Subnet]],NetworkReference[Subnet],NetworkReference[Virtual Network Peering])</f>
        <v>vnet-ninp-conn-pnp-hub-aue</v>
      </c>
      <c r="G90" s="43" t="str">
        <f>_xlfn.XLOOKUP(VmSpecs[[#This Row],[Subnet]],NetworkReference[Subnet],NetworkReference[Route Table])</f>
        <v>rt-sn-pfb-aue-pf2-app</v>
      </c>
      <c r="H90" s="43" t="str">
        <f>LOWER(VLOOKUP(VmSpecs[[#This Row],[Original Hostname (CMO)]],'SSOT Data'!A:K,10,FALSE))</f>
        <v>hmr</v>
      </c>
      <c r="I9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90" s="44" t="s">
        <v>132</v>
      </c>
      <c r="K90" s="43" t="str">
        <f>_xlfn.CONCAT("vm",MID(VmSpecs[[#This Row],[Subnet]],4,3),VLOOKUP(VmSpecs[[#This Row],[Subscription]],NetworkReference[#All],2,FALSE),VmSpecs[[#This Row],[Service]],VmSpecs[[#This Row],[VM iteration (nn)]])</f>
        <v>vmpfbpf2hmr10</v>
      </c>
      <c r="L90" s="45" t="s">
        <v>61</v>
      </c>
      <c r="M90" s="43" t="str">
        <f>VmSpecs[[#This Row],[VM Name]]&amp;".ninp.myhealthrecord.gov.au"</f>
        <v>vmpfbpf2hmr10.ninp.myhealthrecord.gov.au</v>
      </c>
      <c r="N90" s="42" t="str">
        <f t="shared" si="1"/>
        <v>nic-001-vmpfbpf2hmr10</v>
      </c>
      <c r="O90" s="94" t="s">
        <v>278</v>
      </c>
      <c r="P90" s="46" t="s">
        <v>63</v>
      </c>
      <c r="Q90" s="42" t="str">
        <f>VLOOKUP(VmSpecs[[#This Row],[Original Hostname (CMO)]],'SSOT Data'!A:E,5,FALSE)</f>
        <v>OEL7.9</v>
      </c>
      <c r="R90" s="42"/>
      <c r="S90" s="42" t="str">
        <f>_xlfn.CONCAT("avail-",LEFT(VmSpecs[[#This Row],[VM Name]],LEN(VmSpecs[[#This Row],[VM Name]])-2))</f>
        <v>avail-vmpfbpf2hmr</v>
      </c>
      <c r="T90" s="42" t="str">
        <f>_xlfn.CONCAT("asg-",LEFT(VmSpecs[[#This Row],[VM Name]],LEN(VmSpecs[[#This Row],[VM Name]])-2))</f>
        <v>asg-vmpfbpf2hmr</v>
      </c>
      <c r="U90" s="42" t="str">
        <f>_xlfn.CONCAT("nsg-",VmSpecs[[#This Row],[Subnet]])</f>
        <v>nsg-sn-pfb-aue-pf2-app</v>
      </c>
      <c r="V90" s="42" t="s">
        <v>64</v>
      </c>
      <c r="W90" s="43" t="str">
        <f>VLOOKUP(VmSpecs[[#This Row],[Original Hostname (CMO)]],'SSOT Data'!A:AX,50,FALSE)</f>
        <v>Standard_D4s_v4</v>
      </c>
      <c r="X90" s="43">
        <v>64</v>
      </c>
      <c r="Y90" s="43" t="s">
        <v>65</v>
      </c>
      <c r="Z90" s="43" t="str">
        <f>"osdisk-"&amp;VmSpecs[[#This Row],[VM Name]]</f>
        <v>osdisk-vmpfbpf2hmr10</v>
      </c>
      <c r="AA90" s="47" t="s">
        <v>66</v>
      </c>
      <c r="AB90" s="73">
        <v>8</v>
      </c>
      <c r="AC90" s="74" t="s">
        <v>65</v>
      </c>
      <c r="AD90" s="75" t="str">
        <f>"disk-"&amp;VmSpecs[[#This Row],[VM Name]]&amp;"-001"</f>
        <v>disk-vmpfbpf2hmr10-001</v>
      </c>
      <c r="AE90" s="73">
        <v>32</v>
      </c>
      <c r="AF90" s="74" t="s">
        <v>65</v>
      </c>
      <c r="AG90" s="43" t="str">
        <f>"disk-"&amp;VmSpecs[[#This Row],[VM Name]]&amp;"-002"</f>
        <v>disk-vmpfbpf2hmr10-002</v>
      </c>
      <c r="AH90" s="59"/>
      <c r="AI90" s="42"/>
      <c r="AJ90" s="42"/>
      <c r="AK90" s="42"/>
      <c r="AL90" s="42" t="str">
        <f>MID(VmSpecs[[#This Row],[VM Name]],3,9)</f>
        <v>pfbpf2hmr</v>
      </c>
      <c r="AM90" s="42" t="str" cm="1">
        <f t="array" ref="AM90">_xlfn.TEXTJOIN(CHAR(10), TRUE, IF(NfsExports[FMO Single VM IP]=VmSpecs[[#This Row],[IP]],NfsExports[FMO Export Summary],""))</f>
        <v>/apps/pcehr 50GB</v>
      </c>
      <c r="AN90" s="43" t="str" cm="1">
        <f t="array" ref="AN9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90" s="42"/>
      <c r="AP90" s="42" t="str">
        <f>VmSpecs[[#This Row],[Description]]</f>
        <v>RLS N10</v>
      </c>
      <c r="AQ90" s="43"/>
      <c r="AR90" s="43" t="s">
        <v>64</v>
      </c>
      <c r="AS90" s="43" t="s">
        <v>64</v>
      </c>
      <c r="AT90" s="43" t="s">
        <v>64</v>
      </c>
      <c r="AU90" s="43" t="s">
        <v>64</v>
      </c>
      <c r="AV90" s="42" t="s">
        <v>66</v>
      </c>
      <c r="AW90" s="42" t="s">
        <v>67</v>
      </c>
      <c r="AX90" s="42" t="s">
        <v>68</v>
      </c>
      <c r="AY90" s="42" t="s">
        <v>64</v>
      </c>
      <c r="AZ90" s="42" t="s">
        <v>64</v>
      </c>
      <c r="BA9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"RLS N10"
Application Service: "HMR"
Lifecycle: "PFB"</v>
      </c>
      <c r="BB90" s="78" t="s">
        <v>279</v>
      </c>
      <c r="BC90" s="42" t="str">
        <f>VLOOKUP(VmSpecs[[#This Row],[Original Hostname (CMO)]],'SSOT Data'!A:AJ,36,FALSE)</f>
        <v>RLS N10</v>
      </c>
      <c r="BD90" s="43"/>
    </row>
    <row r="91" spans="1:56" ht="29" x14ac:dyDescent="0.35">
      <c r="A91" s="42"/>
      <c r="B91" s="42" t="str">
        <f>_xlfn.XLOOKUP(VmSpecs[[#This Row],[Subnet]],NetworkReference[Subnet],NetworkReference[Subscription])</f>
        <v>NINP-PERF2</v>
      </c>
      <c r="C91" s="43" t="str">
        <f>_xlfn.XLOOKUP(VmSpecs[[#This Row],[Subnet]],NetworkReference[Subnet],NetworkReference[Virtual Network Resource Group])</f>
        <v>rg-pf2-network-aue-001</v>
      </c>
      <c r="D91" s="43" t="str">
        <f>_xlfn.XLOOKUP(VmSpecs[[#This Row],[Subnet]],NetworkReference[Subnet],NetworkReference[Virtual Network])</f>
        <v>vnet-pf2-workload-aue-001</v>
      </c>
      <c r="E91" s="132" t="s">
        <v>59</v>
      </c>
      <c r="F91" s="43" t="str">
        <f>_xlfn.XLOOKUP(VmSpecs[[#This Row],[Subnet]],NetworkReference[Subnet],NetworkReference[Virtual Network Peering])</f>
        <v>vnet-ninp-conn-pnp-hub-aue</v>
      </c>
      <c r="G91" s="43" t="str">
        <f>_xlfn.XLOOKUP(VmSpecs[[#This Row],[Subnet]],NetworkReference[Subnet],NetworkReference[Route Table])</f>
        <v>rt-sn-pfb-aue-pf2-app</v>
      </c>
      <c r="H91" s="43" t="str">
        <f>LOWER(VLOOKUP(VmSpecs[[#This Row],[Original Hostname (CMO)]],'SSOT Data'!A:K,10,FALSE))</f>
        <v>hmr</v>
      </c>
      <c r="I9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91" s="44" t="s">
        <v>135</v>
      </c>
      <c r="K91" s="43" t="str">
        <f>_xlfn.CONCAT("vm",MID(VmSpecs[[#This Row],[Subnet]],4,3),VLOOKUP(VmSpecs[[#This Row],[Subscription]],NetworkReference[#All],2,FALSE),VmSpecs[[#This Row],[Service]],VmSpecs[[#This Row],[VM iteration (nn)]])</f>
        <v>vmpfbpf2hmr11</v>
      </c>
      <c r="L91" s="45" t="s">
        <v>61</v>
      </c>
      <c r="M91" s="43" t="str">
        <f>VmSpecs[[#This Row],[VM Name]]&amp;".ninp.myhealthrecord.gov.au"</f>
        <v>vmpfbpf2hmr11.ninp.myhealthrecord.gov.au</v>
      </c>
      <c r="N91" s="42" t="str">
        <f t="shared" si="1"/>
        <v>nic-001-vmpfbpf2hmr11</v>
      </c>
      <c r="O91" s="94" t="s">
        <v>280</v>
      </c>
      <c r="P91" s="46" t="s">
        <v>63</v>
      </c>
      <c r="Q91" s="42" t="str">
        <f>VLOOKUP(VmSpecs[[#This Row],[Original Hostname (CMO)]],'SSOT Data'!A:E,5,FALSE)</f>
        <v>OEL7.9</v>
      </c>
      <c r="R91" s="42"/>
      <c r="S91" s="42" t="str">
        <f>_xlfn.CONCAT("avail-",LEFT(VmSpecs[[#This Row],[VM Name]],LEN(VmSpecs[[#This Row],[VM Name]])-2))</f>
        <v>avail-vmpfbpf2hmr</v>
      </c>
      <c r="T91" s="42" t="str">
        <f>_xlfn.CONCAT("asg-",LEFT(VmSpecs[[#This Row],[VM Name]],LEN(VmSpecs[[#This Row],[VM Name]])-2))</f>
        <v>asg-vmpfbpf2hmr</v>
      </c>
      <c r="U91" s="42" t="str">
        <f>_xlfn.CONCAT("nsg-",VmSpecs[[#This Row],[Subnet]])</f>
        <v>nsg-sn-pfb-aue-pf2-app</v>
      </c>
      <c r="V91" s="42"/>
      <c r="W91" s="43" t="str">
        <f>VLOOKUP(VmSpecs[[#This Row],[Original Hostname (CMO)]],'SSOT Data'!A:AX,50,FALSE)</f>
        <v>Standard_D4s_v4</v>
      </c>
      <c r="X91" s="43">
        <v>64</v>
      </c>
      <c r="Y91" s="43" t="s">
        <v>65</v>
      </c>
      <c r="Z91" s="43" t="str">
        <f>"osdisk-"&amp;VmSpecs[[#This Row],[VM Name]]</f>
        <v>osdisk-vmpfbpf2hmr11</v>
      </c>
      <c r="AA91" s="47" t="s">
        <v>66</v>
      </c>
      <c r="AB91" s="73">
        <v>8</v>
      </c>
      <c r="AC91" s="74" t="s">
        <v>65</v>
      </c>
      <c r="AD91" s="75" t="str">
        <f>"disk-"&amp;VmSpecs[[#This Row],[VM Name]]&amp;"-001"</f>
        <v>disk-vmpfbpf2hmr11-001</v>
      </c>
      <c r="AE91" s="73">
        <v>32</v>
      </c>
      <c r="AF91" s="74" t="s">
        <v>65</v>
      </c>
      <c r="AG91" s="43" t="str">
        <f>"disk-"&amp;VmSpecs[[#This Row],[VM Name]]&amp;"-002"</f>
        <v>disk-vmpfbpf2hmr11-002</v>
      </c>
      <c r="AH91" s="59"/>
      <c r="AI91" s="42"/>
      <c r="AJ91" s="42"/>
      <c r="AK91" s="42"/>
      <c r="AL91" s="42" t="str">
        <f>MID(VmSpecs[[#This Row],[VM Name]],3,9)</f>
        <v>pfbpf2hmr</v>
      </c>
      <c r="AM91" s="42" t="str" cm="1">
        <f t="array" ref="AM91">_xlfn.TEXTJOIN(CHAR(10), TRUE, IF(NfsExports[FMO Single VM IP]=VmSpecs[[#This Row],[IP]],NfsExports[FMO Export Summary],""))</f>
        <v>/apps/pcehr 50GB</v>
      </c>
      <c r="AN91" s="43" t="str" cm="1">
        <f t="array" ref="AN9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91" s="42"/>
      <c r="AP91" s="42" t="str">
        <f>VmSpecs[[#This Row],[Description]]</f>
        <v>RLS N11</v>
      </c>
      <c r="AQ91" s="43"/>
      <c r="AR91" s="43"/>
      <c r="AS91" s="43"/>
      <c r="AT91" s="43"/>
      <c r="AU91" s="43"/>
      <c r="AV91" s="42"/>
      <c r="AW91" s="42"/>
      <c r="AX91" s="42"/>
      <c r="AY91" s="42"/>
      <c r="AZ91" s="42"/>
      <c r="BA91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"RLS N11"
Application Service: "HMR"
Lifecycle: "PFB"</v>
      </c>
      <c r="BB91" s="78" t="s">
        <v>281</v>
      </c>
      <c r="BC91" s="42" t="str">
        <f>VLOOKUP(VmSpecs[[#This Row],[Original Hostname (CMO)]],'SSOT Data'!A:AJ,36,FALSE)</f>
        <v>RLS N11</v>
      </c>
      <c r="BD91" s="126">
        <f>VLOOKUP(VmSpecs[[#This Row],[Original Hostname (CMO)]],'SSOT Data'!A:AQ,43,FALSE)</f>
        <v>2</v>
      </c>
    </row>
    <row r="92" spans="1:56" ht="29" x14ac:dyDescent="0.35">
      <c r="A92" s="42"/>
      <c r="B92" s="42" t="str">
        <f>_xlfn.XLOOKUP(VmSpecs[[#This Row],[Subnet]],NetworkReference[Subnet],NetworkReference[Subscription])</f>
        <v>NINP-PERF2</v>
      </c>
      <c r="C92" s="43" t="str">
        <f>_xlfn.XLOOKUP(VmSpecs[[#This Row],[Subnet]],NetworkReference[Subnet],NetworkReference[Virtual Network Resource Group])</f>
        <v>rg-pf2-network-aue-001</v>
      </c>
      <c r="D92" s="43" t="str">
        <f>_xlfn.XLOOKUP(VmSpecs[[#This Row],[Subnet]],NetworkReference[Subnet],NetworkReference[Virtual Network])</f>
        <v>vnet-pf2-workload-aue-001</v>
      </c>
      <c r="E92" s="132" t="s">
        <v>59</v>
      </c>
      <c r="F92" s="43" t="str">
        <f>_xlfn.XLOOKUP(VmSpecs[[#This Row],[Subnet]],NetworkReference[Subnet],NetworkReference[Virtual Network Peering])</f>
        <v>vnet-ninp-conn-pnp-hub-aue</v>
      </c>
      <c r="G92" s="43" t="str">
        <f>_xlfn.XLOOKUP(VmSpecs[[#This Row],[Subnet]],NetworkReference[Subnet],NetworkReference[Route Table])</f>
        <v>rt-sn-pfb-aue-pf2-app</v>
      </c>
      <c r="H92" s="43" t="str">
        <f>LOWER(VLOOKUP(VmSpecs[[#This Row],[Original Hostname (CMO)]],'SSOT Data'!A:K,10,FALSE))</f>
        <v>hmr</v>
      </c>
      <c r="I9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92" s="44" t="s">
        <v>138</v>
      </c>
      <c r="K92" s="43" t="str">
        <f>_xlfn.CONCAT("vm",MID(VmSpecs[[#This Row],[Subnet]],4,3),VLOOKUP(VmSpecs[[#This Row],[Subscription]],NetworkReference[#All],2,FALSE),VmSpecs[[#This Row],[Service]],VmSpecs[[#This Row],[VM iteration (nn)]])</f>
        <v>vmpfbpf2hmr12</v>
      </c>
      <c r="L92" s="45" t="s">
        <v>61</v>
      </c>
      <c r="M92" s="43" t="str">
        <f>VmSpecs[[#This Row],[VM Name]]&amp;".ninp.myhealthrecord.gov.au"</f>
        <v>vmpfbpf2hmr12.ninp.myhealthrecord.gov.au</v>
      </c>
      <c r="N92" s="42" t="str">
        <f t="shared" si="1"/>
        <v>nic-001-vmpfbpf2hmr12</v>
      </c>
      <c r="O92" s="94" t="s">
        <v>282</v>
      </c>
      <c r="P92" s="46" t="s">
        <v>63</v>
      </c>
      <c r="Q92" s="42" t="str">
        <f>VLOOKUP(VmSpecs[[#This Row],[Original Hostname (CMO)]],'SSOT Data'!A:E,5,FALSE)</f>
        <v>OEL7.9</v>
      </c>
      <c r="R92" s="83"/>
      <c r="S92" s="42" t="str">
        <f>_xlfn.CONCAT("avail-",LEFT(VmSpecs[[#This Row],[VM Name]],LEN(VmSpecs[[#This Row],[VM Name]])-2))</f>
        <v>avail-vmpfbpf2hmr</v>
      </c>
      <c r="T92" s="42" t="str">
        <f>_xlfn.CONCAT("asg-",LEFT(VmSpecs[[#This Row],[VM Name]],LEN(VmSpecs[[#This Row],[VM Name]])-2))</f>
        <v>asg-vmpfbpf2hmr</v>
      </c>
      <c r="U92" s="42" t="str">
        <f>_xlfn.CONCAT("nsg-",VmSpecs[[#This Row],[Subnet]])</f>
        <v>nsg-sn-pfb-aue-pf2-app</v>
      </c>
      <c r="V92" s="42"/>
      <c r="W92" s="43" t="str">
        <f>VLOOKUP(VmSpecs[[#This Row],[Original Hostname (CMO)]],'SSOT Data'!A:AX,50,FALSE)</f>
        <v>Standard_D4s_v4</v>
      </c>
      <c r="X92" s="43">
        <v>64</v>
      </c>
      <c r="Y92" s="43" t="s">
        <v>65</v>
      </c>
      <c r="Z92" s="43" t="str">
        <f>"osdisk-"&amp;VmSpecs[[#This Row],[VM Name]]</f>
        <v>osdisk-vmpfbpf2hmr12</v>
      </c>
      <c r="AA92" s="47" t="s">
        <v>66</v>
      </c>
      <c r="AB92" s="73">
        <v>8</v>
      </c>
      <c r="AC92" s="74" t="s">
        <v>65</v>
      </c>
      <c r="AD92" s="75" t="str">
        <f>"disk-"&amp;VmSpecs[[#This Row],[VM Name]]&amp;"-001"</f>
        <v>disk-vmpfbpf2hmr12-001</v>
      </c>
      <c r="AE92" s="73">
        <v>32</v>
      </c>
      <c r="AF92" s="74" t="s">
        <v>65</v>
      </c>
      <c r="AG92" s="43" t="str">
        <f>"disk-"&amp;VmSpecs[[#This Row],[VM Name]]&amp;"-002"</f>
        <v>disk-vmpfbpf2hmr12-002</v>
      </c>
      <c r="AH92" s="59"/>
      <c r="AI92" s="42"/>
      <c r="AJ92" s="42"/>
      <c r="AK92" s="42"/>
      <c r="AL92" s="42" t="str">
        <f>MID(VmSpecs[[#This Row],[VM Name]],3,9)</f>
        <v>pfbpf2hmr</v>
      </c>
      <c r="AM92" s="42" t="str" cm="1">
        <f t="array" ref="AM92">_xlfn.TEXTJOIN(CHAR(10), TRUE, IF(NfsExports[FMO Single VM IP]=VmSpecs[[#This Row],[IP]],NfsExports[FMO Export Summary],""))</f>
        <v>/apps/pcehr 50GB</v>
      </c>
      <c r="AN92" s="43" t="str" cm="1">
        <f t="array" ref="AN9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92" s="42"/>
      <c r="AP92" s="42" t="str">
        <f>VmSpecs[[#This Row],[Description]]</f>
        <v>RLS N12</v>
      </c>
      <c r="AQ92" s="43"/>
      <c r="AR92" s="43"/>
      <c r="AS92" s="43"/>
      <c r="AT92" s="43"/>
      <c r="AU92" s="43"/>
      <c r="AV92" s="42"/>
      <c r="AW92" s="42"/>
      <c r="AX92" s="42"/>
      <c r="AY92" s="42"/>
      <c r="AZ92" s="42"/>
      <c r="BA92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"RLS N12"
Application Service: "HMR"
Lifecycle: "PFB"</v>
      </c>
      <c r="BB92" s="78" t="s">
        <v>283</v>
      </c>
      <c r="BC92" s="42" t="str">
        <f>VLOOKUP(VmSpecs[[#This Row],[Original Hostname (CMO)]],'SSOT Data'!A:AJ,36,FALSE)</f>
        <v>RLS N12</v>
      </c>
      <c r="BD92" s="126">
        <f>VLOOKUP(VmSpecs[[#This Row],[Original Hostname (CMO)]],'SSOT Data'!A:AQ,43,FALSE)</f>
        <v>2</v>
      </c>
    </row>
    <row r="93" spans="1:56" ht="29" x14ac:dyDescent="0.35">
      <c r="A93" s="42" t="s">
        <v>58</v>
      </c>
      <c r="B93" s="42" t="str">
        <f>_xlfn.XLOOKUP(VmSpecs[[#This Row],[Subnet]],NetworkReference[Subnet],NetworkReference[Subscription])</f>
        <v>NINP-PERF2</v>
      </c>
      <c r="C93" s="43" t="str">
        <f>_xlfn.XLOOKUP(VmSpecs[[#This Row],[Subnet]],NetworkReference[Subnet],NetworkReference[Virtual Network Resource Group])</f>
        <v>rg-pf2-network-aue-001</v>
      </c>
      <c r="D93" s="43" t="str">
        <f>_xlfn.XLOOKUP(VmSpecs[[#This Row],[Subnet]],NetworkReference[Subnet],NetworkReference[Virtual Network])</f>
        <v>vnet-pf2-workload-aue-001</v>
      </c>
      <c r="E93" s="132" t="s">
        <v>59</v>
      </c>
      <c r="F93" s="43" t="str">
        <f>_xlfn.XLOOKUP(VmSpecs[[#This Row],[Subnet]],NetworkReference[Subnet],NetworkReference[Virtual Network Peering])</f>
        <v>vnet-ninp-conn-pnp-hub-aue</v>
      </c>
      <c r="G93" s="43" t="str">
        <f>_xlfn.XLOOKUP(VmSpecs[[#This Row],[Subnet]],NetworkReference[Subnet],NetworkReference[Route Table])</f>
        <v>rt-sn-pfb-aue-pf2-app</v>
      </c>
      <c r="H93" s="43" t="str">
        <f>LOWER(VLOOKUP(VmSpecs[[#This Row],[Original Hostname (CMO)]],'SSOT Data'!A:K,10,FALSE))</f>
        <v>nes</v>
      </c>
      <c r="I9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93" s="44" t="s">
        <v>72</v>
      </c>
      <c r="K93" s="43" t="str">
        <f>_xlfn.CONCAT("vm",MID(VmSpecs[[#This Row],[Subnet]],4,3),VLOOKUP(VmSpecs[[#This Row],[Subscription]],NetworkReference[#All],2,FALSE),VmSpecs[[#This Row],[Service]],VmSpecs[[#This Row],[VM iteration (nn)]])</f>
        <v>vmpfbpf2nes02</v>
      </c>
      <c r="L93" s="45" t="s">
        <v>61</v>
      </c>
      <c r="M93" s="43" t="str">
        <f>VmSpecs[[#This Row],[VM Name]]&amp;".ninp.myhealthrecord.gov.au"</f>
        <v>vmpfbpf2nes02.ninp.myhealthrecord.gov.au</v>
      </c>
      <c r="N93" s="42" t="str">
        <f t="shared" si="1"/>
        <v>nic-001-vmpfbpf2nes02</v>
      </c>
      <c r="O93" s="94" t="s">
        <v>284</v>
      </c>
      <c r="P93" s="46" t="s">
        <v>63</v>
      </c>
      <c r="Q93" s="42" t="str">
        <f>VLOOKUP(VmSpecs[[#This Row],[Original Hostname (CMO)]],'SSOT Data'!A:E,5,FALSE)</f>
        <v>OEL7.9</v>
      </c>
      <c r="R93" s="83"/>
      <c r="S93" s="42" t="str">
        <f>_xlfn.CONCAT("avail-",LEFT(VmSpecs[[#This Row],[VM Name]],LEN(VmSpecs[[#This Row],[VM Name]])-2),"-02")</f>
        <v>avail-vmpfbpf2nes-02</v>
      </c>
      <c r="T93" s="42" t="str">
        <f>_xlfn.CONCAT("asg-",LEFT(VmSpecs[[#This Row],[VM Name]],LEN(VmSpecs[[#This Row],[VM Name]])-2))</f>
        <v>asg-vmpfbpf2nes</v>
      </c>
      <c r="U93" s="42" t="str">
        <f>_xlfn.CONCAT("nsg-",VmSpecs[[#This Row],[Subnet]])</f>
        <v>nsg-sn-pfb-aue-pf2-app</v>
      </c>
      <c r="V93" s="42" t="s">
        <v>64</v>
      </c>
      <c r="W93" s="43" t="str">
        <f>VLOOKUP(VmSpecs[[#This Row],[Original Hostname (CMO)]],'SSOT Data'!A:AX,50,FALSE)</f>
        <v>Standard_D4s_v4</v>
      </c>
      <c r="X93" s="43">
        <v>64</v>
      </c>
      <c r="Y93" s="43" t="s">
        <v>65</v>
      </c>
      <c r="Z93" s="43" t="str">
        <f>"osdisk-"&amp;VmSpecs[[#This Row],[VM Name]]</f>
        <v>osdisk-vmpfbpf2nes02</v>
      </c>
      <c r="AA93" s="47" t="s">
        <v>66</v>
      </c>
      <c r="AB93" s="73">
        <v>8</v>
      </c>
      <c r="AC93" s="74" t="s">
        <v>65</v>
      </c>
      <c r="AD93" s="75" t="str">
        <f>"disk-"&amp;VmSpecs[[#This Row],[VM Name]]&amp;"-001"</f>
        <v>disk-vmpfbpf2nes02-001</v>
      </c>
      <c r="AE93" s="73">
        <v>32</v>
      </c>
      <c r="AF93" s="74" t="s">
        <v>65</v>
      </c>
      <c r="AG93" s="43" t="str">
        <f>"disk-"&amp;VmSpecs[[#This Row],[VM Name]]&amp;"-002"</f>
        <v>disk-vmpfbpf2nes02-002</v>
      </c>
      <c r="AH93" s="59" t="s">
        <v>285</v>
      </c>
      <c r="AI93" s="42"/>
      <c r="AJ93" s="42"/>
      <c r="AK93" s="42"/>
      <c r="AL93" s="42" t="str">
        <f>MID(VmSpecs[[#This Row],[VM Name]],3,9)</f>
        <v>pfbpf2nes</v>
      </c>
      <c r="AM93" s="43" t="str" cm="1">
        <f t="array" ref="AM93">_xlfn.TEXTJOIN(CHAR(10), TRUE, IF(NfsExports[FMO Single VM IP]=VmSpecs[[#This Row],[IP]],NfsExports[FMO Export Summary],""))</f>
        <v>/opt 30GB
/apps/pcehr 30GB</v>
      </c>
      <c r="AN93" s="43" t="str" cm="1">
        <f t="array" ref="AN9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93" s="42"/>
      <c r="AP93" s="42" t="str">
        <f>VmSpecs[[#This Row],[Description]]</f>
        <v>T2 Nessus Scanner</v>
      </c>
      <c r="AQ93" s="43"/>
      <c r="AR93" s="43" t="s">
        <v>64</v>
      </c>
      <c r="AS93" s="43" t="s">
        <v>64</v>
      </c>
      <c r="AT93" s="43" t="s">
        <v>64</v>
      </c>
      <c r="AU93" s="43" t="s">
        <v>64</v>
      </c>
      <c r="AV93" s="42" t="s">
        <v>66</v>
      </c>
      <c r="AW93" s="42" t="s">
        <v>67</v>
      </c>
      <c r="AX93" s="42" t="s">
        <v>68</v>
      </c>
      <c r="AY93" s="42" t="s">
        <v>64</v>
      </c>
      <c r="AZ93" s="42" t="s">
        <v>64</v>
      </c>
      <c r="BA9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"T2 Nessus Scanner"
Application Service: "NES"
Lifecycle: "PFB"</v>
      </c>
      <c r="BB93" s="78" t="s">
        <v>286</v>
      </c>
      <c r="BC93" s="42" t="str">
        <f>VLOOKUP(VmSpecs[[#This Row],[Original Hostname (CMO)]],'SSOT Data'!A:AJ,36,FALSE)</f>
        <v>T2 Nessus Scanner</v>
      </c>
      <c r="BD93" s="43" t="s">
        <v>287</v>
      </c>
    </row>
    <row r="94" spans="1:56" ht="29" x14ac:dyDescent="0.35">
      <c r="A94" s="42" t="s">
        <v>58</v>
      </c>
      <c r="B94" s="42" t="str">
        <f>_xlfn.XLOOKUP(VmSpecs[[#This Row],[Subnet]],NetworkReference[Subnet],NetworkReference[Subscription])</f>
        <v>NINP-PERF2</v>
      </c>
      <c r="C94" s="43" t="str">
        <f>_xlfn.XLOOKUP(VmSpecs[[#This Row],[Subnet]],NetworkReference[Subnet],NetworkReference[Virtual Network Resource Group])</f>
        <v>rg-pf2-network-aue-001</v>
      </c>
      <c r="D94" s="43" t="str">
        <f>_xlfn.XLOOKUP(VmSpecs[[#This Row],[Subnet]],NetworkReference[Subnet],NetworkReference[Virtual Network])</f>
        <v>vnet-pf2-workload-aue-001</v>
      </c>
      <c r="E94" s="132" t="s">
        <v>59</v>
      </c>
      <c r="F94" s="43" t="str">
        <f>_xlfn.XLOOKUP(VmSpecs[[#This Row],[Subnet]],NetworkReference[Subnet],NetworkReference[Virtual Network Peering])</f>
        <v>vnet-ninp-conn-pnp-hub-aue</v>
      </c>
      <c r="G94" s="43" t="str">
        <f>_xlfn.XLOOKUP(VmSpecs[[#This Row],[Subnet]],NetworkReference[Subnet],NetworkReference[Route Table])</f>
        <v>rt-sn-pfb-aue-pf2-app</v>
      </c>
      <c r="H94" s="43" t="str">
        <f>LOWER(VLOOKUP(VmSpecs[[#This Row],[Original Hostname (CMO)]],'SSOT Data'!A:K,10,FALSE))</f>
        <v>oam</v>
      </c>
      <c r="I9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94" s="44" t="s">
        <v>60</v>
      </c>
      <c r="K94" s="43" t="str">
        <f>_xlfn.CONCAT("vm",MID(VmSpecs[[#This Row],[Subnet]],4,3),VLOOKUP(VmSpecs[[#This Row],[Subscription]],NetworkReference[#All],2,FALSE),VmSpecs[[#This Row],[Service]],VmSpecs[[#This Row],[VM iteration (nn)]])</f>
        <v>vmpfbpf2oam01</v>
      </c>
      <c r="L94" s="45" t="s">
        <v>61</v>
      </c>
      <c r="M94" s="43" t="str">
        <f>VmSpecs[[#This Row],[VM Name]]&amp;".ninp.myhealthrecord.gov.au"</f>
        <v>vmpfbpf2oam01.ninp.myhealthrecord.gov.au</v>
      </c>
      <c r="N94" s="42" t="str">
        <f t="shared" si="1"/>
        <v>nic-001-vmpfbpf2oam01</v>
      </c>
      <c r="O94" s="94" t="s">
        <v>288</v>
      </c>
      <c r="P94" s="46" t="s">
        <v>63</v>
      </c>
      <c r="Q94" s="42" t="str">
        <f>VLOOKUP(VmSpecs[[#This Row],[Original Hostname (CMO)]],'SSOT Data'!A:E,5,FALSE)</f>
        <v>OEL7.9</v>
      </c>
      <c r="R94" s="83"/>
      <c r="S94" s="42" t="str">
        <f>_xlfn.CONCAT("avail-",LEFT(VmSpecs[[#This Row],[VM Name]],LEN(VmSpecs[[#This Row],[VM Name]])-2))</f>
        <v>avail-vmpfbpf2oam</v>
      </c>
      <c r="T94" s="42" t="str">
        <f>_xlfn.CONCAT("asg-",LEFT(VmSpecs[[#This Row],[VM Name]],LEN(VmSpecs[[#This Row],[VM Name]])-2))</f>
        <v>asg-vmpfbpf2oam</v>
      </c>
      <c r="U94" s="42" t="str">
        <f>_xlfn.CONCAT("nsg-",VmSpecs[[#This Row],[Subnet]])</f>
        <v>nsg-sn-pfb-aue-pf2-app</v>
      </c>
      <c r="V94" s="42" t="s">
        <v>64</v>
      </c>
      <c r="W94" s="43" t="str">
        <f>VLOOKUP(VmSpecs[[#This Row],[Original Hostname (CMO)]],'SSOT Data'!A:AX,50,FALSE)</f>
        <v>Standard_D8s_v4</v>
      </c>
      <c r="X94" s="43">
        <v>64</v>
      </c>
      <c r="Y94" s="43" t="s">
        <v>65</v>
      </c>
      <c r="Z94" s="43" t="str">
        <f>"osdisk-"&amp;VmSpecs[[#This Row],[VM Name]]</f>
        <v>osdisk-vmpfbpf2oam01</v>
      </c>
      <c r="AA94" s="47" t="s">
        <v>66</v>
      </c>
      <c r="AB94" s="73">
        <v>8</v>
      </c>
      <c r="AC94" s="74" t="s">
        <v>65</v>
      </c>
      <c r="AD94" s="74" t="str">
        <f>"disk-"&amp;VmSpecs[[#This Row],[VM Name]]&amp;"-001"</f>
        <v>disk-vmpfbpf2oam01-001</v>
      </c>
      <c r="AE94" s="73">
        <v>32</v>
      </c>
      <c r="AF94" s="74" t="s">
        <v>65</v>
      </c>
      <c r="AG94" s="43" t="str">
        <f>"disk-"&amp;VmSpecs[[#This Row],[VM Name]]&amp;"-002"</f>
        <v>disk-vmpfbpf2oam01-002</v>
      </c>
      <c r="AH94" s="59"/>
      <c r="AI94" s="42"/>
      <c r="AJ94" s="42"/>
      <c r="AK94" s="42"/>
      <c r="AL94" s="42" t="str">
        <f>MID(VmSpecs[[#This Row],[VM Name]],3,9)</f>
        <v>pfbpf2oam</v>
      </c>
      <c r="AM94" s="42" t="str" cm="1">
        <f t="array" ref="AM94">_xlfn.TEXTJOIN(CHAR(10), TRUE, IF(NfsExports[FMO Single VM IP]=VmSpecs[[#This Row],[IP]],NfsExports[FMO Export Summary],""))</f>
        <v>/apps/pcehr 30GB</v>
      </c>
      <c r="AN94" s="43" t="str" cm="1">
        <f t="array" ref="AN9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/apps/nfs/t2_shareq_pfb 15GB</v>
      </c>
      <c r="AO94" s="42"/>
      <c r="AP94" s="42" t="str">
        <f>VmSpecs[[#This Row],[Description]]</f>
        <v>OAM N1</v>
      </c>
      <c r="AQ94" s="43"/>
      <c r="AR94" s="43" t="s">
        <v>64</v>
      </c>
      <c r="AS94" s="43" t="s">
        <v>64</v>
      </c>
      <c r="AT94" s="43" t="s">
        <v>64</v>
      </c>
      <c r="AU94" s="43" t="s">
        <v>64</v>
      </c>
      <c r="AV94" s="42" t="s">
        <v>66</v>
      </c>
      <c r="AW94" s="42" t="s">
        <v>67</v>
      </c>
      <c r="AX94" s="42" t="s">
        <v>68</v>
      </c>
      <c r="AY94" s="42" t="s">
        <v>64</v>
      </c>
      <c r="AZ94" s="42" t="s">
        <v>64</v>
      </c>
      <c r="BA9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"OAM N1"
Application Service: "OAM"
Lifecycle: "PFB"</v>
      </c>
      <c r="BB94" s="78" t="s">
        <v>289</v>
      </c>
      <c r="BC94" s="42" t="str">
        <f>VLOOKUP(VmSpecs[[#This Row],[Original Hostname (CMO)]],'SSOT Data'!A:AJ,36,FALSE)</f>
        <v>OAM N1</v>
      </c>
      <c r="BD94" s="43"/>
    </row>
    <row r="95" spans="1:56" ht="29" x14ac:dyDescent="0.35">
      <c r="A95" s="42" t="s">
        <v>58</v>
      </c>
      <c r="B95" s="42" t="str">
        <f>_xlfn.XLOOKUP(VmSpecs[[#This Row],[Subnet]],NetworkReference[Subnet],NetworkReference[Subscription])</f>
        <v>NINP-PERF2</v>
      </c>
      <c r="C95" s="43" t="str">
        <f>_xlfn.XLOOKUP(VmSpecs[[#This Row],[Subnet]],NetworkReference[Subnet],NetworkReference[Virtual Network Resource Group])</f>
        <v>rg-pf2-network-aue-001</v>
      </c>
      <c r="D95" s="43" t="str">
        <f>_xlfn.XLOOKUP(VmSpecs[[#This Row],[Subnet]],NetworkReference[Subnet],NetworkReference[Virtual Network])</f>
        <v>vnet-pf2-workload-aue-001</v>
      </c>
      <c r="E95" s="132" t="s">
        <v>59</v>
      </c>
      <c r="F95" s="43" t="str">
        <f>_xlfn.XLOOKUP(VmSpecs[[#This Row],[Subnet]],NetworkReference[Subnet],NetworkReference[Virtual Network Peering])</f>
        <v>vnet-ninp-conn-pnp-hub-aue</v>
      </c>
      <c r="G95" s="43" t="str">
        <f>_xlfn.XLOOKUP(VmSpecs[[#This Row],[Subnet]],NetworkReference[Subnet],NetworkReference[Route Table])</f>
        <v>rt-sn-pfb-aue-pf2-app</v>
      </c>
      <c r="H95" s="43" t="str">
        <f>LOWER(VLOOKUP(VmSpecs[[#This Row],[Original Hostname (CMO)]],'SSOT Data'!A:K,10,FALSE))</f>
        <v>oam</v>
      </c>
      <c r="I9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95" s="44" t="s">
        <v>72</v>
      </c>
      <c r="K95" s="43" t="str">
        <f>_xlfn.CONCAT("vm",MID(VmSpecs[[#This Row],[Subnet]],4,3),VLOOKUP(VmSpecs[[#This Row],[Subscription]],NetworkReference[#All],2,FALSE),VmSpecs[[#This Row],[Service]],VmSpecs[[#This Row],[VM iteration (nn)]])</f>
        <v>vmpfbpf2oam02</v>
      </c>
      <c r="L95" s="45" t="s">
        <v>61</v>
      </c>
      <c r="M95" s="43" t="str">
        <f>VmSpecs[[#This Row],[VM Name]]&amp;".ninp.myhealthrecord.gov.au"</f>
        <v>vmpfbpf2oam02.ninp.myhealthrecord.gov.au</v>
      </c>
      <c r="N95" s="42" t="str">
        <f t="shared" si="1"/>
        <v>nic-001-vmpfbpf2oam02</v>
      </c>
      <c r="O95" s="94" t="s">
        <v>290</v>
      </c>
      <c r="P95" s="46" t="s">
        <v>63</v>
      </c>
      <c r="Q95" s="42" t="str">
        <f>VLOOKUP(VmSpecs[[#This Row],[Original Hostname (CMO)]],'SSOT Data'!A:E,5,FALSE)</f>
        <v>OEL7.9</v>
      </c>
      <c r="R95" s="83"/>
      <c r="S95" s="42" t="str">
        <f>_xlfn.CONCAT("avail-",LEFT(VmSpecs[[#This Row],[VM Name]],LEN(VmSpecs[[#This Row],[VM Name]])-2))</f>
        <v>avail-vmpfbpf2oam</v>
      </c>
      <c r="T95" s="42" t="str">
        <f>_xlfn.CONCAT("asg-",LEFT(VmSpecs[[#This Row],[VM Name]],LEN(VmSpecs[[#This Row],[VM Name]])-2))</f>
        <v>asg-vmpfbpf2oam</v>
      </c>
      <c r="U95" s="42" t="str">
        <f>_xlfn.CONCAT("nsg-",VmSpecs[[#This Row],[Subnet]])</f>
        <v>nsg-sn-pfb-aue-pf2-app</v>
      </c>
      <c r="V95" s="42" t="s">
        <v>64</v>
      </c>
      <c r="W95" s="43" t="str">
        <f>VLOOKUP(VmSpecs[[#This Row],[Original Hostname (CMO)]],'SSOT Data'!A:AX,50,FALSE)</f>
        <v>Standard_D8s_v4</v>
      </c>
      <c r="X95" s="43">
        <v>64</v>
      </c>
      <c r="Y95" s="43" t="s">
        <v>65</v>
      </c>
      <c r="Z95" s="43" t="str">
        <f>"osdisk-"&amp;VmSpecs[[#This Row],[VM Name]]</f>
        <v>osdisk-vmpfbpf2oam02</v>
      </c>
      <c r="AA95" s="47" t="s">
        <v>66</v>
      </c>
      <c r="AB95" s="73">
        <v>8</v>
      </c>
      <c r="AC95" s="74" t="s">
        <v>65</v>
      </c>
      <c r="AD95" s="74" t="str">
        <f>"disk-"&amp;VmSpecs[[#This Row],[VM Name]]&amp;"-001"</f>
        <v>disk-vmpfbpf2oam02-001</v>
      </c>
      <c r="AE95" s="73">
        <v>32</v>
      </c>
      <c r="AF95" s="74" t="s">
        <v>65</v>
      </c>
      <c r="AG95" s="43" t="str">
        <f>"disk-"&amp;VmSpecs[[#This Row],[VM Name]]&amp;"-002"</f>
        <v>disk-vmpfbpf2oam02-002</v>
      </c>
      <c r="AH95" s="59"/>
      <c r="AI95" s="42"/>
      <c r="AJ95" s="42"/>
      <c r="AK95" s="42"/>
      <c r="AL95" s="42" t="str">
        <f>MID(VmSpecs[[#This Row],[VM Name]],3,9)</f>
        <v>pfbpf2oam</v>
      </c>
      <c r="AM95" s="42" t="str" cm="1">
        <f t="array" ref="AM95">_xlfn.TEXTJOIN(CHAR(10), TRUE, IF(NfsExports[FMO Single VM IP]=VmSpecs[[#This Row],[IP]],NfsExports[FMO Export Summary],""))</f>
        <v>/apps/pcehr 30GB</v>
      </c>
      <c r="AN95" s="43" t="str" cm="1">
        <f t="array" ref="AN9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/apps/nfs/t2_shareq_pfb 15GB</v>
      </c>
      <c r="AO95" s="42"/>
      <c r="AP95" s="42" t="str">
        <f>VmSpecs[[#This Row],[Description]]</f>
        <v>OAM N2</v>
      </c>
      <c r="AQ95" s="43"/>
      <c r="AR95" s="43" t="s">
        <v>64</v>
      </c>
      <c r="AS95" s="43" t="s">
        <v>64</v>
      </c>
      <c r="AT95" s="43" t="s">
        <v>64</v>
      </c>
      <c r="AU95" s="43" t="s">
        <v>64</v>
      </c>
      <c r="AV95" s="42" t="s">
        <v>66</v>
      </c>
      <c r="AW95" s="42" t="s">
        <v>67</v>
      </c>
      <c r="AX95" s="42" t="s">
        <v>68</v>
      </c>
      <c r="AY95" s="42" t="s">
        <v>64</v>
      </c>
      <c r="AZ95" s="42" t="s">
        <v>64</v>
      </c>
      <c r="BA9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"OAM N2"
Application Service: "OAM"
Lifecycle: "PFB"</v>
      </c>
      <c r="BB95" s="78" t="s">
        <v>291</v>
      </c>
      <c r="BC95" s="42" t="str">
        <f>VLOOKUP(VmSpecs[[#This Row],[Original Hostname (CMO)]],'SSOT Data'!A:AJ,36,FALSE)</f>
        <v>OAM N2</v>
      </c>
      <c r="BD95" s="43"/>
    </row>
    <row r="96" spans="1:56" ht="29" x14ac:dyDescent="0.35">
      <c r="A96" s="42" t="s">
        <v>58</v>
      </c>
      <c r="B96" s="42" t="str">
        <f>_xlfn.XLOOKUP(VmSpecs[[#This Row],[Subnet]],NetworkReference[Subnet],NetworkReference[Subscription])</f>
        <v>NINP-PERF2</v>
      </c>
      <c r="C96" s="43" t="str">
        <f>_xlfn.XLOOKUP(VmSpecs[[#This Row],[Subnet]],NetworkReference[Subnet],NetworkReference[Virtual Network Resource Group])</f>
        <v>rg-pf2-network-aue-001</v>
      </c>
      <c r="D96" s="43" t="str">
        <f>_xlfn.XLOOKUP(VmSpecs[[#This Row],[Subnet]],NetworkReference[Subnet],NetworkReference[Virtual Network])</f>
        <v>vnet-pf2-workload-aue-001</v>
      </c>
      <c r="E96" s="132" t="s">
        <v>59</v>
      </c>
      <c r="F96" s="43" t="str">
        <f>_xlfn.XLOOKUP(VmSpecs[[#This Row],[Subnet]],NetworkReference[Subnet],NetworkReference[Virtual Network Peering])</f>
        <v>vnet-ninp-conn-pnp-hub-aue</v>
      </c>
      <c r="G96" s="43" t="str">
        <f>_xlfn.XLOOKUP(VmSpecs[[#This Row],[Subnet]],NetworkReference[Subnet],NetworkReference[Route Table])</f>
        <v>rt-sn-pfb-aue-pf2-app</v>
      </c>
      <c r="H96" s="43" t="str">
        <f>LOWER(VLOOKUP(VmSpecs[[#This Row],[Original Hostname (CMO)]],'SSOT Data'!A:K,10,FALSE))</f>
        <v>oam</v>
      </c>
      <c r="I9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96" s="44" t="s">
        <v>75</v>
      </c>
      <c r="K96" s="43" t="str">
        <f>_xlfn.CONCAT("vm",MID(VmSpecs[[#This Row],[Subnet]],4,3),VLOOKUP(VmSpecs[[#This Row],[Subscription]],NetworkReference[#All],2,FALSE),VmSpecs[[#This Row],[Service]],VmSpecs[[#This Row],[VM iteration (nn)]])</f>
        <v>vmpfbpf2oam03</v>
      </c>
      <c r="L96" s="45" t="s">
        <v>61</v>
      </c>
      <c r="M96" s="43" t="str">
        <f>VmSpecs[[#This Row],[VM Name]]&amp;".ninp.myhealthrecord.gov.au"</f>
        <v>vmpfbpf2oam03.ninp.myhealthrecord.gov.au</v>
      </c>
      <c r="N96" s="42" t="str">
        <f t="shared" si="1"/>
        <v>nic-001-vmpfbpf2oam03</v>
      </c>
      <c r="O96" s="94" t="s">
        <v>292</v>
      </c>
      <c r="P96" s="93" t="s">
        <v>63</v>
      </c>
      <c r="Q96" s="42" t="str">
        <f>VLOOKUP(VmSpecs[[#This Row],[Original Hostname (CMO)]],'SSOT Data'!A:E,5,FALSE)</f>
        <v>OEL7.9</v>
      </c>
      <c r="R96" s="83"/>
      <c r="S96" s="42" t="str">
        <f>_xlfn.CONCAT("avail-",LEFT(VmSpecs[[#This Row],[VM Name]],LEN(VmSpecs[[#This Row],[VM Name]])-2))</f>
        <v>avail-vmpfbpf2oam</v>
      </c>
      <c r="T96" s="42" t="str">
        <f>_xlfn.CONCAT("asg-",LEFT(VmSpecs[[#This Row],[VM Name]],LEN(VmSpecs[[#This Row],[VM Name]])-2))</f>
        <v>asg-vmpfbpf2oam</v>
      </c>
      <c r="U96" s="42" t="str">
        <f>_xlfn.CONCAT("nsg-",VmSpecs[[#This Row],[Subnet]])</f>
        <v>nsg-sn-pfb-aue-pf2-app</v>
      </c>
      <c r="V96" s="42" t="s">
        <v>64</v>
      </c>
      <c r="W96" s="43" t="str">
        <f>VLOOKUP(VmSpecs[[#This Row],[Original Hostname (CMO)]],'SSOT Data'!A:AX,50,FALSE)</f>
        <v>Standard_D8s_v4</v>
      </c>
      <c r="X96" s="43">
        <v>64</v>
      </c>
      <c r="Y96" s="43" t="s">
        <v>65</v>
      </c>
      <c r="Z96" s="43" t="str">
        <f>"osdisk-"&amp;VmSpecs[[#This Row],[VM Name]]</f>
        <v>osdisk-vmpfbpf2oam03</v>
      </c>
      <c r="AA96" s="47" t="s">
        <v>66</v>
      </c>
      <c r="AB96" s="73">
        <v>8</v>
      </c>
      <c r="AC96" s="74" t="s">
        <v>65</v>
      </c>
      <c r="AD96" s="74" t="str">
        <f>"disk-"&amp;VmSpecs[[#This Row],[VM Name]]&amp;"-001"</f>
        <v>disk-vmpfbpf2oam03-001</v>
      </c>
      <c r="AE96" s="73">
        <v>32</v>
      </c>
      <c r="AF96" s="74" t="s">
        <v>65</v>
      </c>
      <c r="AG96" s="43" t="str">
        <f>"disk-"&amp;VmSpecs[[#This Row],[VM Name]]&amp;"-002"</f>
        <v>disk-vmpfbpf2oam03-002</v>
      </c>
      <c r="AH96" s="59"/>
      <c r="AI96" s="42"/>
      <c r="AJ96" s="42"/>
      <c r="AK96" s="42"/>
      <c r="AL96" s="42" t="str">
        <f>MID(VmSpecs[[#This Row],[VM Name]],3,9)</f>
        <v>pfbpf2oam</v>
      </c>
      <c r="AM96" s="42" t="str" cm="1">
        <f t="array" ref="AM96">_xlfn.TEXTJOIN(CHAR(10), TRUE, IF(NfsExports[FMO Single VM IP]=VmSpecs[[#This Row],[IP]],NfsExports[FMO Export Summary],""))</f>
        <v>/apps/pcehr 30GB</v>
      </c>
      <c r="AN96" s="43" t="str" cm="1">
        <f t="array" ref="AN9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/apps/nfs/t2_shareq_pfb 15GB</v>
      </c>
      <c r="AO96" s="42"/>
      <c r="AP96" s="42" t="str">
        <f>VmSpecs[[#This Row],[Description]]</f>
        <v>OAM N3</v>
      </c>
      <c r="AQ96" s="43"/>
      <c r="AR96" s="43" t="s">
        <v>64</v>
      </c>
      <c r="AS96" s="43" t="s">
        <v>64</v>
      </c>
      <c r="AT96" s="43" t="s">
        <v>64</v>
      </c>
      <c r="AU96" s="43" t="s">
        <v>64</v>
      </c>
      <c r="AV96" s="42" t="s">
        <v>66</v>
      </c>
      <c r="AW96" s="42" t="s">
        <v>67</v>
      </c>
      <c r="AX96" s="42" t="s">
        <v>68</v>
      </c>
      <c r="AY96" s="42" t="s">
        <v>64</v>
      </c>
      <c r="AZ96" s="42" t="s">
        <v>64</v>
      </c>
      <c r="BA9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"OAM N3"
Application Service: "OAM"
Lifecycle: "PFB"</v>
      </c>
      <c r="BB96" s="78" t="s">
        <v>293</v>
      </c>
      <c r="BC96" s="42" t="str">
        <f>VLOOKUP(VmSpecs[[#This Row],[Original Hostname (CMO)]],'SSOT Data'!A:AJ,36,FALSE)</f>
        <v>OAM N3</v>
      </c>
      <c r="BD96" s="43"/>
    </row>
    <row r="97" spans="1:56" ht="29" x14ac:dyDescent="0.35">
      <c r="A97" s="42" t="s">
        <v>58</v>
      </c>
      <c r="B97" s="42" t="str">
        <f>_xlfn.XLOOKUP(VmSpecs[[#This Row],[Subnet]],NetworkReference[Subnet],NetworkReference[Subscription])</f>
        <v>NINP-PERF2</v>
      </c>
      <c r="C97" s="43" t="str">
        <f>_xlfn.XLOOKUP(VmSpecs[[#This Row],[Subnet]],NetworkReference[Subnet],NetworkReference[Virtual Network Resource Group])</f>
        <v>rg-pf2-network-aue-001</v>
      </c>
      <c r="D97" s="43" t="str">
        <f>_xlfn.XLOOKUP(VmSpecs[[#This Row],[Subnet]],NetworkReference[Subnet],NetworkReference[Virtual Network])</f>
        <v>vnet-pf2-workload-aue-001</v>
      </c>
      <c r="E97" s="132" t="s">
        <v>59</v>
      </c>
      <c r="F97" s="43" t="str">
        <f>_xlfn.XLOOKUP(VmSpecs[[#This Row],[Subnet]],NetworkReference[Subnet],NetworkReference[Virtual Network Peering])</f>
        <v>vnet-ninp-conn-pnp-hub-aue</v>
      </c>
      <c r="G97" s="43" t="str">
        <f>_xlfn.XLOOKUP(VmSpecs[[#This Row],[Subnet]],NetworkReference[Subnet],NetworkReference[Route Table])</f>
        <v>rt-sn-pfb-aue-pf2-app</v>
      </c>
      <c r="H97" s="43" t="str">
        <f>LOWER(VLOOKUP(VmSpecs[[#This Row],[Original Hostname (CMO)]],'SSOT Data'!A:K,10,FALSE))</f>
        <v>oam</v>
      </c>
      <c r="I9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97" s="44" t="s">
        <v>78</v>
      </c>
      <c r="K97" s="43" t="str">
        <f>_xlfn.CONCAT("vm",MID(VmSpecs[[#This Row],[Subnet]],4,3),VLOOKUP(VmSpecs[[#This Row],[Subscription]],NetworkReference[#All],2,FALSE),VmSpecs[[#This Row],[Service]],VmSpecs[[#This Row],[VM iteration (nn)]])</f>
        <v>vmpfbpf2oam04</v>
      </c>
      <c r="L97" s="45" t="s">
        <v>61</v>
      </c>
      <c r="M97" s="43" t="str">
        <f>VmSpecs[[#This Row],[VM Name]]&amp;".ninp.myhealthrecord.gov.au"</f>
        <v>vmpfbpf2oam04.ninp.myhealthrecord.gov.au</v>
      </c>
      <c r="N97" s="42" t="str">
        <f t="shared" si="1"/>
        <v>nic-001-vmpfbpf2oam04</v>
      </c>
      <c r="O97" s="94" t="s">
        <v>294</v>
      </c>
      <c r="P97" s="93" t="s">
        <v>63</v>
      </c>
      <c r="Q97" s="42" t="str">
        <f>VLOOKUP(VmSpecs[[#This Row],[Original Hostname (CMO)]],'SSOT Data'!A:E,5,FALSE)</f>
        <v>OEL7.9</v>
      </c>
      <c r="R97" s="83"/>
      <c r="S97" s="42" t="str">
        <f>_xlfn.CONCAT("avail-",LEFT(VmSpecs[[#This Row],[VM Name]],LEN(VmSpecs[[#This Row],[VM Name]])-2))</f>
        <v>avail-vmpfbpf2oam</v>
      </c>
      <c r="T97" s="42" t="str">
        <f>_xlfn.CONCAT("asg-",LEFT(VmSpecs[[#This Row],[VM Name]],LEN(VmSpecs[[#This Row],[VM Name]])-2))</f>
        <v>asg-vmpfbpf2oam</v>
      </c>
      <c r="U97" s="42" t="str">
        <f>_xlfn.CONCAT("nsg-",VmSpecs[[#This Row],[Subnet]])</f>
        <v>nsg-sn-pfb-aue-pf2-app</v>
      </c>
      <c r="V97" s="42" t="s">
        <v>64</v>
      </c>
      <c r="W97" s="43" t="str">
        <f>VLOOKUP(VmSpecs[[#This Row],[Original Hostname (CMO)]],'SSOT Data'!A:AX,50,FALSE)</f>
        <v>Standard_D8s_v4</v>
      </c>
      <c r="X97" s="43">
        <v>64</v>
      </c>
      <c r="Y97" s="43" t="s">
        <v>65</v>
      </c>
      <c r="Z97" s="43" t="str">
        <f>"osdisk-"&amp;VmSpecs[[#This Row],[VM Name]]</f>
        <v>osdisk-vmpfbpf2oam04</v>
      </c>
      <c r="AA97" s="47" t="s">
        <v>66</v>
      </c>
      <c r="AB97" s="73">
        <v>8</v>
      </c>
      <c r="AC97" s="74" t="s">
        <v>65</v>
      </c>
      <c r="AD97" s="74" t="str">
        <f>"disk-"&amp;VmSpecs[[#This Row],[VM Name]]&amp;"-001"</f>
        <v>disk-vmpfbpf2oam04-001</v>
      </c>
      <c r="AE97" s="73">
        <v>32</v>
      </c>
      <c r="AF97" s="74" t="s">
        <v>65</v>
      </c>
      <c r="AG97" s="43" t="str">
        <f>"disk-"&amp;VmSpecs[[#This Row],[VM Name]]&amp;"-002"</f>
        <v>disk-vmpfbpf2oam04-002</v>
      </c>
      <c r="AH97" s="59"/>
      <c r="AI97" s="42"/>
      <c r="AJ97" s="42"/>
      <c r="AK97" s="42"/>
      <c r="AL97" s="42" t="str">
        <f>MID(VmSpecs[[#This Row],[VM Name]],3,9)</f>
        <v>pfbpf2oam</v>
      </c>
      <c r="AM97" s="42" t="str" cm="1">
        <f t="array" ref="AM97">_xlfn.TEXTJOIN(CHAR(10), TRUE, IF(NfsExports[FMO Single VM IP]=VmSpecs[[#This Row],[IP]],NfsExports[FMO Export Summary],""))</f>
        <v>/apps/pcehr 30GB</v>
      </c>
      <c r="AN97" s="43" t="str" cm="1">
        <f t="array" ref="AN9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/apps/nfs/t2_shareq_pfb 15GB</v>
      </c>
      <c r="AO97" s="42"/>
      <c r="AP97" s="42" t="str">
        <f>VmSpecs[[#This Row],[Description]]</f>
        <v>OAM N4</v>
      </c>
      <c r="AQ97" s="43"/>
      <c r="AR97" s="43" t="s">
        <v>64</v>
      </c>
      <c r="AS97" s="43" t="s">
        <v>64</v>
      </c>
      <c r="AT97" s="43" t="s">
        <v>64</v>
      </c>
      <c r="AU97" s="43" t="s">
        <v>64</v>
      </c>
      <c r="AV97" s="42" t="s">
        <v>66</v>
      </c>
      <c r="AW97" s="42" t="s">
        <v>67</v>
      </c>
      <c r="AX97" s="42" t="s">
        <v>68</v>
      </c>
      <c r="AY97" s="42" t="s">
        <v>64</v>
      </c>
      <c r="AZ97" s="42" t="s">
        <v>64</v>
      </c>
      <c r="BA9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"OAM N4"
Application Service: "OAM"
Lifecycle: "PFB"</v>
      </c>
      <c r="BB97" s="78" t="s">
        <v>295</v>
      </c>
      <c r="BC97" s="42" t="str">
        <f>VLOOKUP(VmSpecs[[#This Row],[Original Hostname (CMO)]],'SSOT Data'!A:AJ,36,FALSE)</f>
        <v>OAM N4</v>
      </c>
      <c r="BD97" s="43"/>
    </row>
    <row r="98" spans="1:56" ht="29" x14ac:dyDescent="0.35">
      <c r="A98" s="42" t="s">
        <v>58</v>
      </c>
      <c r="B98" s="42" t="str">
        <f>_xlfn.XLOOKUP(VmSpecs[[#This Row],[Subnet]],NetworkReference[Subnet],NetworkReference[Subscription])</f>
        <v>NINP-PERF2</v>
      </c>
      <c r="C98" s="43" t="str">
        <f>_xlfn.XLOOKUP(VmSpecs[[#This Row],[Subnet]],NetworkReference[Subnet],NetworkReference[Virtual Network Resource Group])</f>
        <v>rg-pf2-network-aue-001</v>
      </c>
      <c r="D98" s="43" t="str">
        <f>_xlfn.XLOOKUP(VmSpecs[[#This Row],[Subnet]],NetworkReference[Subnet],NetworkReference[Virtual Network])</f>
        <v>vnet-pf2-workload-aue-001</v>
      </c>
      <c r="E98" s="132" t="s">
        <v>59</v>
      </c>
      <c r="F98" s="43" t="str">
        <f>_xlfn.XLOOKUP(VmSpecs[[#This Row],[Subnet]],NetworkReference[Subnet],NetworkReference[Virtual Network Peering])</f>
        <v>vnet-ninp-conn-pnp-hub-aue</v>
      </c>
      <c r="G98" s="43" t="str">
        <f>_xlfn.XLOOKUP(VmSpecs[[#This Row],[Subnet]],NetworkReference[Subnet],NetworkReference[Route Table])</f>
        <v>rt-sn-pfb-aue-pf2-app</v>
      </c>
      <c r="H98" s="43" t="str">
        <f>LOWER(VLOOKUP(VmSpecs[[#This Row],[Original Hostname (CMO)]],'SSOT Data'!A:K,10,FALSE))</f>
        <v>oam</v>
      </c>
      <c r="I9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98" s="44" t="s">
        <v>81</v>
      </c>
      <c r="K98" s="43" t="str">
        <f>_xlfn.CONCAT("vm",MID(VmSpecs[[#This Row],[Subnet]],4,3),VLOOKUP(VmSpecs[[#This Row],[Subscription]],NetworkReference[#All],2,FALSE),VmSpecs[[#This Row],[Service]],VmSpecs[[#This Row],[VM iteration (nn)]])</f>
        <v>vmpfbpf2oam05</v>
      </c>
      <c r="L98" s="45" t="s">
        <v>61</v>
      </c>
      <c r="M98" s="43" t="str">
        <f>VmSpecs[[#This Row],[VM Name]]&amp;".ninp.myhealthrecord.gov.au"</f>
        <v>vmpfbpf2oam05.ninp.myhealthrecord.gov.au</v>
      </c>
      <c r="N98" s="42" t="str">
        <f t="shared" si="1"/>
        <v>nic-001-vmpfbpf2oam05</v>
      </c>
      <c r="O98" s="94" t="s">
        <v>296</v>
      </c>
      <c r="P98" s="93" t="s">
        <v>63</v>
      </c>
      <c r="Q98" s="42" t="str">
        <f>VLOOKUP(VmSpecs[[#This Row],[Original Hostname (CMO)]],'SSOT Data'!A:E,5,FALSE)</f>
        <v>OEL7.9</v>
      </c>
      <c r="R98" s="83"/>
      <c r="S98" s="42" t="str">
        <f>_xlfn.CONCAT("avail-",LEFT(VmSpecs[[#This Row],[VM Name]],LEN(VmSpecs[[#This Row],[VM Name]])-2))</f>
        <v>avail-vmpfbpf2oam</v>
      </c>
      <c r="T98" s="42" t="str">
        <f>_xlfn.CONCAT("asg-",LEFT(VmSpecs[[#This Row],[VM Name]],LEN(VmSpecs[[#This Row],[VM Name]])-2))</f>
        <v>asg-vmpfbpf2oam</v>
      </c>
      <c r="U98" s="42" t="str">
        <f>_xlfn.CONCAT("nsg-",VmSpecs[[#This Row],[Subnet]])</f>
        <v>nsg-sn-pfb-aue-pf2-app</v>
      </c>
      <c r="V98" s="42" t="s">
        <v>64</v>
      </c>
      <c r="W98" s="43" t="str">
        <f>VLOOKUP(VmSpecs[[#This Row],[Original Hostname (CMO)]],'SSOT Data'!A:AX,50,FALSE)</f>
        <v>Standard_D8s_v4</v>
      </c>
      <c r="X98" s="43">
        <v>64</v>
      </c>
      <c r="Y98" s="43" t="s">
        <v>65</v>
      </c>
      <c r="Z98" s="43" t="str">
        <f>"osdisk-"&amp;VmSpecs[[#This Row],[VM Name]]</f>
        <v>osdisk-vmpfbpf2oam05</v>
      </c>
      <c r="AA98" s="47" t="s">
        <v>66</v>
      </c>
      <c r="AB98" s="73">
        <v>8</v>
      </c>
      <c r="AC98" s="74" t="s">
        <v>65</v>
      </c>
      <c r="AD98" s="74" t="str">
        <f>"disk-"&amp;VmSpecs[[#This Row],[VM Name]]&amp;"-001"</f>
        <v>disk-vmpfbpf2oam05-001</v>
      </c>
      <c r="AE98" s="73">
        <v>32</v>
      </c>
      <c r="AF98" s="74" t="s">
        <v>65</v>
      </c>
      <c r="AG98" s="43" t="str">
        <f>"disk-"&amp;VmSpecs[[#This Row],[VM Name]]&amp;"-002"</f>
        <v>disk-vmpfbpf2oam05-002</v>
      </c>
      <c r="AH98" s="59"/>
      <c r="AI98" s="42"/>
      <c r="AJ98" s="42"/>
      <c r="AK98" s="42"/>
      <c r="AL98" s="42" t="str">
        <f>MID(VmSpecs[[#This Row],[VM Name]],3,9)</f>
        <v>pfbpf2oam</v>
      </c>
      <c r="AM98" s="42" t="str" cm="1">
        <f t="array" ref="AM98">_xlfn.TEXTJOIN(CHAR(10), TRUE, IF(NfsExports[FMO Single VM IP]=VmSpecs[[#This Row],[IP]],NfsExports[FMO Export Summary],""))</f>
        <v>/apps/pcehr 30GB</v>
      </c>
      <c r="AN98" s="43" t="str" cm="1">
        <f t="array" ref="AN9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/apps/nfs/t2_shareq_pfb 15GB</v>
      </c>
      <c r="AO98" s="42"/>
      <c r="AP98" s="42" t="str">
        <f>VmSpecs[[#This Row],[Description]]</f>
        <v>OAM N5</v>
      </c>
      <c r="AQ98" s="43"/>
      <c r="AR98" s="43" t="s">
        <v>64</v>
      </c>
      <c r="AS98" s="43" t="s">
        <v>64</v>
      </c>
      <c r="AT98" s="43" t="s">
        <v>64</v>
      </c>
      <c r="AU98" s="43" t="s">
        <v>64</v>
      </c>
      <c r="AV98" s="42" t="s">
        <v>66</v>
      </c>
      <c r="AW98" s="42" t="s">
        <v>67</v>
      </c>
      <c r="AX98" s="42" t="s">
        <v>68</v>
      </c>
      <c r="AY98" s="42" t="s">
        <v>64</v>
      </c>
      <c r="AZ98" s="42" t="s">
        <v>64</v>
      </c>
      <c r="BA9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"OAM N5"
Application Service: "OAM"
Lifecycle: "PFB"</v>
      </c>
      <c r="BB98" s="78" t="s">
        <v>297</v>
      </c>
      <c r="BC98" s="42" t="str">
        <f>VLOOKUP(VmSpecs[[#This Row],[Original Hostname (CMO)]],'SSOT Data'!A:AJ,36,FALSE)</f>
        <v>OAM N5</v>
      </c>
      <c r="BD98" s="43"/>
    </row>
    <row r="99" spans="1:56" ht="29" x14ac:dyDescent="0.35">
      <c r="A99" s="42" t="s">
        <v>58</v>
      </c>
      <c r="B99" s="42" t="str">
        <f>_xlfn.XLOOKUP(VmSpecs[[#This Row],[Subnet]],NetworkReference[Subnet],NetworkReference[Subscription])</f>
        <v>NINP-PERF2</v>
      </c>
      <c r="C99" s="43" t="str">
        <f>_xlfn.XLOOKUP(VmSpecs[[#This Row],[Subnet]],NetworkReference[Subnet],NetworkReference[Virtual Network Resource Group])</f>
        <v>rg-pf2-network-aue-001</v>
      </c>
      <c r="D99" s="43" t="str">
        <f>_xlfn.XLOOKUP(VmSpecs[[#This Row],[Subnet]],NetworkReference[Subnet],NetworkReference[Virtual Network])</f>
        <v>vnet-pf2-workload-aue-001</v>
      </c>
      <c r="E99" s="132" t="s">
        <v>59</v>
      </c>
      <c r="F99" s="43" t="str">
        <f>_xlfn.XLOOKUP(VmSpecs[[#This Row],[Subnet]],NetworkReference[Subnet],NetworkReference[Virtual Network Peering])</f>
        <v>vnet-ninp-conn-pnp-hub-aue</v>
      </c>
      <c r="G99" s="43" t="str">
        <f>_xlfn.XLOOKUP(VmSpecs[[#This Row],[Subnet]],NetworkReference[Subnet],NetworkReference[Route Table])</f>
        <v>rt-sn-pfb-aue-pf2-app</v>
      </c>
      <c r="H99" s="43" t="str">
        <f>LOWER(VLOOKUP(VmSpecs[[#This Row],[Original Hostname (CMO)]],'SSOT Data'!A:K,10,FALSE))</f>
        <v>oam</v>
      </c>
      <c r="I9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99" s="44" t="s">
        <v>84</v>
      </c>
      <c r="K99" s="43" t="str">
        <f>_xlfn.CONCAT("vm",MID(VmSpecs[[#This Row],[Subnet]],4,3),VLOOKUP(VmSpecs[[#This Row],[Subscription]],NetworkReference[#All],2,FALSE),VmSpecs[[#This Row],[Service]],VmSpecs[[#This Row],[VM iteration (nn)]])</f>
        <v>vmpfbpf2oam06</v>
      </c>
      <c r="L99" s="45" t="s">
        <v>61</v>
      </c>
      <c r="M99" s="43" t="str">
        <f>VmSpecs[[#This Row],[VM Name]]&amp;".ninp.myhealthrecord.gov.au"</f>
        <v>vmpfbpf2oam06.ninp.myhealthrecord.gov.au</v>
      </c>
      <c r="N99" s="42" t="str">
        <f t="shared" si="1"/>
        <v>nic-001-vmpfbpf2oam06</v>
      </c>
      <c r="O99" s="94" t="s">
        <v>298</v>
      </c>
      <c r="P99" s="93" t="s">
        <v>63</v>
      </c>
      <c r="Q99" s="42" t="str">
        <f>VLOOKUP(VmSpecs[[#This Row],[Original Hostname (CMO)]],'SSOT Data'!A:E,5,FALSE)</f>
        <v>OEL7.9</v>
      </c>
      <c r="R99" s="83"/>
      <c r="S99" s="42" t="str">
        <f>_xlfn.CONCAT("avail-",LEFT(VmSpecs[[#This Row],[VM Name]],LEN(VmSpecs[[#This Row],[VM Name]])-2))</f>
        <v>avail-vmpfbpf2oam</v>
      </c>
      <c r="T99" s="42" t="str">
        <f>_xlfn.CONCAT("asg-",LEFT(VmSpecs[[#This Row],[VM Name]],LEN(VmSpecs[[#This Row],[VM Name]])-2))</f>
        <v>asg-vmpfbpf2oam</v>
      </c>
      <c r="U99" s="42" t="str">
        <f>_xlfn.CONCAT("nsg-",VmSpecs[[#This Row],[Subnet]])</f>
        <v>nsg-sn-pfb-aue-pf2-app</v>
      </c>
      <c r="V99" s="42" t="s">
        <v>64</v>
      </c>
      <c r="W99" s="43" t="str">
        <f>VLOOKUP(VmSpecs[[#This Row],[Original Hostname (CMO)]],'SSOT Data'!A:AX,50,FALSE)</f>
        <v>Standard_D8s_v4</v>
      </c>
      <c r="X99" s="43">
        <v>64</v>
      </c>
      <c r="Y99" s="43" t="s">
        <v>65</v>
      </c>
      <c r="Z99" s="43" t="str">
        <f>"osdisk-"&amp;VmSpecs[[#This Row],[VM Name]]</f>
        <v>osdisk-vmpfbpf2oam06</v>
      </c>
      <c r="AA99" s="47" t="s">
        <v>66</v>
      </c>
      <c r="AB99" s="73">
        <v>8</v>
      </c>
      <c r="AC99" s="74" t="s">
        <v>65</v>
      </c>
      <c r="AD99" s="74" t="str">
        <f>"disk-"&amp;VmSpecs[[#This Row],[VM Name]]&amp;"-001"</f>
        <v>disk-vmpfbpf2oam06-001</v>
      </c>
      <c r="AE99" s="73">
        <v>32</v>
      </c>
      <c r="AF99" s="74" t="s">
        <v>65</v>
      </c>
      <c r="AG99" s="43" t="str">
        <f>"disk-"&amp;VmSpecs[[#This Row],[VM Name]]&amp;"-002"</f>
        <v>disk-vmpfbpf2oam06-002</v>
      </c>
      <c r="AH99" s="59"/>
      <c r="AI99" s="42"/>
      <c r="AJ99" s="42"/>
      <c r="AK99" s="42"/>
      <c r="AL99" s="42" t="str">
        <f>MID(VmSpecs[[#This Row],[VM Name]],3,9)</f>
        <v>pfbpf2oam</v>
      </c>
      <c r="AM99" s="42" t="str" cm="1">
        <f t="array" ref="AM99">_xlfn.TEXTJOIN(CHAR(10), TRUE, IF(NfsExports[FMO Single VM IP]=VmSpecs[[#This Row],[IP]],NfsExports[FMO Export Summary],""))</f>
        <v>/apps/pcehr 30GB</v>
      </c>
      <c r="AN99" s="43" t="str" cm="1">
        <f t="array" ref="AN9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/apps/nfs/t2_shareq_pfb 15GB</v>
      </c>
      <c r="AO99" s="42"/>
      <c r="AP99" s="42" t="str">
        <f>VmSpecs[[#This Row],[Description]]</f>
        <v>OAM N6</v>
      </c>
      <c r="AQ99" s="43"/>
      <c r="AR99" s="43" t="s">
        <v>64</v>
      </c>
      <c r="AS99" s="43" t="s">
        <v>64</v>
      </c>
      <c r="AT99" s="43" t="s">
        <v>64</v>
      </c>
      <c r="AU99" s="43" t="s">
        <v>64</v>
      </c>
      <c r="AV99" s="42" t="s">
        <v>66</v>
      </c>
      <c r="AW99" s="42" t="s">
        <v>67</v>
      </c>
      <c r="AX99" s="42" t="s">
        <v>68</v>
      </c>
      <c r="AY99" s="42" t="s">
        <v>64</v>
      </c>
      <c r="AZ99" s="42" t="s">
        <v>64</v>
      </c>
      <c r="BA9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"OAM N6"
Application Service: "OAM"
Lifecycle: "PFB"</v>
      </c>
      <c r="BB99" s="78" t="s">
        <v>299</v>
      </c>
      <c r="BC99" s="42" t="str">
        <f>VLOOKUP(VmSpecs[[#This Row],[Original Hostname (CMO)]],'SSOT Data'!A:AJ,36,FALSE)</f>
        <v>OAM N6</v>
      </c>
      <c r="BD99" s="43"/>
    </row>
    <row r="100" spans="1:56" ht="29" x14ac:dyDescent="0.35">
      <c r="A100" s="42" t="s">
        <v>58</v>
      </c>
      <c r="B100" s="42" t="str">
        <f>_xlfn.XLOOKUP(VmSpecs[[#This Row],[Subnet]],NetworkReference[Subnet],NetworkReference[Subscription])</f>
        <v>NINP-PERF2</v>
      </c>
      <c r="C100" s="43" t="str">
        <f>_xlfn.XLOOKUP(VmSpecs[[#This Row],[Subnet]],NetworkReference[Subnet],NetworkReference[Virtual Network Resource Group])</f>
        <v>rg-pf2-network-aue-001</v>
      </c>
      <c r="D100" s="43" t="str">
        <f>_xlfn.XLOOKUP(VmSpecs[[#This Row],[Subnet]],NetworkReference[Subnet],NetworkReference[Virtual Network])</f>
        <v>vnet-pf2-workload-aue-001</v>
      </c>
      <c r="E100" s="132" t="s">
        <v>59</v>
      </c>
      <c r="F100" s="43" t="str">
        <f>_xlfn.XLOOKUP(VmSpecs[[#This Row],[Subnet]],NetworkReference[Subnet],NetworkReference[Virtual Network Peering])</f>
        <v>vnet-ninp-conn-pnp-hub-aue</v>
      </c>
      <c r="G100" s="43" t="str">
        <f>_xlfn.XLOOKUP(VmSpecs[[#This Row],[Subnet]],NetworkReference[Subnet],NetworkReference[Route Table])</f>
        <v>rt-sn-pfb-aue-pf2-app</v>
      </c>
      <c r="H100" s="43" t="str">
        <f>LOWER(VLOOKUP(VmSpecs[[#This Row],[Original Hostname (CMO)]],'SSOT Data'!A:K,10,FALSE))</f>
        <v>oam</v>
      </c>
      <c r="I10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00" s="44" t="s">
        <v>99</v>
      </c>
      <c r="K100" s="43" t="str">
        <f>_xlfn.CONCAT("vm",MID(VmSpecs[[#This Row],[Subnet]],4,3),VLOOKUP(VmSpecs[[#This Row],[Subscription]],NetworkReference[#All],2,FALSE),VmSpecs[[#This Row],[Service]],VmSpecs[[#This Row],[VM iteration (nn)]])</f>
        <v>vmpfbpf2oam07</v>
      </c>
      <c r="L100" s="45" t="s">
        <v>61</v>
      </c>
      <c r="M100" s="43" t="str">
        <f>VmSpecs[[#This Row],[VM Name]]&amp;".ninp.myhealthrecord.gov.au"</f>
        <v>vmpfbpf2oam07.ninp.myhealthrecord.gov.au</v>
      </c>
      <c r="N100" s="42" t="str">
        <f t="shared" si="1"/>
        <v>nic-001-vmpfbpf2oam07</v>
      </c>
      <c r="O100" s="94" t="s">
        <v>300</v>
      </c>
      <c r="P100" s="93" t="s">
        <v>63</v>
      </c>
      <c r="Q100" s="42" t="str">
        <f>VLOOKUP(VmSpecs[[#This Row],[Original Hostname (CMO)]],'SSOT Data'!A:E,5,FALSE)</f>
        <v>OEL7.9</v>
      </c>
      <c r="R100" s="83"/>
      <c r="S100" s="42" t="str">
        <f>_xlfn.CONCAT("avail-",LEFT(VmSpecs[[#This Row],[VM Name]],LEN(VmSpecs[[#This Row],[VM Name]])-2))</f>
        <v>avail-vmpfbpf2oam</v>
      </c>
      <c r="T100" s="42" t="str">
        <f>_xlfn.CONCAT("asg-",LEFT(VmSpecs[[#This Row],[VM Name]],LEN(VmSpecs[[#This Row],[VM Name]])-2))</f>
        <v>asg-vmpfbpf2oam</v>
      </c>
      <c r="U100" s="42" t="str">
        <f>_xlfn.CONCAT("nsg-",VmSpecs[[#This Row],[Subnet]])</f>
        <v>nsg-sn-pfb-aue-pf2-app</v>
      </c>
      <c r="V100" s="42" t="s">
        <v>64</v>
      </c>
      <c r="W100" s="43" t="str">
        <f>VLOOKUP(VmSpecs[[#This Row],[Original Hostname (CMO)]],'SSOT Data'!A:AX,50,FALSE)</f>
        <v>Standard_D8s_v4</v>
      </c>
      <c r="X100" s="43">
        <v>64</v>
      </c>
      <c r="Y100" s="43" t="s">
        <v>65</v>
      </c>
      <c r="Z100" s="43" t="str">
        <f>"osdisk-"&amp;VmSpecs[[#This Row],[VM Name]]</f>
        <v>osdisk-vmpfbpf2oam07</v>
      </c>
      <c r="AA100" s="47" t="s">
        <v>66</v>
      </c>
      <c r="AB100" s="73">
        <v>8</v>
      </c>
      <c r="AC100" s="74" t="s">
        <v>65</v>
      </c>
      <c r="AD100" s="75" t="str">
        <f>"disk-"&amp;VmSpecs[[#This Row],[VM Name]]&amp;"-001"</f>
        <v>disk-vmpfbpf2oam07-001</v>
      </c>
      <c r="AE100" s="73">
        <v>32</v>
      </c>
      <c r="AF100" s="74" t="s">
        <v>65</v>
      </c>
      <c r="AG100" s="43" t="str">
        <f>"disk-"&amp;VmSpecs[[#This Row],[VM Name]]&amp;"-002"</f>
        <v>disk-vmpfbpf2oam07-002</v>
      </c>
      <c r="AH100" s="59"/>
      <c r="AI100" s="42"/>
      <c r="AJ100" s="42"/>
      <c r="AK100" s="42"/>
      <c r="AL100" s="42" t="str">
        <f>MID(VmSpecs[[#This Row],[VM Name]],3,9)</f>
        <v>pfbpf2oam</v>
      </c>
      <c r="AM100" s="42" t="str" cm="1">
        <f t="array" ref="AM100">_xlfn.TEXTJOIN(CHAR(10), TRUE, IF(NfsExports[FMO Single VM IP]=VmSpecs[[#This Row],[IP]],NfsExports[FMO Export Summary],""))</f>
        <v>/apps/pcehr 30GB</v>
      </c>
      <c r="AN100" s="43" t="str" cm="1">
        <f t="array" ref="AN10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/apps/nfs/t2_shareq_pfb 15GB</v>
      </c>
      <c r="AO100" s="42"/>
      <c r="AP100" s="42" t="str">
        <f>VmSpecs[[#This Row],[Description]]</f>
        <v>OAM N7</v>
      </c>
      <c r="AQ100" s="43"/>
      <c r="AR100" s="43" t="s">
        <v>64</v>
      </c>
      <c r="AS100" s="43" t="s">
        <v>64</v>
      </c>
      <c r="AT100" s="43" t="s">
        <v>64</v>
      </c>
      <c r="AU100" s="43" t="s">
        <v>64</v>
      </c>
      <c r="AV100" s="42" t="s">
        <v>66</v>
      </c>
      <c r="AW100" s="42" t="s">
        <v>67</v>
      </c>
      <c r="AX100" s="42" t="s">
        <v>68</v>
      </c>
      <c r="AY100" s="42" t="s">
        <v>64</v>
      </c>
      <c r="AZ100" s="42" t="s">
        <v>64</v>
      </c>
      <c r="BA10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"OAM N7"
Application Service: "OAM"
Lifecycle: "PFB"</v>
      </c>
      <c r="BB100" s="78" t="s">
        <v>301</v>
      </c>
      <c r="BC100" s="42" t="str">
        <f>VLOOKUP(VmSpecs[[#This Row],[Original Hostname (CMO)]],'SSOT Data'!A:AJ,36,FALSE)</f>
        <v>OAM N7</v>
      </c>
      <c r="BD100" s="43"/>
    </row>
    <row r="101" spans="1:56" ht="29" x14ac:dyDescent="0.35">
      <c r="A101" s="42" t="s">
        <v>58</v>
      </c>
      <c r="B101" s="42" t="str">
        <f>_xlfn.XLOOKUP(VmSpecs[[#This Row],[Subnet]],NetworkReference[Subnet],NetworkReference[Subscription])</f>
        <v>NINP-PERF2</v>
      </c>
      <c r="C101" s="43" t="str">
        <f>_xlfn.XLOOKUP(VmSpecs[[#This Row],[Subnet]],NetworkReference[Subnet],NetworkReference[Virtual Network Resource Group])</f>
        <v>rg-pf2-network-aue-001</v>
      </c>
      <c r="D101" s="43" t="str">
        <f>_xlfn.XLOOKUP(VmSpecs[[#This Row],[Subnet]],NetworkReference[Subnet],NetworkReference[Virtual Network])</f>
        <v>vnet-pf2-workload-aue-001</v>
      </c>
      <c r="E101" s="132" t="s">
        <v>59</v>
      </c>
      <c r="F101" s="43" t="str">
        <f>_xlfn.XLOOKUP(VmSpecs[[#This Row],[Subnet]],NetworkReference[Subnet],NetworkReference[Virtual Network Peering])</f>
        <v>vnet-ninp-conn-pnp-hub-aue</v>
      </c>
      <c r="G101" s="43" t="str">
        <f>_xlfn.XLOOKUP(VmSpecs[[#This Row],[Subnet]],NetworkReference[Subnet],NetworkReference[Route Table])</f>
        <v>rt-sn-pfb-aue-pf2-app</v>
      </c>
      <c r="H101" s="43" t="str">
        <f>LOWER(VLOOKUP(VmSpecs[[#This Row],[Original Hostname (CMO)]],'SSOT Data'!A:K,10,FALSE))</f>
        <v>oam</v>
      </c>
      <c r="I10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01" s="44" t="s">
        <v>102</v>
      </c>
      <c r="K101" s="43" t="str">
        <f>_xlfn.CONCAT("vm",MID(VmSpecs[[#This Row],[Subnet]],4,3),VLOOKUP(VmSpecs[[#This Row],[Subscription]],NetworkReference[#All],2,FALSE),VmSpecs[[#This Row],[Service]],VmSpecs[[#This Row],[VM iteration (nn)]])</f>
        <v>vmpfbpf2oam08</v>
      </c>
      <c r="L101" s="45" t="s">
        <v>61</v>
      </c>
      <c r="M101" s="43" t="str">
        <f>VmSpecs[[#This Row],[VM Name]]&amp;".ninp.myhealthrecord.gov.au"</f>
        <v>vmpfbpf2oam08.ninp.myhealthrecord.gov.au</v>
      </c>
      <c r="N101" s="42" t="str">
        <f t="shared" si="1"/>
        <v>nic-001-vmpfbpf2oam08</v>
      </c>
      <c r="O101" s="94" t="s">
        <v>302</v>
      </c>
      <c r="P101" s="93" t="s">
        <v>63</v>
      </c>
      <c r="Q101" s="42" t="str">
        <f>VLOOKUP(VmSpecs[[#This Row],[Original Hostname (CMO)]],'SSOT Data'!A:E,5,FALSE)</f>
        <v>OEL7.9</v>
      </c>
      <c r="R101" s="83"/>
      <c r="S101" s="42" t="str">
        <f>_xlfn.CONCAT("avail-",LEFT(VmSpecs[[#This Row],[VM Name]],LEN(VmSpecs[[#This Row],[VM Name]])-2))</f>
        <v>avail-vmpfbpf2oam</v>
      </c>
      <c r="T101" s="42" t="str">
        <f>_xlfn.CONCAT("asg-",LEFT(VmSpecs[[#This Row],[VM Name]],LEN(VmSpecs[[#This Row],[VM Name]])-2))</f>
        <v>asg-vmpfbpf2oam</v>
      </c>
      <c r="U101" s="42" t="str">
        <f>_xlfn.CONCAT("nsg-",VmSpecs[[#This Row],[Subnet]])</f>
        <v>nsg-sn-pfb-aue-pf2-app</v>
      </c>
      <c r="V101" s="42" t="s">
        <v>64</v>
      </c>
      <c r="W101" s="43" t="str">
        <f>VLOOKUP(VmSpecs[[#This Row],[Original Hostname (CMO)]],'SSOT Data'!A:AX,50,FALSE)</f>
        <v>Standard_D8s_v4</v>
      </c>
      <c r="X101" s="43">
        <v>64</v>
      </c>
      <c r="Y101" s="43" t="s">
        <v>65</v>
      </c>
      <c r="Z101" s="43" t="str">
        <f>"osdisk-"&amp;VmSpecs[[#This Row],[VM Name]]</f>
        <v>osdisk-vmpfbpf2oam08</v>
      </c>
      <c r="AA101" s="47" t="s">
        <v>66</v>
      </c>
      <c r="AB101" s="73">
        <v>8</v>
      </c>
      <c r="AC101" s="74" t="s">
        <v>65</v>
      </c>
      <c r="AD101" s="75" t="str">
        <f>"disk-"&amp;VmSpecs[[#This Row],[VM Name]]&amp;"-001"</f>
        <v>disk-vmpfbpf2oam08-001</v>
      </c>
      <c r="AE101" s="73">
        <v>32</v>
      </c>
      <c r="AF101" s="74" t="s">
        <v>65</v>
      </c>
      <c r="AG101" s="43" t="str">
        <f>"disk-"&amp;VmSpecs[[#This Row],[VM Name]]&amp;"-002"</f>
        <v>disk-vmpfbpf2oam08-002</v>
      </c>
      <c r="AH101" s="59"/>
      <c r="AI101" s="42"/>
      <c r="AJ101" s="42"/>
      <c r="AK101" s="42"/>
      <c r="AL101" s="42" t="str">
        <f>MID(VmSpecs[[#This Row],[VM Name]],3,9)</f>
        <v>pfbpf2oam</v>
      </c>
      <c r="AM101" s="42" t="str" cm="1">
        <f t="array" ref="AM101">_xlfn.TEXTJOIN(CHAR(10), TRUE, IF(NfsExports[FMO Single VM IP]=VmSpecs[[#This Row],[IP]],NfsExports[FMO Export Summary],""))</f>
        <v>/apps/pcehr 30GB</v>
      </c>
      <c r="AN101" s="43" t="str" cm="1">
        <f t="array" ref="AN10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/apps/nfs/t2_shareq_pfb 15GB</v>
      </c>
      <c r="AO101" s="42"/>
      <c r="AP101" s="42" t="str">
        <f>VmSpecs[[#This Row],[Description]]</f>
        <v>OAM N8</v>
      </c>
      <c r="AQ101" s="43"/>
      <c r="AR101" s="43" t="s">
        <v>64</v>
      </c>
      <c r="AS101" s="43" t="s">
        <v>64</v>
      </c>
      <c r="AT101" s="43" t="s">
        <v>64</v>
      </c>
      <c r="AU101" s="43" t="s">
        <v>64</v>
      </c>
      <c r="AV101" s="42" t="s">
        <v>66</v>
      </c>
      <c r="AW101" s="42" t="s">
        <v>67</v>
      </c>
      <c r="AX101" s="42" t="s">
        <v>68</v>
      </c>
      <c r="AY101" s="42" t="s">
        <v>64</v>
      </c>
      <c r="AZ101" s="42" t="s">
        <v>64</v>
      </c>
      <c r="BA10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"OAM N8"
Application Service: "OAM"
Lifecycle: "PFB"</v>
      </c>
      <c r="BB101" s="78" t="s">
        <v>303</v>
      </c>
      <c r="BC101" s="42" t="str">
        <f>VLOOKUP(VmSpecs[[#This Row],[Original Hostname (CMO)]],'SSOT Data'!A:AJ,36,FALSE)</f>
        <v>OAM N8</v>
      </c>
      <c r="BD101" s="43"/>
    </row>
    <row r="102" spans="1:56" ht="29" x14ac:dyDescent="0.35">
      <c r="A102" s="42" t="s">
        <v>58</v>
      </c>
      <c r="B102" s="42" t="str">
        <f>_xlfn.XLOOKUP(VmSpecs[[#This Row],[Subnet]],NetworkReference[Subnet],NetworkReference[Subscription])</f>
        <v>NINP-PERF2</v>
      </c>
      <c r="C102" s="43" t="str">
        <f>_xlfn.XLOOKUP(VmSpecs[[#This Row],[Subnet]],NetworkReference[Subnet],NetworkReference[Virtual Network Resource Group])</f>
        <v>rg-pf2-network-aue-001</v>
      </c>
      <c r="D102" s="43" t="str">
        <f>_xlfn.XLOOKUP(VmSpecs[[#This Row],[Subnet]],NetworkReference[Subnet],NetworkReference[Virtual Network])</f>
        <v>vnet-pf2-workload-aue-001</v>
      </c>
      <c r="E102" s="132" t="s">
        <v>59</v>
      </c>
      <c r="F102" s="43" t="str">
        <f>_xlfn.XLOOKUP(VmSpecs[[#This Row],[Subnet]],NetworkReference[Subnet],NetworkReference[Virtual Network Peering])</f>
        <v>vnet-ninp-conn-pnp-hub-aue</v>
      </c>
      <c r="G102" s="43" t="str">
        <f>_xlfn.XLOOKUP(VmSpecs[[#This Row],[Subnet]],NetworkReference[Subnet],NetworkReference[Route Table])</f>
        <v>rt-sn-pfb-aue-pf2-app</v>
      </c>
      <c r="H102" s="43" t="str">
        <f>LOWER(VLOOKUP(VmSpecs[[#This Row],[Original Hostname (CMO)]],'SSOT Data'!A:K,10,FALSE))</f>
        <v>oes</v>
      </c>
      <c r="I10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02" s="44" t="s">
        <v>60</v>
      </c>
      <c r="K102" s="43" t="str">
        <f>_xlfn.CONCAT("vm",MID(VmSpecs[[#This Row],[Subnet]],4,3),VLOOKUP(VmSpecs[[#This Row],[Subscription]],NetworkReference[#All],2,FALSE),VmSpecs[[#This Row],[Service]],VmSpecs[[#This Row],[VM iteration (nn)]])</f>
        <v>vmpfbpf2oes01</v>
      </c>
      <c r="L102" s="45" t="s">
        <v>61</v>
      </c>
      <c r="M102" s="43" t="str">
        <f>VmSpecs[[#This Row],[VM Name]]&amp;".ninp.myhealthrecord.gov.au"</f>
        <v>vmpfbpf2oes01.ninp.myhealthrecord.gov.au</v>
      </c>
      <c r="N102" s="42" t="str">
        <f t="shared" si="1"/>
        <v>nic-001-vmpfbpf2oes01</v>
      </c>
      <c r="O102" s="94" t="s">
        <v>304</v>
      </c>
      <c r="P102" s="93" t="s">
        <v>63</v>
      </c>
      <c r="Q102" s="42" t="str">
        <f>VLOOKUP(VmSpecs[[#This Row],[Original Hostname (CMO)]],'SSOT Data'!A:E,5,FALSE)</f>
        <v>OEL7.9</v>
      </c>
      <c r="R102" s="83"/>
      <c r="S102" s="42" t="str">
        <f>_xlfn.CONCAT("avail-",LEFT(VmSpecs[[#This Row],[VM Name]],LEN(VmSpecs[[#This Row],[VM Name]])-2))</f>
        <v>avail-vmpfbpf2oes</v>
      </c>
      <c r="T102" s="42" t="str">
        <f>_xlfn.CONCAT("asg-",LEFT(VmSpecs[[#This Row],[VM Name]],LEN(VmSpecs[[#This Row],[VM Name]])-2))</f>
        <v>asg-vmpfbpf2oes</v>
      </c>
      <c r="U102" s="42" t="str">
        <f>_xlfn.CONCAT("nsg-",VmSpecs[[#This Row],[Subnet]])</f>
        <v>nsg-sn-pfb-aue-pf2-app</v>
      </c>
      <c r="V102" s="42" t="s">
        <v>64</v>
      </c>
      <c r="W102" s="43" t="str">
        <f>VLOOKUP(VmSpecs[[#This Row],[Original Hostname (CMO)]],'SSOT Data'!A:AX,50,FALSE)</f>
        <v>Standard_D4s_v4</v>
      </c>
      <c r="X102" s="43">
        <v>64</v>
      </c>
      <c r="Y102" s="43" t="s">
        <v>65</v>
      </c>
      <c r="Z102" s="43" t="str">
        <f>"osdisk-"&amp;VmSpecs[[#This Row],[VM Name]]</f>
        <v>osdisk-vmpfbpf2oes01</v>
      </c>
      <c r="AA102" s="47" t="s">
        <v>66</v>
      </c>
      <c r="AB102" s="73">
        <v>8</v>
      </c>
      <c r="AC102" s="74" t="s">
        <v>65</v>
      </c>
      <c r="AD102" s="75" t="str">
        <f>"disk-"&amp;VmSpecs[[#This Row],[VM Name]]&amp;"-001"</f>
        <v>disk-vmpfbpf2oes01-001</v>
      </c>
      <c r="AE102" s="73">
        <v>32</v>
      </c>
      <c r="AF102" s="74" t="s">
        <v>65</v>
      </c>
      <c r="AG102" s="43" t="str">
        <f>"disk-"&amp;VmSpecs[[#This Row],[VM Name]]&amp;"-002"</f>
        <v>disk-vmpfbpf2oes01-002</v>
      </c>
      <c r="AH102" s="59"/>
      <c r="AI102" s="42"/>
      <c r="AJ102" s="42"/>
      <c r="AK102" s="42"/>
      <c r="AL102" s="42" t="str">
        <f>MID(VmSpecs[[#This Row],[VM Name]],3,9)</f>
        <v>pfbpf2oes</v>
      </c>
      <c r="AM102" s="42" t="str" cm="1">
        <f t="array" ref="AM102">_xlfn.TEXTJOIN(CHAR(10), TRUE, IF(NfsExports[FMO Single VM IP]=VmSpecs[[#This Row],[IP]],NfsExports[FMO Export Summary],""))</f>
        <v>/apps/pcehr 30GB</v>
      </c>
      <c r="AN102" s="43" t="str" cm="1">
        <f t="array" ref="AN10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02" s="42"/>
      <c r="AP102" s="42" t="str">
        <f>VmSpecs[[#This Row],[Description]]</f>
        <v>OES N1</v>
      </c>
      <c r="AQ102" s="43"/>
      <c r="AR102" s="43" t="s">
        <v>64</v>
      </c>
      <c r="AS102" s="43" t="s">
        <v>64</v>
      </c>
      <c r="AT102" s="43" t="s">
        <v>64</v>
      </c>
      <c r="AU102" s="43" t="s">
        <v>64</v>
      </c>
      <c r="AV102" s="42" t="s">
        <v>66</v>
      </c>
      <c r="AW102" s="42" t="s">
        <v>67</v>
      </c>
      <c r="AX102" s="42" t="s">
        <v>68</v>
      </c>
      <c r="AY102" s="42" t="s">
        <v>64</v>
      </c>
      <c r="AZ102" s="42" t="s">
        <v>64</v>
      </c>
      <c r="BA10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N1"
Application Service: "OES"
Lifecycle: "PFB"</v>
      </c>
      <c r="BB102" s="78" t="s">
        <v>305</v>
      </c>
      <c r="BC102" s="42" t="str">
        <f>VLOOKUP(VmSpecs[[#This Row],[Original Hostname (CMO)]],'SSOT Data'!A:AJ,36,FALSE)</f>
        <v>OES N1</v>
      </c>
      <c r="BD102" s="43"/>
    </row>
    <row r="103" spans="1:56" ht="29" x14ac:dyDescent="0.35">
      <c r="A103" s="42" t="s">
        <v>58</v>
      </c>
      <c r="B103" s="42" t="str">
        <f>_xlfn.XLOOKUP(VmSpecs[[#This Row],[Subnet]],NetworkReference[Subnet],NetworkReference[Subscription])</f>
        <v>NINP-PERF2</v>
      </c>
      <c r="C103" s="43" t="str">
        <f>_xlfn.XLOOKUP(VmSpecs[[#This Row],[Subnet]],NetworkReference[Subnet],NetworkReference[Virtual Network Resource Group])</f>
        <v>rg-pf2-network-aue-001</v>
      </c>
      <c r="D103" s="43" t="str">
        <f>_xlfn.XLOOKUP(VmSpecs[[#This Row],[Subnet]],NetworkReference[Subnet],NetworkReference[Virtual Network])</f>
        <v>vnet-pf2-workload-aue-001</v>
      </c>
      <c r="E103" s="132" t="s">
        <v>59</v>
      </c>
      <c r="F103" s="43" t="str">
        <f>_xlfn.XLOOKUP(VmSpecs[[#This Row],[Subnet]],NetworkReference[Subnet],NetworkReference[Virtual Network Peering])</f>
        <v>vnet-ninp-conn-pnp-hub-aue</v>
      </c>
      <c r="G103" s="43" t="str">
        <f>_xlfn.XLOOKUP(VmSpecs[[#This Row],[Subnet]],NetworkReference[Subnet],NetworkReference[Route Table])</f>
        <v>rt-sn-pfb-aue-pf2-app</v>
      </c>
      <c r="H103" s="43" t="str">
        <f>LOWER(VLOOKUP(VmSpecs[[#This Row],[Original Hostname (CMO)]],'SSOT Data'!A:K,10,FALSE))</f>
        <v>oes</v>
      </c>
      <c r="I10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03" s="44" t="s">
        <v>72</v>
      </c>
      <c r="K103" s="43" t="str">
        <f>_xlfn.CONCAT("vm",MID(VmSpecs[[#This Row],[Subnet]],4,3),VLOOKUP(VmSpecs[[#This Row],[Subscription]],NetworkReference[#All],2,FALSE),VmSpecs[[#This Row],[Service]],VmSpecs[[#This Row],[VM iteration (nn)]])</f>
        <v>vmpfbpf2oes02</v>
      </c>
      <c r="L103" s="45" t="s">
        <v>61</v>
      </c>
      <c r="M103" s="43" t="str">
        <f>VmSpecs[[#This Row],[VM Name]]&amp;".ninp.myhealthrecord.gov.au"</f>
        <v>vmpfbpf2oes02.ninp.myhealthrecord.gov.au</v>
      </c>
      <c r="N103" s="42" t="str">
        <f t="shared" si="1"/>
        <v>nic-001-vmpfbpf2oes02</v>
      </c>
      <c r="O103" s="94" t="s">
        <v>306</v>
      </c>
      <c r="P103" s="93" t="s">
        <v>63</v>
      </c>
      <c r="Q103" s="42" t="str">
        <f>VLOOKUP(VmSpecs[[#This Row],[Original Hostname (CMO)]],'SSOT Data'!A:E,5,FALSE)</f>
        <v>OEL7.9</v>
      </c>
      <c r="R103" s="83"/>
      <c r="S103" s="42" t="str">
        <f>_xlfn.CONCAT("avail-",LEFT(VmSpecs[[#This Row],[VM Name]],LEN(VmSpecs[[#This Row],[VM Name]])-2))</f>
        <v>avail-vmpfbpf2oes</v>
      </c>
      <c r="T103" s="42" t="str">
        <f>_xlfn.CONCAT("asg-",LEFT(VmSpecs[[#This Row],[VM Name]],LEN(VmSpecs[[#This Row],[VM Name]])-2))</f>
        <v>asg-vmpfbpf2oes</v>
      </c>
      <c r="U103" s="42" t="str">
        <f>_xlfn.CONCAT("nsg-",VmSpecs[[#This Row],[Subnet]])</f>
        <v>nsg-sn-pfb-aue-pf2-app</v>
      </c>
      <c r="V103" s="42" t="s">
        <v>64</v>
      </c>
      <c r="W103" s="43" t="str">
        <f>VLOOKUP(VmSpecs[[#This Row],[Original Hostname (CMO)]],'SSOT Data'!A:AX,50,FALSE)</f>
        <v>Standard_D4s_v4</v>
      </c>
      <c r="X103" s="43">
        <v>64</v>
      </c>
      <c r="Y103" s="43" t="s">
        <v>65</v>
      </c>
      <c r="Z103" s="43" t="str">
        <f>"osdisk-"&amp;VmSpecs[[#This Row],[VM Name]]</f>
        <v>osdisk-vmpfbpf2oes02</v>
      </c>
      <c r="AA103" s="47" t="s">
        <v>66</v>
      </c>
      <c r="AB103" s="73">
        <v>8</v>
      </c>
      <c r="AC103" s="74" t="s">
        <v>65</v>
      </c>
      <c r="AD103" s="75" t="str">
        <f>"disk-"&amp;VmSpecs[[#This Row],[VM Name]]&amp;"-001"</f>
        <v>disk-vmpfbpf2oes02-001</v>
      </c>
      <c r="AE103" s="73">
        <v>32</v>
      </c>
      <c r="AF103" s="74" t="s">
        <v>65</v>
      </c>
      <c r="AG103" s="43" t="str">
        <f>"disk-"&amp;VmSpecs[[#This Row],[VM Name]]&amp;"-002"</f>
        <v>disk-vmpfbpf2oes02-002</v>
      </c>
      <c r="AH103" s="59"/>
      <c r="AI103" s="42"/>
      <c r="AJ103" s="42"/>
      <c r="AK103" s="42"/>
      <c r="AL103" s="42" t="str">
        <f>MID(VmSpecs[[#This Row],[VM Name]],3,9)</f>
        <v>pfbpf2oes</v>
      </c>
      <c r="AM103" s="42" t="str" cm="1">
        <f t="array" ref="AM103">_xlfn.TEXTJOIN(CHAR(10), TRUE, IF(NfsExports[FMO Single VM IP]=VmSpecs[[#This Row],[IP]],NfsExports[FMO Export Summary],""))</f>
        <v>/apps/pcehr 30GB</v>
      </c>
      <c r="AN103" s="43" t="str" cm="1">
        <f t="array" ref="AN10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03" s="42"/>
      <c r="AP103" s="42" t="str">
        <f>VmSpecs[[#This Row],[Description]]</f>
        <v>OES N2</v>
      </c>
      <c r="AQ103" s="43"/>
      <c r="AR103" s="43" t="s">
        <v>64</v>
      </c>
      <c r="AS103" s="43" t="s">
        <v>64</v>
      </c>
      <c r="AT103" s="43" t="s">
        <v>64</v>
      </c>
      <c r="AU103" s="43" t="s">
        <v>64</v>
      </c>
      <c r="AV103" s="42" t="s">
        <v>66</v>
      </c>
      <c r="AW103" s="42" t="s">
        <v>67</v>
      </c>
      <c r="AX103" s="42" t="s">
        <v>68</v>
      </c>
      <c r="AY103" s="42" t="s">
        <v>64</v>
      </c>
      <c r="AZ103" s="42" t="s">
        <v>64</v>
      </c>
      <c r="BA10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N2"
Application Service: "OES"
Lifecycle: "PFB"</v>
      </c>
      <c r="BB103" s="78" t="s">
        <v>307</v>
      </c>
      <c r="BC103" s="42" t="str">
        <f>VLOOKUP(VmSpecs[[#This Row],[Original Hostname (CMO)]],'SSOT Data'!A:AJ,36,FALSE)</f>
        <v>OES N2</v>
      </c>
      <c r="BD103" s="43"/>
    </row>
    <row r="104" spans="1:56" ht="29" x14ac:dyDescent="0.35">
      <c r="A104" s="42" t="s">
        <v>58</v>
      </c>
      <c r="B104" s="42" t="str">
        <f>_xlfn.XLOOKUP(VmSpecs[[#This Row],[Subnet]],NetworkReference[Subnet],NetworkReference[Subscription])</f>
        <v>NINP-PERF2</v>
      </c>
      <c r="C104" s="43" t="str">
        <f>_xlfn.XLOOKUP(VmSpecs[[#This Row],[Subnet]],NetworkReference[Subnet],NetworkReference[Virtual Network Resource Group])</f>
        <v>rg-pf2-network-aue-001</v>
      </c>
      <c r="D104" s="43" t="str">
        <f>_xlfn.XLOOKUP(VmSpecs[[#This Row],[Subnet]],NetworkReference[Subnet],NetworkReference[Virtual Network])</f>
        <v>vnet-pf2-workload-aue-001</v>
      </c>
      <c r="E104" s="132" t="s">
        <v>59</v>
      </c>
      <c r="F104" s="43" t="str">
        <f>_xlfn.XLOOKUP(VmSpecs[[#This Row],[Subnet]],NetworkReference[Subnet],NetworkReference[Virtual Network Peering])</f>
        <v>vnet-ninp-conn-pnp-hub-aue</v>
      </c>
      <c r="G104" s="43" t="str">
        <f>_xlfn.XLOOKUP(VmSpecs[[#This Row],[Subnet]],NetworkReference[Subnet],NetworkReference[Route Table])</f>
        <v>rt-sn-pfb-aue-pf2-app</v>
      </c>
      <c r="H104" s="43" t="str">
        <f>LOWER(VLOOKUP(VmSpecs[[#This Row],[Original Hostname (CMO)]],'SSOT Data'!A:K,10,FALSE))</f>
        <v>oes</v>
      </c>
      <c r="I10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04" s="44" t="s">
        <v>75</v>
      </c>
      <c r="K104" s="43" t="str">
        <f>_xlfn.CONCAT("vm",MID(VmSpecs[[#This Row],[Subnet]],4,3),VLOOKUP(VmSpecs[[#This Row],[Subscription]],NetworkReference[#All],2,FALSE),VmSpecs[[#This Row],[Service]],VmSpecs[[#This Row],[VM iteration (nn)]])</f>
        <v>vmpfbpf2oes03</v>
      </c>
      <c r="L104" s="45" t="s">
        <v>61</v>
      </c>
      <c r="M104" s="43" t="str">
        <f>VmSpecs[[#This Row],[VM Name]]&amp;".ninp.myhealthrecord.gov.au"</f>
        <v>vmpfbpf2oes03.ninp.myhealthrecord.gov.au</v>
      </c>
      <c r="N104" s="42" t="str">
        <f t="shared" si="1"/>
        <v>nic-001-vmpfbpf2oes03</v>
      </c>
      <c r="O104" s="94" t="s">
        <v>308</v>
      </c>
      <c r="P104" s="93" t="s">
        <v>63</v>
      </c>
      <c r="Q104" s="42" t="str">
        <f>VLOOKUP(VmSpecs[[#This Row],[Original Hostname (CMO)]],'SSOT Data'!A:E,5,FALSE)</f>
        <v>OEL7.9</v>
      </c>
      <c r="R104" s="83"/>
      <c r="S104" s="42" t="str">
        <f>_xlfn.CONCAT("avail-",LEFT(VmSpecs[[#This Row],[VM Name]],LEN(VmSpecs[[#This Row],[VM Name]])-2))</f>
        <v>avail-vmpfbpf2oes</v>
      </c>
      <c r="T104" s="42" t="str">
        <f>_xlfn.CONCAT("asg-",LEFT(VmSpecs[[#This Row],[VM Name]],LEN(VmSpecs[[#This Row],[VM Name]])-2))</f>
        <v>asg-vmpfbpf2oes</v>
      </c>
      <c r="U104" s="42" t="str">
        <f>_xlfn.CONCAT("nsg-",VmSpecs[[#This Row],[Subnet]])</f>
        <v>nsg-sn-pfb-aue-pf2-app</v>
      </c>
      <c r="V104" s="42" t="s">
        <v>64</v>
      </c>
      <c r="W104" s="43" t="str">
        <f>VLOOKUP(VmSpecs[[#This Row],[Original Hostname (CMO)]],'SSOT Data'!A:AX,50,FALSE)</f>
        <v>Standard_D4s_v4</v>
      </c>
      <c r="X104" s="43">
        <v>64</v>
      </c>
      <c r="Y104" s="43" t="s">
        <v>65</v>
      </c>
      <c r="Z104" s="43" t="str">
        <f>"osdisk-"&amp;VmSpecs[[#This Row],[VM Name]]</f>
        <v>osdisk-vmpfbpf2oes03</v>
      </c>
      <c r="AA104" s="47" t="s">
        <v>66</v>
      </c>
      <c r="AB104" s="73">
        <v>8</v>
      </c>
      <c r="AC104" s="74" t="s">
        <v>65</v>
      </c>
      <c r="AD104" s="75" t="str">
        <f>"disk-"&amp;VmSpecs[[#This Row],[VM Name]]&amp;"-001"</f>
        <v>disk-vmpfbpf2oes03-001</v>
      </c>
      <c r="AE104" s="73">
        <v>32</v>
      </c>
      <c r="AF104" s="74" t="s">
        <v>65</v>
      </c>
      <c r="AG104" s="43" t="str">
        <f>"disk-"&amp;VmSpecs[[#This Row],[VM Name]]&amp;"-002"</f>
        <v>disk-vmpfbpf2oes03-002</v>
      </c>
      <c r="AH104" s="59"/>
      <c r="AI104" s="42"/>
      <c r="AJ104" s="42"/>
      <c r="AK104" s="42"/>
      <c r="AL104" s="42" t="str">
        <f>MID(VmSpecs[[#This Row],[VM Name]],3,9)</f>
        <v>pfbpf2oes</v>
      </c>
      <c r="AM104" s="42" t="str" cm="1">
        <f t="array" ref="AM104">_xlfn.TEXTJOIN(CHAR(10), TRUE, IF(NfsExports[FMO Single VM IP]=VmSpecs[[#This Row],[IP]],NfsExports[FMO Export Summary],""))</f>
        <v>/apps/pcehr 30GB</v>
      </c>
      <c r="AN104" s="43" t="str" cm="1">
        <f t="array" ref="AN10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04" s="42"/>
      <c r="AP104" s="42" t="str">
        <f>VmSpecs[[#This Row],[Description]]</f>
        <v>OES N3</v>
      </c>
      <c r="AQ104" s="43"/>
      <c r="AR104" s="43" t="s">
        <v>64</v>
      </c>
      <c r="AS104" s="43" t="s">
        <v>64</v>
      </c>
      <c r="AT104" s="43" t="s">
        <v>64</v>
      </c>
      <c r="AU104" s="43" t="s">
        <v>64</v>
      </c>
      <c r="AV104" s="42" t="s">
        <v>66</v>
      </c>
      <c r="AW104" s="42" t="s">
        <v>67</v>
      </c>
      <c r="AX104" s="42" t="s">
        <v>68</v>
      </c>
      <c r="AY104" s="42" t="s">
        <v>64</v>
      </c>
      <c r="AZ104" s="42" t="s">
        <v>64</v>
      </c>
      <c r="BA10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N3"
Application Service: "OES"
Lifecycle: "PFB"</v>
      </c>
      <c r="BB104" s="78" t="s">
        <v>309</v>
      </c>
      <c r="BC104" s="42" t="str">
        <f>VLOOKUP(VmSpecs[[#This Row],[Original Hostname (CMO)]],'SSOT Data'!A:AJ,36,FALSE)</f>
        <v>OES N3</v>
      </c>
      <c r="BD104" s="43"/>
    </row>
    <row r="105" spans="1:56" ht="29" x14ac:dyDescent="0.35">
      <c r="A105" s="42" t="s">
        <v>58</v>
      </c>
      <c r="B105" s="42" t="str">
        <f>_xlfn.XLOOKUP(VmSpecs[[#This Row],[Subnet]],NetworkReference[Subnet],NetworkReference[Subscription])</f>
        <v>NINP-PERF2</v>
      </c>
      <c r="C105" s="43" t="str">
        <f>_xlfn.XLOOKUP(VmSpecs[[#This Row],[Subnet]],NetworkReference[Subnet],NetworkReference[Virtual Network Resource Group])</f>
        <v>rg-pf2-network-aue-001</v>
      </c>
      <c r="D105" s="43" t="str">
        <f>_xlfn.XLOOKUP(VmSpecs[[#This Row],[Subnet]],NetworkReference[Subnet],NetworkReference[Virtual Network])</f>
        <v>vnet-pf2-workload-aue-001</v>
      </c>
      <c r="E105" s="132" t="s">
        <v>59</v>
      </c>
      <c r="F105" s="43" t="str">
        <f>_xlfn.XLOOKUP(VmSpecs[[#This Row],[Subnet]],NetworkReference[Subnet],NetworkReference[Virtual Network Peering])</f>
        <v>vnet-ninp-conn-pnp-hub-aue</v>
      </c>
      <c r="G105" s="43" t="str">
        <f>_xlfn.XLOOKUP(VmSpecs[[#This Row],[Subnet]],NetworkReference[Subnet],NetworkReference[Route Table])</f>
        <v>rt-sn-pfb-aue-pf2-app</v>
      </c>
      <c r="H105" s="43" t="str">
        <f>LOWER(VLOOKUP(VmSpecs[[#This Row],[Original Hostname (CMO)]],'SSOT Data'!A:K,10,FALSE))</f>
        <v>oes</v>
      </c>
      <c r="I10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05" s="44" t="s">
        <v>78</v>
      </c>
      <c r="K105" s="43" t="str">
        <f>_xlfn.CONCAT("vm",MID(VmSpecs[[#This Row],[Subnet]],4,3),VLOOKUP(VmSpecs[[#This Row],[Subscription]],NetworkReference[#All],2,FALSE),VmSpecs[[#This Row],[Service]],VmSpecs[[#This Row],[VM iteration (nn)]])</f>
        <v>vmpfbpf2oes04</v>
      </c>
      <c r="L105" s="45" t="s">
        <v>61</v>
      </c>
      <c r="M105" s="43" t="str">
        <f>VmSpecs[[#This Row],[VM Name]]&amp;".ninp.myhealthrecord.gov.au"</f>
        <v>vmpfbpf2oes04.ninp.myhealthrecord.gov.au</v>
      </c>
      <c r="N105" s="42" t="str">
        <f t="shared" si="1"/>
        <v>nic-001-vmpfbpf2oes04</v>
      </c>
      <c r="O105" s="94" t="s">
        <v>310</v>
      </c>
      <c r="P105" s="93" t="s">
        <v>63</v>
      </c>
      <c r="Q105" s="42" t="str">
        <f>VLOOKUP(VmSpecs[[#This Row],[Original Hostname (CMO)]],'SSOT Data'!A:E,5,FALSE)</f>
        <v>OEL7.9</v>
      </c>
      <c r="R105" s="83"/>
      <c r="S105" s="42" t="str">
        <f>_xlfn.CONCAT("avail-",LEFT(VmSpecs[[#This Row],[VM Name]],LEN(VmSpecs[[#This Row],[VM Name]])-2))</f>
        <v>avail-vmpfbpf2oes</v>
      </c>
      <c r="T105" s="42" t="str">
        <f>_xlfn.CONCAT("asg-",LEFT(VmSpecs[[#This Row],[VM Name]],LEN(VmSpecs[[#This Row],[VM Name]])-2))</f>
        <v>asg-vmpfbpf2oes</v>
      </c>
      <c r="U105" s="42" t="str">
        <f>_xlfn.CONCAT("nsg-",VmSpecs[[#This Row],[Subnet]])</f>
        <v>nsg-sn-pfb-aue-pf2-app</v>
      </c>
      <c r="V105" s="42" t="s">
        <v>64</v>
      </c>
      <c r="W105" s="43" t="str">
        <f>VLOOKUP(VmSpecs[[#This Row],[Original Hostname (CMO)]],'SSOT Data'!A:AX,50,FALSE)</f>
        <v>Standard_D4s_v4</v>
      </c>
      <c r="X105" s="43">
        <v>64</v>
      </c>
      <c r="Y105" s="43" t="s">
        <v>65</v>
      </c>
      <c r="Z105" s="43" t="str">
        <f>"osdisk-"&amp;VmSpecs[[#This Row],[VM Name]]</f>
        <v>osdisk-vmpfbpf2oes04</v>
      </c>
      <c r="AA105" s="47" t="s">
        <v>66</v>
      </c>
      <c r="AB105" s="73">
        <v>8</v>
      </c>
      <c r="AC105" s="74" t="s">
        <v>65</v>
      </c>
      <c r="AD105" s="75" t="str">
        <f>"disk-"&amp;VmSpecs[[#This Row],[VM Name]]&amp;"-001"</f>
        <v>disk-vmpfbpf2oes04-001</v>
      </c>
      <c r="AE105" s="73">
        <v>32</v>
      </c>
      <c r="AF105" s="74" t="s">
        <v>65</v>
      </c>
      <c r="AG105" s="43" t="str">
        <f>"disk-"&amp;VmSpecs[[#This Row],[VM Name]]&amp;"-002"</f>
        <v>disk-vmpfbpf2oes04-002</v>
      </c>
      <c r="AH105" s="59"/>
      <c r="AI105" s="42"/>
      <c r="AJ105" s="42"/>
      <c r="AK105" s="42"/>
      <c r="AL105" s="42" t="str">
        <f>MID(VmSpecs[[#This Row],[VM Name]],3,9)</f>
        <v>pfbpf2oes</v>
      </c>
      <c r="AM105" s="42" t="str" cm="1">
        <f t="array" ref="AM105">_xlfn.TEXTJOIN(CHAR(10), TRUE, IF(NfsExports[FMO Single VM IP]=VmSpecs[[#This Row],[IP]],NfsExports[FMO Export Summary],""))</f>
        <v>/apps/pcehr 30GB</v>
      </c>
      <c r="AN105" s="43" t="str" cm="1">
        <f t="array" ref="AN10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05" s="42"/>
      <c r="AP105" s="42" t="str">
        <f>VmSpecs[[#This Row],[Description]]</f>
        <v>OES N4</v>
      </c>
      <c r="AQ105" s="43"/>
      <c r="AR105" s="43" t="s">
        <v>64</v>
      </c>
      <c r="AS105" s="43" t="s">
        <v>64</v>
      </c>
      <c r="AT105" s="43" t="s">
        <v>64</v>
      </c>
      <c r="AU105" s="43" t="s">
        <v>64</v>
      </c>
      <c r="AV105" s="42" t="s">
        <v>66</v>
      </c>
      <c r="AW105" s="42" t="s">
        <v>67</v>
      </c>
      <c r="AX105" s="42" t="s">
        <v>68</v>
      </c>
      <c r="AY105" s="42" t="s">
        <v>64</v>
      </c>
      <c r="AZ105" s="42" t="s">
        <v>64</v>
      </c>
      <c r="BA10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N4"
Application Service: "OES"
Lifecycle: "PFB"</v>
      </c>
      <c r="BB105" s="78" t="s">
        <v>311</v>
      </c>
      <c r="BC105" s="42" t="str">
        <f>VLOOKUP(VmSpecs[[#This Row],[Original Hostname (CMO)]],'SSOT Data'!A:AJ,36,FALSE)</f>
        <v>OES N4</v>
      </c>
      <c r="BD105" s="43"/>
    </row>
    <row r="106" spans="1:56" ht="29" x14ac:dyDescent="0.35">
      <c r="A106" s="42" t="s">
        <v>58</v>
      </c>
      <c r="B106" s="42" t="str">
        <f>_xlfn.XLOOKUP(VmSpecs[[#This Row],[Subnet]],NetworkReference[Subnet],NetworkReference[Subscription])</f>
        <v>NINP-PERF2</v>
      </c>
      <c r="C106" s="43" t="str">
        <f>_xlfn.XLOOKUP(VmSpecs[[#This Row],[Subnet]],NetworkReference[Subnet],NetworkReference[Virtual Network Resource Group])</f>
        <v>rg-pf2-network-aue-001</v>
      </c>
      <c r="D106" s="43" t="str">
        <f>_xlfn.XLOOKUP(VmSpecs[[#This Row],[Subnet]],NetworkReference[Subnet],NetworkReference[Virtual Network])</f>
        <v>vnet-pf2-workload-aue-001</v>
      </c>
      <c r="E106" s="132" t="s">
        <v>59</v>
      </c>
      <c r="F106" s="43" t="str">
        <f>_xlfn.XLOOKUP(VmSpecs[[#This Row],[Subnet]],NetworkReference[Subnet],NetworkReference[Virtual Network Peering])</f>
        <v>vnet-ninp-conn-pnp-hub-aue</v>
      </c>
      <c r="G106" s="43" t="str">
        <f>_xlfn.XLOOKUP(VmSpecs[[#This Row],[Subnet]],NetworkReference[Subnet],NetworkReference[Route Table])</f>
        <v>rt-sn-pfb-aue-pf2-app</v>
      </c>
      <c r="H106" s="43" t="str">
        <f>LOWER(VLOOKUP(VmSpecs[[#This Row],[Original Hostname (CMO)]],'SSOT Data'!A:K,10,FALSE))</f>
        <v>oes</v>
      </c>
      <c r="I10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06" s="44" t="s">
        <v>81</v>
      </c>
      <c r="K106" s="43" t="str">
        <f>_xlfn.CONCAT("vm",MID(VmSpecs[[#This Row],[Subnet]],4,3),VLOOKUP(VmSpecs[[#This Row],[Subscription]],NetworkReference[#All],2,FALSE),VmSpecs[[#This Row],[Service]],VmSpecs[[#This Row],[VM iteration (nn)]])</f>
        <v>vmpfbpf2oes05</v>
      </c>
      <c r="L106" s="45" t="s">
        <v>61</v>
      </c>
      <c r="M106" s="43" t="str">
        <f>VmSpecs[[#This Row],[VM Name]]&amp;".ninp.myhealthrecord.gov.au"</f>
        <v>vmpfbpf2oes05.ninp.myhealthrecord.gov.au</v>
      </c>
      <c r="N106" s="42" t="str">
        <f t="shared" si="1"/>
        <v>nic-001-vmpfbpf2oes05</v>
      </c>
      <c r="O106" s="94" t="s">
        <v>312</v>
      </c>
      <c r="P106" s="93" t="s">
        <v>63</v>
      </c>
      <c r="Q106" s="42" t="str">
        <f>VLOOKUP(VmSpecs[[#This Row],[Original Hostname (CMO)]],'SSOT Data'!A:E,5,FALSE)</f>
        <v>OEL7.9</v>
      </c>
      <c r="R106" s="83"/>
      <c r="S106" s="42" t="str">
        <f>_xlfn.CONCAT("avail-",LEFT(VmSpecs[[#This Row],[VM Name]],LEN(VmSpecs[[#This Row],[VM Name]])-2))</f>
        <v>avail-vmpfbpf2oes</v>
      </c>
      <c r="T106" s="42" t="str">
        <f>_xlfn.CONCAT("asg-",LEFT(VmSpecs[[#This Row],[VM Name]],LEN(VmSpecs[[#This Row],[VM Name]])-2))</f>
        <v>asg-vmpfbpf2oes</v>
      </c>
      <c r="U106" s="42" t="str">
        <f>_xlfn.CONCAT("nsg-",VmSpecs[[#This Row],[Subnet]])</f>
        <v>nsg-sn-pfb-aue-pf2-app</v>
      </c>
      <c r="V106" s="42" t="s">
        <v>64</v>
      </c>
      <c r="W106" s="43" t="str">
        <f>VLOOKUP(VmSpecs[[#This Row],[Original Hostname (CMO)]],'SSOT Data'!A:AX,50,FALSE)</f>
        <v>Standard_D4s_v4</v>
      </c>
      <c r="X106" s="43">
        <v>64</v>
      </c>
      <c r="Y106" s="43" t="s">
        <v>65</v>
      </c>
      <c r="Z106" s="43" t="str">
        <f>"osdisk-"&amp;VmSpecs[[#This Row],[VM Name]]</f>
        <v>osdisk-vmpfbpf2oes05</v>
      </c>
      <c r="AA106" s="47" t="s">
        <v>66</v>
      </c>
      <c r="AB106" s="73">
        <v>8</v>
      </c>
      <c r="AC106" s="74" t="s">
        <v>65</v>
      </c>
      <c r="AD106" s="75" t="str">
        <f>"disk-"&amp;VmSpecs[[#This Row],[VM Name]]&amp;"-001"</f>
        <v>disk-vmpfbpf2oes05-001</v>
      </c>
      <c r="AE106" s="73">
        <v>32</v>
      </c>
      <c r="AF106" s="74" t="s">
        <v>65</v>
      </c>
      <c r="AG106" s="43" t="str">
        <f>"disk-"&amp;VmSpecs[[#This Row],[VM Name]]&amp;"-002"</f>
        <v>disk-vmpfbpf2oes05-002</v>
      </c>
      <c r="AH106" s="59"/>
      <c r="AI106" s="42"/>
      <c r="AJ106" s="42"/>
      <c r="AK106" s="42"/>
      <c r="AL106" s="42" t="str">
        <f>MID(VmSpecs[[#This Row],[VM Name]],3,9)</f>
        <v>pfbpf2oes</v>
      </c>
      <c r="AM106" s="42" t="str" cm="1">
        <f t="array" ref="AM106">_xlfn.TEXTJOIN(CHAR(10), TRUE, IF(NfsExports[FMO Single VM IP]=VmSpecs[[#This Row],[IP]],NfsExports[FMO Export Summary],""))</f>
        <v>/apps/pcehr 30GB</v>
      </c>
      <c r="AN106" s="43" t="str" cm="1">
        <f t="array" ref="AN10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06" s="42"/>
      <c r="AP106" s="42" t="str">
        <f>VmSpecs[[#This Row],[Description]]</f>
        <v>OES N5</v>
      </c>
      <c r="AQ106" s="43"/>
      <c r="AR106" s="43" t="s">
        <v>64</v>
      </c>
      <c r="AS106" s="43" t="s">
        <v>64</v>
      </c>
      <c r="AT106" s="43" t="s">
        <v>64</v>
      </c>
      <c r="AU106" s="43" t="s">
        <v>64</v>
      </c>
      <c r="AV106" s="42" t="s">
        <v>66</v>
      </c>
      <c r="AW106" s="42" t="s">
        <v>67</v>
      </c>
      <c r="AX106" s="42" t="s">
        <v>68</v>
      </c>
      <c r="AY106" s="42" t="s">
        <v>64</v>
      </c>
      <c r="AZ106" s="42" t="s">
        <v>64</v>
      </c>
      <c r="BA10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N5"
Application Service: "OES"
Lifecycle: "PFB"</v>
      </c>
      <c r="BB106" s="78" t="s">
        <v>313</v>
      </c>
      <c r="BC106" s="42" t="str">
        <f>VLOOKUP(VmSpecs[[#This Row],[Original Hostname (CMO)]],'SSOT Data'!A:AJ,36,FALSE)</f>
        <v>OES N5</v>
      </c>
      <c r="BD106" s="43"/>
    </row>
    <row r="107" spans="1:56" ht="29" x14ac:dyDescent="0.35">
      <c r="A107" s="42" t="s">
        <v>58</v>
      </c>
      <c r="B107" s="42" t="str">
        <f>_xlfn.XLOOKUP(VmSpecs[[#This Row],[Subnet]],NetworkReference[Subnet],NetworkReference[Subscription])</f>
        <v>NINP-PERF2</v>
      </c>
      <c r="C107" s="43" t="str">
        <f>_xlfn.XLOOKUP(VmSpecs[[#This Row],[Subnet]],NetworkReference[Subnet],NetworkReference[Virtual Network Resource Group])</f>
        <v>rg-pf2-network-aue-001</v>
      </c>
      <c r="D107" s="43" t="str">
        <f>_xlfn.XLOOKUP(VmSpecs[[#This Row],[Subnet]],NetworkReference[Subnet],NetworkReference[Virtual Network])</f>
        <v>vnet-pf2-workload-aue-001</v>
      </c>
      <c r="E107" s="132" t="s">
        <v>59</v>
      </c>
      <c r="F107" s="43" t="str">
        <f>_xlfn.XLOOKUP(VmSpecs[[#This Row],[Subnet]],NetworkReference[Subnet],NetworkReference[Virtual Network Peering])</f>
        <v>vnet-ninp-conn-pnp-hub-aue</v>
      </c>
      <c r="G107" s="43" t="str">
        <f>_xlfn.XLOOKUP(VmSpecs[[#This Row],[Subnet]],NetworkReference[Subnet],NetworkReference[Route Table])</f>
        <v>rt-sn-pfb-aue-pf2-app</v>
      </c>
      <c r="H107" s="43" t="str">
        <f>LOWER(VLOOKUP(VmSpecs[[#This Row],[Original Hostname (CMO)]],'SSOT Data'!A:K,10,FALSE))</f>
        <v>oes</v>
      </c>
      <c r="I10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07" s="44" t="s">
        <v>84</v>
      </c>
      <c r="K107" s="43" t="str">
        <f>_xlfn.CONCAT("vm",MID(VmSpecs[[#This Row],[Subnet]],4,3),VLOOKUP(VmSpecs[[#This Row],[Subscription]],NetworkReference[#All],2,FALSE),VmSpecs[[#This Row],[Service]],VmSpecs[[#This Row],[VM iteration (nn)]])</f>
        <v>vmpfbpf2oes06</v>
      </c>
      <c r="L107" s="45" t="s">
        <v>61</v>
      </c>
      <c r="M107" s="43" t="str">
        <f>VmSpecs[[#This Row],[VM Name]]&amp;".ninp.myhealthrecord.gov.au"</f>
        <v>vmpfbpf2oes06.ninp.myhealthrecord.gov.au</v>
      </c>
      <c r="N107" s="42" t="str">
        <f t="shared" si="1"/>
        <v>nic-001-vmpfbpf2oes06</v>
      </c>
      <c r="O107" s="94" t="s">
        <v>314</v>
      </c>
      <c r="P107" s="93" t="s">
        <v>63</v>
      </c>
      <c r="Q107" s="42" t="str">
        <f>VLOOKUP(VmSpecs[[#This Row],[Original Hostname (CMO)]],'SSOT Data'!A:E,5,FALSE)</f>
        <v>OEL7.9</v>
      </c>
      <c r="R107" s="83"/>
      <c r="S107" s="42" t="str">
        <f>_xlfn.CONCAT("avail-",LEFT(VmSpecs[[#This Row],[VM Name]],LEN(VmSpecs[[#This Row],[VM Name]])-2))</f>
        <v>avail-vmpfbpf2oes</v>
      </c>
      <c r="T107" s="42" t="str">
        <f>_xlfn.CONCAT("asg-",LEFT(VmSpecs[[#This Row],[VM Name]],LEN(VmSpecs[[#This Row],[VM Name]])-2))</f>
        <v>asg-vmpfbpf2oes</v>
      </c>
      <c r="U107" s="42" t="str">
        <f>_xlfn.CONCAT("nsg-",VmSpecs[[#This Row],[Subnet]])</f>
        <v>nsg-sn-pfb-aue-pf2-app</v>
      </c>
      <c r="V107" s="42" t="s">
        <v>64</v>
      </c>
      <c r="W107" s="43" t="str">
        <f>VLOOKUP(VmSpecs[[#This Row],[Original Hostname (CMO)]],'SSOT Data'!A:AX,50,FALSE)</f>
        <v>Standard_D4s_v4</v>
      </c>
      <c r="X107" s="43">
        <v>64</v>
      </c>
      <c r="Y107" s="43" t="s">
        <v>65</v>
      </c>
      <c r="Z107" s="43" t="str">
        <f>"osdisk-"&amp;VmSpecs[[#This Row],[VM Name]]</f>
        <v>osdisk-vmpfbpf2oes06</v>
      </c>
      <c r="AA107" s="47" t="s">
        <v>66</v>
      </c>
      <c r="AB107" s="73">
        <v>8</v>
      </c>
      <c r="AC107" s="74" t="s">
        <v>65</v>
      </c>
      <c r="AD107" s="75" t="str">
        <f>"disk-"&amp;VmSpecs[[#This Row],[VM Name]]&amp;"-001"</f>
        <v>disk-vmpfbpf2oes06-001</v>
      </c>
      <c r="AE107" s="73">
        <v>32</v>
      </c>
      <c r="AF107" s="74" t="s">
        <v>65</v>
      </c>
      <c r="AG107" s="43" t="str">
        <f>"disk-"&amp;VmSpecs[[#This Row],[VM Name]]&amp;"-002"</f>
        <v>disk-vmpfbpf2oes06-002</v>
      </c>
      <c r="AH107" s="59"/>
      <c r="AI107" s="42"/>
      <c r="AJ107" s="42"/>
      <c r="AK107" s="42"/>
      <c r="AL107" s="42" t="str">
        <f>MID(VmSpecs[[#This Row],[VM Name]],3,9)</f>
        <v>pfbpf2oes</v>
      </c>
      <c r="AM107" s="42" t="str" cm="1">
        <f t="array" ref="AM107">_xlfn.TEXTJOIN(CHAR(10), TRUE, IF(NfsExports[FMO Single VM IP]=VmSpecs[[#This Row],[IP]],NfsExports[FMO Export Summary],""))</f>
        <v>/apps/pcehr 30GB</v>
      </c>
      <c r="AN107" s="43" t="str" cm="1">
        <f t="array" ref="AN10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07" s="42"/>
      <c r="AP107" s="42" t="str">
        <f>VmSpecs[[#This Row],[Description]]</f>
        <v>OES N6</v>
      </c>
      <c r="AQ107" s="43"/>
      <c r="AR107" s="43" t="s">
        <v>64</v>
      </c>
      <c r="AS107" s="43" t="s">
        <v>64</v>
      </c>
      <c r="AT107" s="43" t="s">
        <v>64</v>
      </c>
      <c r="AU107" s="43" t="s">
        <v>64</v>
      </c>
      <c r="AV107" s="42" t="s">
        <v>66</v>
      </c>
      <c r="AW107" s="42" t="s">
        <v>67</v>
      </c>
      <c r="AX107" s="42" t="s">
        <v>68</v>
      </c>
      <c r="AY107" s="42" t="s">
        <v>64</v>
      </c>
      <c r="AZ107" s="42" t="s">
        <v>64</v>
      </c>
      <c r="BA10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N6"
Application Service: "OES"
Lifecycle: "PFB"</v>
      </c>
      <c r="BB107" s="78" t="s">
        <v>315</v>
      </c>
      <c r="BC107" s="42" t="str">
        <f>VLOOKUP(VmSpecs[[#This Row],[Original Hostname (CMO)]],'SSOT Data'!A:AJ,36,FALSE)</f>
        <v>OES N6</v>
      </c>
      <c r="BD107" s="43"/>
    </row>
    <row r="108" spans="1:56" ht="29" x14ac:dyDescent="0.35">
      <c r="A108" s="42" t="s">
        <v>58</v>
      </c>
      <c r="B108" s="42" t="str">
        <f>_xlfn.XLOOKUP(VmSpecs[[#This Row],[Subnet]],NetworkReference[Subnet],NetworkReference[Subscription])</f>
        <v>NINP-PERF2</v>
      </c>
      <c r="C108" s="43" t="str">
        <f>_xlfn.XLOOKUP(VmSpecs[[#This Row],[Subnet]],NetworkReference[Subnet],NetworkReference[Virtual Network Resource Group])</f>
        <v>rg-pf2-network-aue-001</v>
      </c>
      <c r="D108" s="43" t="str">
        <f>_xlfn.XLOOKUP(VmSpecs[[#This Row],[Subnet]],NetworkReference[Subnet],NetworkReference[Virtual Network])</f>
        <v>vnet-pf2-workload-aue-001</v>
      </c>
      <c r="E108" s="132" t="s">
        <v>59</v>
      </c>
      <c r="F108" s="43" t="str">
        <f>_xlfn.XLOOKUP(VmSpecs[[#This Row],[Subnet]],NetworkReference[Subnet],NetworkReference[Virtual Network Peering])</f>
        <v>vnet-ninp-conn-pnp-hub-aue</v>
      </c>
      <c r="G108" s="43" t="str">
        <f>_xlfn.XLOOKUP(VmSpecs[[#This Row],[Subnet]],NetworkReference[Subnet],NetworkReference[Route Table])</f>
        <v>rt-sn-pfb-aue-pf2-app</v>
      </c>
      <c r="H108" s="43" t="str">
        <f>LOWER(VLOOKUP(VmSpecs[[#This Row],[Original Hostname (CMO)]],'SSOT Data'!A:K,10,FALSE))</f>
        <v>oes</v>
      </c>
      <c r="I10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08" s="44" t="s">
        <v>99</v>
      </c>
      <c r="K108" s="43" t="str">
        <f>_xlfn.CONCAT("vm",MID(VmSpecs[[#This Row],[Subnet]],4,3),VLOOKUP(VmSpecs[[#This Row],[Subscription]],NetworkReference[#All],2,FALSE),VmSpecs[[#This Row],[Service]],VmSpecs[[#This Row],[VM iteration (nn)]])</f>
        <v>vmpfbpf2oes07</v>
      </c>
      <c r="L108" s="45" t="s">
        <v>61</v>
      </c>
      <c r="M108" s="43" t="str">
        <f>VmSpecs[[#This Row],[VM Name]]&amp;".ninp.myhealthrecord.gov.au"</f>
        <v>vmpfbpf2oes07.ninp.myhealthrecord.gov.au</v>
      </c>
      <c r="N108" s="42" t="str">
        <f t="shared" si="1"/>
        <v>nic-001-vmpfbpf2oes07</v>
      </c>
      <c r="O108" s="94" t="s">
        <v>316</v>
      </c>
      <c r="P108" s="93" t="s">
        <v>63</v>
      </c>
      <c r="Q108" s="42" t="str">
        <f>VLOOKUP(VmSpecs[[#This Row],[Original Hostname (CMO)]],'SSOT Data'!A:E,5,FALSE)</f>
        <v>OEL7.9</v>
      </c>
      <c r="R108" s="83"/>
      <c r="S108" s="42" t="str">
        <f>_xlfn.CONCAT("avail-",LEFT(VmSpecs[[#This Row],[VM Name]],LEN(VmSpecs[[#This Row],[VM Name]])-2))</f>
        <v>avail-vmpfbpf2oes</v>
      </c>
      <c r="T108" s="42" t="str">
        <f>_xlfn.CONCAT("asg-",LEFT(VmSpecs[[#This Row],[VM Name]],LEN(VmSpecs[[#This Row],[VM Name]])-2))</f>
        <v>asg-vmpfbpf2oes</v>
      </c>
      <c r="U108" s="42" t="str">
        <f>_xlfn.CONCAT("nsg-",VmSpecs[[#This Row],[Subnet]])</f>
        <v>nsg-sn-pfb-aue-pf2-app</v>
      </c>
      <c r="V108" s="42" t="s">
        <v>64</v>
      </c>
      <c r="W108" s="43" t="str">
        <f>VLOOKUP(VmSpecs[[#This Row],[Original Hostname (CMO)]],'SSOT Data'!A:AX,50,FALSE)</f>
        <v>Standard_D4s_v4</v>
      </c>
      <c r="X108" s="43">
        <v>64</v>
      </c>
      <c r="Y108" s="43" t="s">
        <v>65</v>
      </c>
      <c r="Z108" s="43" t="str">
        <f>"osdisk-"&amp;VmSpecs[[#This Row],[VM Name]]</f>
        <v>osdisk-vmpfbpf2oes07</v>
      </c>
      <c r="AA108" s="47" t="s">
        <v>66</v>
      </c>
      <c r="AB108" s="73">
        <v>8</v>
      </c>
      <c r="AC108" s="74" t="s">
        <v>65</v>
      </c>
      <c r="AD108" s="75" t="str">
        <f>"disk-"&amp;VmSpecs[[#This Row],[VM Name]]&amp;"-001"</f>
        <v>disk-vmpfbpf2oes07-001</v>
      </c>
      <c r="AE108" s="73">
        <v>32</v>
      </c>
      <c r="AF108" s="74" t="s">
        <v>65</v>
      </c>
      <c r="AG108" s="43" t="str">
        <f>"disk-"&amp;VmSpecs[[#This Row],[VM Name]]&amp;"-002"</f>
        <v>disk-vmpfbpf2oes07-002</v>
      </c>
      <c r="AH108" s="59"/>
      <c r="AI108" s="42"/>
      <c r="AJ108" s="42"/>
      <c r="AK108" s="42"/>
      <c r="AL108" s="42" t="str">
        <f>MID(VmSpecs[[#This Row],[VM Name]],3,9)</f>
        <v>pfbpf2oes</v>
      </c>
      <c r="AM108" s="42" t="str" cm="1">
        <f t="array" ref="AM108">_xlfn.TEXTJOIN(CHAR(10), TRUE, IF(NfsExports[FMO Single VM IP]=VmSpecs[[#This Row],[IP]],NfsExports[FMO Export Summary],""))</f>
        <v>/apps/pcehr 30GB</v>
      </c>
      <c r="AN108" s="43" t="str" cm="1">
        <f t="array" ref="AN10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08" s="42"/>
      <c r="AP108" s="42" t="str">
        <f>VmSpecs[[#This Row],[Description]]</f>
        <v>OES N7</v>
      </c>
      <c r="AQ108" s="43"/>
      <c r="AR108" s="43" t="s">
        <v>64</v>
      </c>
      <c r="AS108" s="43" t="s">
        <v>64</v>
      </c>
      <c r="AT108" s="43" t="s">
        <v>64</v>
      </c>
      <c r="AU108" s="43" t="s">
        <v>64</v>
      </c>
      <c r="AV108" s="42" t="s">
        <v>66</v>
      </c>
      <c r="AW108" s="42" t="s">
        <v>67</v>
      </c>
      <c r="AX108" s="42" t="s">
        <v>68</v>
      </c>
      <c r="AY108" s="42" t="s">
        <v>64</v>
      </c>
      <c r="AZ108" s="42" t="s">
        <v>64</v>
      </c>
      <c r="BA10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N7"
Application Service: "OES"
Lifecycle: "PFB"</v>
      </c>
      <c r="BB108" s="78" t="s">
        <v>317</v>
      </c>
      <c r="BC108" s="42" t="str">
        <f>VLOOKUP(VmSpecs[[#This Row],[Original Hostname (CMO)]],'SSOT Data'!A:AJ,36,FALSE)</f>
        <v>OES N7</v>
      </c>
      <c r="BD108" s="43"/>
    </row>
    <row r="109" spans="1:56" ht="29" x14ac:dyDescent="0.35">
      <c r="A109" s="42" t="s">
        <v>58</v>
      </c>
      <c r="B109" s="42" t="str">
        <f>_xlfn.XLOOKUP(VmSpecs[[#This Row],[Subnet]],NetworkReference[Subnet],NetworkReference[Subscription])</f>
        <v>NINP-PERF2</v>
      </c>
      <c r="C109" s="43" t="str">
        <f>_xlfn.XLOOKUP(VmSpecs[[#This Row],[Subnet]],NetworkReference[Subnet],NetworkReference[Virtual Network Resource Group])</f>
        <v>rg-pf2-network-aue-001</v>
      </c>
      <c r="D109" s="43" t="str">
        <f>_xlfn.XLOOKUP(VmSpecs[[#This Row],[Subnet]],NetworkReference[Subnet],NetworkReference[Virtual Network])</f>
        <v>vnet-pf2-workload-aue-001</v>
      </c>
      <c r="E109" s="132" t="s">
        <v>59</v>
      </c>
      <c r="F109" s="43" t="str">
        <f>_xlfn.XLOOKUP(VmSpecs[[#This Row],[Subnet]],NetworkReference[Subnet],NetworkReference[Virtual Network Peering])</f>
        <v>vnet-ninp-conn-pnp-hub-aue</v>
      </c>
      <c r="G109" s="43" t="str">
        <f>_xlfn.XLOOKUP(VmSpecs[[#This Row],[Subnet]],NetworkReference[Subnet],NetworkReference[Route Table])</f>
        <v>rt-sn-pfb-aue-pf2-app</v>
      </c>
      <c r="H109" s="43" t="str">
        <f>LOWER(VLOOKUP(VmSpecs[[#This Row],[Original Hostname (CMO)]],'SSOT Data'!A:K,10,FALSE))</f>
        <v>oes</v>
      </c>
      <c r="I10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09" s="44" t="s">
        <v>102</v>
      </c>
      <c r="K109" s="43" t="str">
        <f>_xlfn.CONCAT("vm",MID(VmSpecs[[#This Row],[Subnet]],4,3),VLOOKUP(VmSpecs[[#This Row],[Subscription]],NetworkReference[#All],2,FALSE),VmSpecs[[#This Row],[Service]],VmSpecs[[#This Row],[VM iteration (nn)]])</f>
        <v>vmpfbpf2oes08</v>
      </c>
      <c r="L109" s="45" t="s">
        <v>61</v>
      </c>
      <c r="M109" s="43" t="str">
        <f>VmSpecs[[#This Row],[VM Name]]&amp;".ninp.myhealthrecord.gov.au"</f>
        <v>vmpfbpf2oes08.ninp.myhealthrecord.gov.au</v>
      </c>
      <c r="N109" s="42" t="str">
        <f t="shared" si="1"/>
        <v>nic-001-vmpfbpf2oes08</v>
      </c>
      <c r="O109" s="94" t="s">
        <v>318</v>
      </c>
      <c r="P109" s="93" t="s">
        <v>63</v>
      </c>
      <c r="Q109" s="42" t="str">
        <f>VLOOKUP(VmSpecs[[#This Row],[Original Hostname (CMO)]],'SSOT Data'!A:E,5,FALSE)</f>
        <v>OEL7.9</v>
      </c>
      <c r="R109" s="83"/>
      <c r="S109" s="42" t="str">
        <f>_xlfn.CONCAT("avail-",LEFT(VmSpecs[[#This Row],[VM Name]],LEN(VmSpecs[[#This Row],[VM Name]])-2))</f>
        <v>avail-vmpfbpf2oes</v>
      </c>
      <c r="T109" s="42" t="str">
        <f>_xlfn.CONCAT("asg-",LEFT(VmSpecs[[#This Row],[VM Name]],LEN(VmSpecs[[#This Row],[VM Name]])-2))</f>
        <v>asg-vmpfbpf2oes</v>
      </c>
      <c r="U109" s="42" t="str">
        <f>_xlfn.CONCAT("nsg-",VmSpecs[[#This Row],[Subnet]])</f>
        <v>nsg-sn-pfb-aue-pf2-app</v>
      </c>
      <c r="V109" s="42" t="s">
        <v>64</v>
      </c>
      <c r="W109" s="43" t="str">
        <f>VLOOKUP(VmSpecs[[#This Row],[Original Hostname (CMO)]],'SSOT Data'!A:AX,50,FALSE)</f>
        <v>Standard_D4s_v4</v>
      </c>
      <c r="X109" s="43">
        <v>64</v>
      </c>
      <c r="Y109" s="43" t="s">
        <v>65</v>
      </c>
      <c r="Z109" s="43" t="str">
        <f>"osdisk-"&amp;VmSpecs[[#This Row],[VM Name]]</f>
        <v>osdisk-vmpfbpf2oes08</v>
      </c>
      <c r="AA109" s="47" t="s">
        <v>66</v>
      </c>
      <c r="AB109" s="73">
        <v>8</v>
      </c>
      <c r="AC109" s="74" t="s">
        <v>65</v>
      </c>
      <c r="AD109" s="75" t="str">
        <f>"disk-"&amp;VmSpecs[[#This Row],[VM Name]]&amp;"-001"</f>
        <v>disk-vmpfbpf2oes08-001</v>
      </c>
      <c r="AE109" s="73">
        <v>32</v>
      </c>
      <c r="AF109" s="74" t="s">
        <v>65</v>
      </c>
      <c r="AG109" s="43" t="str">
        <f>"disk-"&amp;VmSpecs[[#This Row],[VM Name]]&amp;"-002"</f>
        <v>disk-vmpfbpf2oes08-002</v>
      </c>
      <c r="AH109" s="59"/>
      <c r="AI109" s="42"/>
      <c r="AJ109" s="42"/>
      <c r="AK109" s="42"/>
      <c r="AL109" s="42" t="str">
        <f>MID(VmSpecs[[#This Row],[VM Name]],3,9)</f>
        <v>pfbpf2oes</v>
      </c>
      <c r="AM109" s="42" t="str" cm="1">
        <f t="array" ref="AM109">_xlfn.TEXTJOIN(CHAR(10), TRUE, IF(NfsExports[FMO Single VM IP]=VmSpecs[[#This Row],[IP]],NfsExports[FMO Export Summary],""))</f>
        <v>/apps/pcehr 30GB</v>
      </c>
      <c r="AN109" s="43" t="str" cm="1">
        <f t="array" ref="AN10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09" s="42"/>
      <c r="AP109" s="42" t="str">
        <f>VmSpecs[[#This Row],[Description]]</f>
        <v>OES N8</v>
      </c>
      <c r="AQ109" s="43"/>
      <c r="AR109" s="43" t="s">
        <v>64</v>
      </c>
      <c r="AS109" s="43" t="s">
        <v>64</v>
      </c>
      <c r="AT109" s="43" t="s">
        <v>64</v>
      </c>
      <c r="AU109" s="43" t="s">
        <v>64</v>
      </c>
      <c r="AV109" s="42" t="s">
        <v>66</v>
      </c>
      <c r="AW109" s="42" t="s">
        <v>67</v>
      </c>
      <c r="AX109" s="42" t="s">
        <v>68</v>
      </c>
      <c r="AY109" s="42" t="s">
        <v>64</v>
      </c>
      <c r="AZ109" s="42" t="s">
        <v>64</v>
      </c>
      <c r="BA10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N8"
Application Service: "OES"
Lifecycle: "PFB"</v>
      </c>
      <c r="BB109" s="78" t="s">
        <v>319</v>
      </c>
      <c r="BC109" s="42" t="str">
        <f>VLOOKUP(VmSpecs[[#This Row],[Original Hostname (CMO)]],'SSOT Data'!A:AJ,36,FALSE)</f>
        <v>OES N8</v>
      </c>
      <c r="BD109" s="43"/>
    </row>
    <row r="110" spans="1:56" ht="29" x14ac:dyDescent="0.35">
      <c r="A110" s="42" t="s">
        <v>58</v>
      </c>
      <c r="B110" s="42" t="str">
        <f>_xlfn.XLOOKUP(VmSpecs[[#This Row],[Subnet]],NetworkReference[Subnet],NetworkReference[Subscription])</f>
        <v>NINP-PERF2</v>
      </c>
      <c r="C110" s="43" t="str">
        <f>_xlfn.XLOOKUP(VmSpecs[[#This Row],[Subnet]],NetworkReference[Subnet],NetworkReference[Virtual Network Resource Group])</f>
        <v>rg-pf2-network-aue-001</v>
      </c>
      <c r="D110" s="43" t="str">
        <f>_xlfn.XLOOKUP(VmSpecs[[#This Row],[Subnet]],NetworkReference[Subnet],NetworkReference[Virtual Network])</f>
        <v>vnet-pf2-workload-aue-001</v>
      </c>
      <c r="E110" s="132" t="s">
        <v>59</v>
      </c>
      <c r="F110" s="43" t="str">
        <f>_xlfn.XLOOKUP(VmSpecs[[#This Row],[Subnet]],NetworkReference[Subnet],NetworkReference[Virtual Network Peering])</f>
        <v>vnet-ninp-conn-pnp-hub-aue</v>
      </c>
      <c r="G110" s="43" t="str">
        <f>_xlfn.XLOOKUP(VmSpecs[[#This Row],[Subnet]],NetworkReference[Subnet],NetworkReference[Route Table])</f>
        <v>rt-sn-pfb-aue-pf2-app</v>
      </c>
      <c r="H110" s="43" t="str">
        <f>LOWER(VLOOKUP(VmSpecs[[#This Row],[Original Hostname (CMO)]],'SSOT Data'!A:K,10,FALSE))</f>
        <v>oes</v>
      </c>
      <c r="I11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10" s="44" t="s">
        <v>129</v>
      </c>
      <c r="K110" s="43" t="str">
        <f>_xlfn.CONCAT("vm",MID(VmSpecs[[#This Row],[Subnet]],4,3),VLOOKUP(VmSpecs[[#This Row],[Subscription]],NetworkReference[#All],2,FALSE),VmSpecs[[#This Row],[Service]],VmSpecs[[#This Row],[VM iteration (nn)]])</f>
        <v>vmpfbpf2oes09</v>
      </c>
      <c r="L110" s="45" t="s">
        <v>61</v>
      </c>
      <c r="M110" s="43" t="str">
        <f>VmSpecs[[#This Row],[VM Name]]&amp;".ninp.myhealthrecord.gov.au"</f>
        <v>vmpfbpf2oes09.ninp.myhealthrecord.gov.au</v>
      </c>
      <c r="N110" s="42" t="str">
        <f t="shared" si="1"/>
        <v>nic-001-vmpfbpf2oes09</v>
      </c>
      <c r="O110" s="94" t="s">
        <v>320</v>
      </c>
      <c r="P110" s="93" t="s">
        <v>63</v>
      </c>
      <c r="Q110" s="42" t="str">
        <f>VLOOKUP(VmSpecs[[#This Row],[Original Hostname (CMO)]],'SSOT Data'!A:E,5,FALSE)</f>
        <v>OEL7.9</v>
      </c>
      <c r="R110" s="83"/>
      <c r="S110" s="42" t="str">
        <f>_xlfn.CONCAT("avail-",LEFT(VmSpecs[[#This Row],[VM Name]],LEN(VmSpecs[[#This Row],[VM Name]])-2))</f>
        <v>avail-vmpfbpf2oes</v>
      </c>
      <c r="T110" s="42" t="str">
        <f>_xlfn.CONCAT("asg-",LEFT(VmSpecs[[#This Row],[VM Name]],LEN(VmSpecs[[#This Row],[VM Name]])-2))</f>
        <v>asg-vmpfbpf2oes</v>
      </c>
      <c r="U110" s="42" t="str">
        <f>_xlfn.CONCAT("nsg-",VmSpecs[[#This Row],[Subnet]])</f>
        <v>nsg-sn-pfb-aue-pf2-app</v>
      </c>
      <c r="V110" s="42" t="s">
        <v>64</v>
      </c>
      <c r="W110" s="43" t="str">
        <f>VLOOKUP(VmSpecs[[#This Row],[Original Hostname (CMO)]],'SSOT Data'!A:AX,50,FALSE)</f>
        <v>Standard_D4s_v4</v>
      </c>
      <c r="X110" s="43">
        <v>64</v>
      </c>
      <c r="Y110" s="43" t="s">
        <v>65</v>
      </c>
      <c r="Z110" s="43" t="str">
        <f>"osdisk-"&amp;VmSpecs[[#This Row],[VM Name]]</f>
        <v>osdisk-vmpfbpf2oes09</v>
      </c>
      <c r="AA110" s="47" t="s">
        <v>66</v>
      </c>
      <c r="AB110" s="73">
        <v>8</v>
      </c>
      <c r="AC110" s="74" t="s">
        <v>65</v>
      </c>
      <c r="AD110" s="75" t="str">
        <f>"disk-"&amp;VmSpecs[[#This Row],[VM Name]]&amp;"-001"</f>
        <v>disk-vmpfbpf2oes09-001</v>
      </c>
      <c r="AE110" s="73">
        <v>32</v>
      </c>
      <c r="AF110" s="74" t="s">
        <v>65</v>
      </c>
      <c r="AG110" s="43" t="str">
        <f>"disk-"&amp;VmSpecs[[#This Row],[VM Name]]&amp;"-002"</f>
        <v>disk-vmpfbpf2oes09-002</v>
      </c>
      <c r="AH110" s="59"/>
      <c r="AI110" s="42"/>
      <c r="AJ110" s="42"/>
      <c r="AK110" s="42"/>
      <c r="AL110" s="42" t="str">
        <f>MID(VmSpecs[[#This Row],[VM Name]],3,9)</f>
        <v>pfbpf2oes</v>
      </c>
      <c r="AM110" s="42" t="str" cm="1">
        <f t="array" ref="AM110">_xlfn.TEXTJOIN(CHAR(10), TRUE, IF(NfsExports[FMO Single VM IP]=VmSpecs[[#This Row],[IP]],NfsExports[FMO Export Summary],""))</f>
        <v>/apps/pcehr 30GB</v>
      </c>
      <c r="AN110" s="43" t="str" cm="1">
        <f t="array" ref="AN11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10" s="42"/>
      <c r="AP110" s="42" t="str">
        <f>VmSpecs[[#This Row],[Description]]</f>
        <v>OES N9</v>
      </c>
      <c r="AQ110" s="43"/>
      <c r="AR110" s="43" t="s">
        <v>64</v>
      </c>
      <c r="AS110" s="43" t="s">
        <v>64</v>
      </c>
      <c r="AT110" s="43" t="s">
        <v>64</v>
      </c>
      <c r="AU110" s="43" t="s">
        <v>64</v>
      </c>
      <c r="AV110" s="42" t="s">
        <v>66</v>
      </c>
      <c r="AW110" s="42" t="s">
        <v>67</v>
      </c>
      <c r="AX110" s="42" t="s">
        <v>68</v>
      </c>
      <c r="AY110" s="42" t="s">
        <v>64</v>
      </c>
      <c r="AZ110" s="42" t="s">
        <v>64</v>
      </c>
      <c r="BA11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N9"
Application Service: "OES"
Lifecycle: "PFB"</v>
      </c>
      <c r="BB110" s="78" t="s">
        <v>321</v>
      </c>
      <c r="BC110" s="42" t="str">
        <f>VLOOKUP(VmSpecs[[#This Row],[Original Hostname (CMO)]],'SSOT Data'!A:AJ,36,FALSE)</f>
        <v>OES N9</v>
      </c>
      <c r="BD110" s="43"/>
    </row>
    <row r="111" spans="1:56" ht="29" x14ac:dyDescent="0.35">
      <c r="A111" s="42"/>
      <c r="B111" s="42" t="str">
        <f>_xlfn.XLOOKUP(VmSpecs[[#This Row],[Subnet]],NetworkReference[Subnet],NetworkReference[Subscription])</f>
        <v>NINP-PERF2</v>
      </c>
      <c r="C111" s="43" t="str">
        <f>_xlfn.XLOOKUP(VmSpecs[[#This Row],[Subnet]],NetworkReference[Subnet],NetworkReference[Virtual Network Resource Group])</f>
        <v>rg-pf2-network-aue-001</v>
      </c>
      <c r="D111" s="43" t="str">
        <f>_xlfn.XLOOKUP(VmSpecs[[#This Row],[Subnet]],NetworkReference[Subnet],NetworkReference[Virtual Network])</f>
        <v>vnet-pf2-workload-aue-001</v>
      </c>
      <c r="E111" s="132" t="s">
        <v>59</v>
      </c>
      <c r="F111" s="43" t="str">
        <f>_xlfn.XLOOKUP(VmSpecs[[#This Row],[Subnet]],NetworkReference[Subnet],NetworkReference[Virtual Network Peering])</f>
        <v>vnet-ninp-conn-pnp-hub-aue</v>
      </c>
      <c r="G111" s="43" t="str">
        <f>_xlfn.XLOOKUP(VmSpecs[[#This Row],[Subnet]],NetworkReference[Subnet],NetworkReference[Route Table])</f>
        <v>rt-sn-pfb-aue-pf2-app</v>
      </c>
      <c r="H111" s="43" t="str">
        <f>LOWER(VLOOKUP(VmSpecs[[#This Row],[Original Hostname (CMO)]],'SSOT Data'!A:K,10,FALSE))</f>
        <v>oes</v>
      </c>
      <c r="I11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11" s="44" t="s">
        <v>132</v>
      </c>
      <c r="K111" s="43" t="str">
        <f>_xlfn.CONCAT("vm",MID(VmSpecs[[#This Row],[Subnet]],4,3),VLOOKUP(VmSpecs[[#This Row],[Subscription]],NetworkReference[#All],2,FALSE),VmSpecs[[#This Row],[Service]],VmSpecs[[#This Row],[VM iteration (nn)]])</f>
        <v>vmpfbpf2oes10</v>
      </c>
      <c r="L111" s="45" t="s">
        <v>61</v>
      </c>
      <c r="M111" s="43" t="str">
        <f>VmSpecs[[#This Row],[VM Name]]&amp;".ninp.myhealthrecord.gov.au"</f>
        <v>vmpfbpf2oes10.ninp.myhealthrecord.gov.au</v>
      </c>
      <c r="N111" s="42" t="str">
        <f t="shared" si="1"/>
        <v>nic-001-vmpfbpf2oes10</v>
      </c>
      <c r="O111" s="94" t="s">
        <v>322</v>
      </c>
      <c r="P111" s="93" t="s">
        <v>63</v>
      </c>
      <c r="Q111" s="42" t="str">
        <f>VLOOKUP(VmSpecs[[#This Row],[Original Hostname (CMO)]],'SSOT Data'!A:E,5,FALSE)</f>
        <v>OEL7.9</v>
      </c>
      <c r="R111" s="83"/>
      <c r="S111" s="42" t="str">
        <f>_xlfn.CONCAT("avail-",LEFT(VmSpecs[[#This Row],[VM Name]],LEN(VmSpecs[[#This Row],[VM Name]])-2))</f>
        <v>avail-vmpfbpf2oes</v>
      </c>
      <c r="T111" s="42" t="str">
        <f>_xlfn.CONCAT("asg-",LEFT(VmSpecs[[#This Row],[VM Name]],LEN(VmSpecs[[#This Row],[VM Name]])-2))</f>
        <v>asg-vmpfbpf2oes</v>
      </c>
      <c r="U111" s="42" t="str">
        <f>_xlfn.CONCAT("nsg-",VmSpecs[[#This Row],[Subnet]])</f>
        <v>nsg-sn-pfb-aue-pf2-app</v>
      </c>
      <c r="V111" s="42"/>
      <c r="W111" s="43" t="str">
        <f>VLOOKUP(VmSpecs[[#This Row],[Original Hostname (CMO)]],'SSOT Data'!A:AX,50,FALSE)</f>
        <v>Standard_D4s_v4</v>
      </c>
      <c r="X111" s="43">
        <v>64</v>
      </c>
      <c r="Y111" s="43" t="s">
        <v>65</v>
      </c>
      <c r="Z111" s="43" t="str">
        <f>"osdisk-"&amp;VmSpecs[[#This Row],[VM Name]]</f>
        <v>osdisk-vmpfbpf2oes10</v>
      </c>
      <c r="AA111" s="47" t="s">
        <v>66</v>
      </c>
      <c r="AB111" s="73">
        <v>8</v>
      </c>
      <c r="AC111" s="74" t="s">
        <v>65</v>
      </c>
      <c r="AD111" s="75" t="str">
        <f>"disk-"&amp;VmSpecs[[#This Row],[VM Name]]&amp;"-001"</f>
        <v>disk-vmpfbpf2oes10-001</v>
      </c>
      <c r="AE111" s="73">
        <v>32</v>
      </c>
      <c r="AF111" s="74" t="s">
        <v>65</v>
      </c>
      <c r="AG111" s="43" t="str">
        <f>"disk-"&amp;VmSpecs[[#This Row],[VM Name]]&amp;"-002"</f>
        <v>disk-vmpfbpf2oes10-002</v>
      </c>
      <c r="AH111" s="59"/>
      <c r="AI111" s="42"/>
      <c r="AJ111" s="42"/>
      <c r="AK111" s="42"/>
      <c r="AL111" s="42" t="str">
        <f>MID(VmSpecs[[#This Row],[VM Name]],3,9)</f>
        <v>pfbpf2oes</v>
      </c>
      <c r="AM111" s="42" t="str" cm="1">
        <f t="array" ref="AM111">_xlfn.TEXTJOIN(CHAR(10), TRUE, IF(NfsExports[FMO Single VM IP]=VmSpecs[[#This Row],[IP]],NfsExports[FMO Export Summary],""))</f>
        <v>/apps/pcehr 30GB</v>
      </c>
      <c r="AN111" s="43" t="str" cm="1">
        <f t="array" ref="AN11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11" s="42"/>
      <c r="AP111" s="42" t="str">
        <f>VmSpecs[[#This Row],[Description]]</f>
        <v>OES N10</v>
      </c>
      <c r="AQ111" s="43"/>
      <c r="AR111" s="43"/>
      <c r="AS111" s="43"/>
      <c r="AT111" s="43"/>
      <c r="AU111" s="43"/>
      <c r="AV111" s="42"/>
      <c r="AW111" s="42"/>
      <c r="AX111" s="42"/>
      <c r="AY111" s="42"/>
      <c r="AZ111" s="42"/>
      <c r="BA111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N10"
Application Service: "OES"
Lifecycle: "PFB"</v>
      </c>
      <c r="BB111" s="78" t="s">
        <v>323</v>
      </c>
      <c r="BC111" s="42" t="str">
        <f>VLOOKUP(VmSpecs[[#This Row],[Original Hostname (CMO)]],'SSOT Data'!A:AJ,36,FALSE)</f>
        <v>OES N10</v>
      </c>
      <c r="BD111" s="126">
        <f>VLOOKUP(VmSpecs[[#This Row],[Original Hostname (CMO)]],'SSOT Data'!A:AQ,43,FALSE)</f>
        <v>2</v>
      </c>
    </row>
    <row r="112" spans="1:56" ht="29" x14ac:dyDescent="0.35">
      <c r="A112" s="42"/>
      <c r="B112" s="42" t="str">
        <f>_xlfn.XLOOKUP(VmSpecs[[#This Row],[Subnet]],NetworkReference[Subnet],NetworkReference[Subscription])</f>
        <v>NINP-PERF2</v>
      </c>
      <c r="C112" s="43" t="str">
        <f>_xlfn.XLOOKUP(VmSpecs[[#This Row],[Subnet]],NetworkReference[Subnet],NetworkReference[Virtual Network Resource Group])</f>
        <v>rg-pf2-network-aue-001</v>
      </c>
      <c r="D112" s="43" t="str">
        <f>_xlfn.XLOOKUP(VmSpecs[[#This Row],[Subnet]],NetworkReference[Subnet],NetworkReference[Virtual Network])</f>
        <v>vnet-pf2-workload-aue-001</v>
      </c>
      <c r="E112" s="132" t="s">
        <v>59</v>
      </c>
      <c r="F112" s="43" t="str">
        <f>_xlfn.XLOOKUP(VmSpecs[[#This Row],[Subnet]],NetworkReference[Subnet],NetworkReference[Virtual Network Peering])</f>
        <v>vnet-ninp-conn-pnp-hub-aue</v>
      </c>
      <c r="G112" s="43" t="str">
        <f>_xlfn.XLOOKUP(VmSpecs[[#This Row],[Subnet]],NetworkReference[Subnet],NetworkReference[Route Table])</f>
        <v>rt-sn-pfb-aue-pf2-app</v>
      </c>
      <c r="H112" s="43" t="str">
        <f>LOWER(VLOOKUP(VmSpecs[[#This Row],[Original Hostname (CMO)]],'SSOT Data'!A:K,10,FALSE))</f>
        <v>oes</v>
      </c>
      <c r="I11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12" s="44" t="s">
        <v>135</v>
      </c>
      <c r="K112" s="43" t="str">
        <f>_xlfn.CONCAT("vm",MID(VmSpecs[[#This Row],[Subnet]],4,3),VLOOKUP(VmSpecs[[#This Row],[Subscription]],NetworkReference[#All],2,FALSE),VmSpecs[[#This Row],[Service]],VmSpecs[[#This Row],[VM iteration (nn)]])</f>
        <v>vmpfbpf2oes11</v>
      </c>
      <c r="L112" s="45" t="s">
        <v>61</v>
      </c>
      <c r="M112" s="43" t="str">
        <f>VmSpecs[[#This Row],[VM Name]]&amp;".ninp.myhealthrecord.gov.au"</f>
        <v>vmpfbpf2oes11.ninp.myhealthrecord.gov.au</v>
      </c>
      <c r="N112" s="42" t="str">
        <f t="shared" si="1"/>
        <v>nic-001-vmpfbpf2oes11</v>
      </c>
      <c r="O112" s="94" t="s">
        <v>324</v>
      </c>
      <c r="P112" s="93" t="s">
        <v>63</v>
      </c>
      <c r="Q112" s="42" t="str">
        <f>VLOOKUP(VmSpecs[[#This Row],[Original Hostname (CMO)]],'SSOT Data'!A:E,5,FALSE)</f>
        <v>OEL7.9</v>
      </c>
      <c r="R112" s="83"/>
      <c r="S112" s="42" t="str">
        <f>_xlfn.CONCAT("avail-",LEFT(VmSpecs[[#This Row],[VM Name]],LEN(VmSpecs[[#This Row],[VM Name]])-2))</f>
        <v>avail-vmpfbpf2oes</v>
      </c>
      <c r="T112" s="42" t="str">
        <f>_xlfn.CONCAT("asg-",LEFT(VmSpecs[[#This Row],[VM Name]],LEN(VmSpecs[[#This Row],[VM Name]])-2))</f>
        <v>asg-vmpfbpf2oes</v>
      </c>
      <c r="U112" s="42" t="str">
        <f>_xlfn.CONCAT("nsg-",VmSpecs[[#This Row],[Subnet]])</f>
        <v>nsg-sn-pfb-aue-pf2-app</v>
      </c>
      <c r="V112" s="42"/>
      <c r="W112" s="43" t="str">
        <f>VLOOKUP(VmSpecs[[#This Row],[Original Hostname (CMO)]],'SSOT Data'!A:AX,50,FALSE)</f>
        <v>Standard_D4s_v4</v>
      </c>
      <c r="X112" s="43">
        <v>64</v>
      </c>
      <c r="Y112" s="43" t="s">
        <v>65</v>
      </c>
      <c r="Z112" s="43" t="str">
        <f>"osdisk-"&amp;VmSpecs[[#This Row],[VM Name]]</f>
        <v>osdisk-vmpfbpf2oes11</v>
      </c>
      <c r="AA112" s="47" t="s">
        <v>66</v>
      </c>
      <c r="AB112" s="73">
        <v>8</v>
      </c>
      <c r="AC112" s="74" t="s">
        <v>65</v>
      </c>
      <c r="AD112" s="75" t="str">
        <f>"disk-"&amp;VmSpecs[[#This Row],[VM Name]]&amp;"-001"</f>
        <v>disk-vmpfbpf2oes11-001</v>
      </c>
      <c r="AE112" s="73">
        <v>32</v>
      </c>
      <c r="AF112" s="74" t="s">
        <v>65</v>
      </c>
      <c r="AG112" s="43" t="str">
        <f>"disk-"&amp;VmSpecs[[#This Row],[VM Name]]&amp;"-002"</f>
        <v>disk-vmpfbpf2oes11-002</v>
      </c>
      <c r="AH112" s="59"/>
      <c r="AI112" s="42"/>
      <c r="AJ112" s="42"/>
      <c r="AK112" s="42"/>
      <c r="AL112" s="42" t="str">
        <f>MID(VmSpecs[[#This Row],[VM Name]],3,9)</f>
        <v>pfbpf2oes</v>
      </c>
      <c r="AM112" s="42" t="str" cm="1">
        <f t="array" ref="AM112">_xlfn.TEXTJOIN(CHAR(10), TRUE, IF(NfsExports[FMO Single VM IP]=VmSpecs[[#This Row],[IP]],NfsExports[FMO Export Summary],""))</f>
        <v>/apps/pcehr 30GB</v>
      </c>
      <c r="AN112" s="43" t="str" cm="1">
        <f t="array" ref="AN11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12" s="42"/>
      <c r="AP112" s="42" t="str">
        <f>VmSpecs[[#This Row],[Description]]</f>
        <v>OES N11</v>
      </c>
      <c r="AQ112" s="43"/>
      <c r="AR112" s="43"/>
      <c r="AS112" s="43"/>
      <c r="AT112" s="43"/>
      <c r="AU112" s="43"/>
      <c r="AV112" s="42"/>
      <c r="AW112" s="42"/>
      <c r="AX112" s="42"/>
      <c r="AY112" s="42"/>
      <c r="AZ112" s="42"/>
      <c r="BA112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N11"
Application Service: "OES"
Lifecycle: "PFB"</v>
      </c>
      <c r="BB112" s="78" t="s">
        <v>325</v>
      </c>
      <c r="BC112" s="42" t="str">
        <f>VLOOKUP(VmSpecs[[#This Row],[Original Hostname (CMO)]],'SSOT Data'!A:AJ,36,FALSE)</f>
        <v>OES N11</v>
      </c>
      <c r="BD112" s="126">
        <f>VLOOKUP(VmSpecs[[#This Row],[Original Hostname (CMO)]],'SSOT Data'!A:AQ,43,FALSE)</f>
        <v>2</v>
      </c>
    </row>
    <row r="113" spans="1:56" ht="29" x14ac:dyDescent="0.35">
      <c r="A113" s="42"/>
      <c r="B113" s="42" t="str">
        <f>_xlfn.XLOOKUP(VmSpecs[[#This Row],[Subnet]],NetworkReference[Subnet],NetworkReference[Subscription])</f>
        <v>NINP-PERF2</v>
      </c>
      <c r="C113" s="43" t="str">
        <f>_xlfn.XLOOKUP(VmSpecs[[#This Row],[Subnet]],NetworkReference[Subnet],NetworkReference[Virtual Network Resource Group])</f>
        <v>rg-pf2-network-aue-001</v>
      </c>
      <c r="D113" s="43" t="str">
        <f>_xlfn.XLOOKUP(VmSpecs[[#This Row],[Subnet]],NetworkReference[Subnet],NetworkReference[Virtual Network])</f>
        <v>vnet-pf2-workload-aue-001</v>
      </c>
      <c r="E113" s="132" t="s">
        <v>59</v>
      </c>
      <c r="F113" s="43" t="str">
        <f>_xlfn.XLOOKUP(VmSpecs[[#This Row],[Subnet]],NetworkReference[Subnet],NetworkReference[Virtual Network Peering])</f>
        <v>vnet-ninp-conn-pnp-hub-aue</v>
      </c>
      <c r="G113" s="43" t="str">
        <f>_xlfn.XLOOKUP(VmSpecs[[#This Row],[Subnet]],NetworkReference[Subnet],NetworkReference[Route Table])</f>
        <v>rt-sn-pfb-aue-pf2-app</v>
      </c>
      <c r="H113" s="43" t="str">
        <f>LOWER(VLOOKUP(VmSpecs[[#This Row],[Original Hostname (CMO)]],'SSOT Data'!A:K,10,FALSE))</f>
        <v>oes</v>
      </c>
      <c r="I11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13" s="44" t="s">
        <v>138</v>
      </c>
      <c r="K113" s="43" t="str">
        <f>_xlfn.CONCAT("vm",MID(VmSpecs[[#This Row],[Subnet]],4,3),VLOOKUP(VmSpecs[[#This Row],[Subscription]],NetworkReference[#All],2,FALSE),VmSpecs[[#This Row],[Service]],VmSpecs[[#This Row],[VM iteration (nn)]])</f>
        <v>vmpfbpf2oes12</v>
      </c>
      <c r="L113" s="45" t="s">
        <v>61</v>
      </c>
      <c r="M113" s="43" t="str">
        <f>VmSpecs[[#This Row],[VM Name]]&amp;".ninp.myhealthrecord.gov.au"</f>
        <v>vmpfbpf2oes12.ninp.myhealthrecord.gov.au</v>
      </c>
      <c r="N113" s="42" t="str">
        <f t="shared" si="1"/>
        <v>nic-001-vmpfbpf2oes12</v>
      </c>
      <c r="O113" s="94" t="s">
        <v>326</v>
      </c>
      <c r="P113" s="93" t="s">
        <v>63</v>
      </c>
      <c r="Q113" s="42" t="str">
        <f>VLOOKUP(VmSpecs[[#This Row],[Original Hostname (CMO)]],'SSOT Data'!A:E,5,FALSE)</f>
        <v>OEL7.9</v>
      </c>
      <c r="R113" s="83"/>
      <c r="S113" s="42" t="str">
        <f>_xlfn.CONCAT("avail-",LEFT(VmSpecs[[#This Row],[VM Name]],LEN(VmSpecs[[#This Row],[VM Name]])-2))</f>
        <v>avail-vmpfbpf2oes</v>
      </c>
      <c r="T113" s="42" t="str">
        <f>_xlfn.CONCAT("asg-",LEFT(VmSpecs[[#This Row],[VM Name]],LEN(VmSpecs[[#This Row],[VM Name]])-2))</f>
        <v>asg-vmpfbpf2oes</v>
      </c>
      <c r="U113" s="42" t="str">
        <f>_xlfn.CONCAT("nsg-",VmSpecs[[#This Row],[Subnet]])</f>
        <v>nsg-sn-pfb-aue-pf2-app</v>
      </c>
      <c r="V113" s="42"/>
      <c r="W113" s="43" t="str">
        <f>VLOOKUP(VmSpecs[[#This Row],[Original Hostname (CMO)]],'SSOT Data'!A:AX,50,FALSE)</f>
        <v>Standard_D4s_v4</v>
      </c>
      <c r="X113" s="43">
        <v>64</v>
      </c>
      <c r="Y113" s="43" t="s">
        <v>65</v>
      </c>
      <c r="Z113" s="43" t="str">
        <f>"osdisk-"&amp;VmSpecs[[#This Row],[VM Name]]</f>
        <v>osdisk-vmpfbpf2oes12</v>
      </c>
      <c r="AA113" s="47" t="s">
        <v>66</v>
      </c>
      <c r="AB113" s="73">
        <v>8</v>
      </c>
      <c r="AC113" s="74" t="s">
        <v>65</v>
      </c>
      <c r="AD113" s="75" t="str">
        <f>"disk-"&amp;VmSpecs[[#This Row],[VM Name]]&amp;"-001"</f>
        <v>disk-vmpfbpf2oes12-001</v>
      </c>
      <c r="AE113" s="73">
        <v>32</v>
      </c>
      <c r="AF113" s="74" t="s">
        <v>65</v>
      </c>
      <c r="AG113" s="43" t="str">
        <f>"disk-"&amp;VmSpecs[[#This Row],[VM Name]]&amp;"-002"</f>
        <v>disk-vmpfbpf2oes12-002</v>
      </c>
      <c r="AH113" s="59"/>
      <c r="AI113" s="42"/>
      <c r="AJ113" s="42"/>
      <c r="AK113" s="42"/>
      <c r="AL113" s="42" t="str">
        <f>MID(VmSpecs[[#This Row],[VM Name]],3,9)</f>
        <v>pfbpf2oes</v>
      </c>
      <c r="AM113" s="42" t="str" cm="1">
        <f t="array" ref="AM113">_xlfn.TEXTJOIN(CHAR(10), TRUE, IF(NfsExports[FMO Single VM IP]=VmSpecs[[#This Row],[IP]],NfsExports[FMO Export Summary],""))</f>
        <v>/apps/pcehr 30GB</v>
      </c>
      <c r="AN113" s="43" t="str" cm="1">
        <f t="array" ref="AN11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13" s="42"/>
      <c r="AP113" s="42" t="str">
        <f>VmSpecs[[#This Row],[Description]]</f>
        <v>OES N12</v>
      </c>
      <c r="AQ113" s="43"/>
      <c r="AR113" s="43"/>
      <c r="AS113" s="43"/>
      <c r="AT113" s="43"/>
      <c r="AU113" s="43"/>
      <c r="AV113" s="42"/>
      <c r="AW113" s="42"/>
      <c r="AX113" s="42"/>
      <c r="AY113" s="42"/>
      <c r="AZ113" s="42"/>
      <c r="BA113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N12"
Application Service: "OES"
Lifecycle: "PFB"</v>
      </c>
      <c r="BB113" s="78" t="s">
        <v>327</v>
      </c>
      <c r="BC113" s="42" t="str">
        <f>VLOOKUP(VmSpecs[[#This Row],[Original Hostname (CMO)]],'SSOT Data'!A:AJ,36,FALSE)</f>
        <v>OES N12</v>
      </c>
      <c r="BD113" s="126">
        <f>VLOOKUP(VmSpecs[[#This Row],[Original Hostname (CMO)]],'SSOT Data'!A:AQ,43,FALSE)</f>
        <v>2</v>
      </c>
    </row>
    <row r="114" spans="1:56" ht="29" x14ac:dyDescent="0.35">
      <c r="A114" s="42"/>
      <c r="B114" s="42" t="str">
        <f>_xlfn.XLOOKUP(VmSpecs[[#This Row],[Subnet]],NetworkReference[Subnet],NetworkReference[Subscription])</f>
        <v>NINP-PERF2</v>
      </c>
      <c r="C114" s="43" t="str">
        <f>_xlfn.XLOOKUP(VmSpecs[[#This Row],[Subnet]],NetworkReference[Subnet],NetworkReference[Virtual Network Resource Group])</f>
        <v>rg-pf2-network-aue-001</v>
      </c>
      <c r="D114" s="43" t="str">
        <f>_xlfn.XLOOKUP(VmSpecs[[#This Row],[Subnet]],NetworkReference[Subnet],NetworkReference[Virtual Network])</f>
        <v>vnet-pf2-workload-aue-001</v>
      </c>
      <c r="E114" s="132" t="s">
        <v>59</v>
      </c>
      <c r="F114" s="43" t="str">
        <f>_xlfn.XLOOKUP(VmSpecs[[#This Row],[Subnet]],NetworkReference[Subnet],NetworkReference[Virtual Network Peering])</f>
        <v>vnet-ninp-conn-pnp-hub-aue</v>
      </c>
      <c r="G114" s="43" t="str">
        <f>_xlfn.XLOOKUP(VmSpecs[[#This Row],[Subnet]],NetworkReference[Subnet],NetworkReference[Route Table])</f>
        <v>rt-sn-pfb-aue-pf2-app</v>
      </c>
      <c r="H114" s="43" t="str">
        <f>LOWER(VLOOKUP(VmSpecs[[#This Row],[Original Hostname (CMO)]],'SSOT Data'!A:K,10,FALSE))</f>
        <v>oes</v>
      </c>
      <c r="I11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14" s="44" t="s">
        <v>141</v>
      </c>
      <c r="K114" s="43" t="str">
        <f>_xlfn.CONCAT("vm",MID(VmSpecs[[#This Row],[Subnet]],4,3),VLOOKUP(VmSpecs[[#This Row],[Subscription]],NetworkReference[#All],2,FALSE),VmSpecs[[#This Row],[Service]],VmSpecs[[#This Row],[VM iteration (nn)]])</f>
        <v>vmpfbpf2oes13</v>
      </c>
      <c r="L114" s="45" t="s">
        <v>61</v>
      </c>
      <c r="M114" s="43" t="str">
        <f>VmSpecs[[#This Row],[VM Name]]&amp;".ninp.myhealthrecord.gov.au"</f>
        <v>vmpfbpf2oes13.ninp.myhealthrecord.gov.au</v>
      </c>
      <c r="N114" s="42" t="str">
        <f t="shared" si="1"/>
        <v>nic-001-vmpfbpf2oes13</v>
      </c>
      <c r="O114" s="94" t="s">
        <v>328</v>
      </c>
      <c r="P114" s="93" t="s">
        <v>63</v>
      </c>
      <c r="Q114" s="42" t="str">
        <f>VLOOKUP(VmSpecs[[#This Row],[Original Hostname (CMO)]],'SSOT Data'!A:E,5,FALSE)</f>
        <v>OEL7.9</v>
      </c>
      <c r="R114" s="83"/>
      <c r="S114" s="42" t="str">
        <f>_xlfn.CONCAT("avail-",LEFT(VmSpecs[[#This Row],[VM Name]],LEN(VmSpecs[[#This Row],[VM Name]])-2))</f>
        <v>avail-vmpfbpf2oes</v>
      </c>
      <c r="T114" s="42" t="str">
        <f>_xlfn.CONCAT("asg-",LEFT(VmSpecs[[#This Row],[VM Name]],LEN(VmSpecs[[#This Row],[VM Name]])-2))</f>
        <v>asg-vmpfbpf2oes</v>
      </c>
      <c r="U114" s="42" t="str">
        <f>_xlfn.CONCAT("nsg-",VmSpecs[[#This Row],[Subnet]])</f>
        <v>nsg-sn-pfb-aue-pf2-app</v>
      </c>
      <c r="V114" s="42"/>
      <c r="W114" s="43" t="str">
        <f>VLOOKUP(VmSpecs[[#This Row],[Original Hostname (CMO)]],'SSOT Data'!A:AX,50,FALSE)</f>
        <v>Standard_D4s_v4</v>
      </c>
      <c r="X114" s="43">
        <v>64</v>
      </c>
      <c r="Y114" s="43" t="s">
        <v>65</v>
      </c>
      <c r="Z114" s="43" t="str">
        <f>"osdisk-"&amp;VmSpecs[[#This Row],[VM Name]]</f>
        <v>osdisk-vmpfbpf2oes13</v>
      </c>
      <c r="AA114" s="47" t="s">
        <v>66</v>
      </c>
      <c r="AB114" s="73">
        <v>8</v>
      </c>
      <c r="AC114" s="74" t="s">
        <v>65</v>
      </c>
      <c r="AD114" s="75" t="str">
        <f>"disk-"&amp;VmSpecs[[#This Row],[VM Name]]&amp;"-001"</f>
        <v>disk-vmpfbpf2oes13-001</v>
      </c>
      <c r="AE114" s="73">
        <v>32</v>
      </c>
      <c r="AF114" s="74" t="s">
        <v>65</v>
      </c>
      <c r="AG114" s="43" t="str">
        <f>"disk-"&amp;VmSpecs[[#This Row],[VM Name]]&amp;"-002"</f>
        <v>disk-vmpfbpf2oes13-002</v>
      </c>
      <c r="AH114" s="59"/>
      <c r="AI114" s="42"/>
      <c r="AJ114" s="42"/>
      <c r="AK114" s="42"/>
      <c r="AL114" s="42" t="str">
        <f>MID(VmSpecs[[#This Row],[VM Name]],3,9)</f>
        <v>pfbpf2oes</v>
      </c>
      <c r="AM114" s="42" t="str" cm="1">
        <f t="array" ref="AM114">_xlfn.TEXTJOIN(CHAR(10), TRUE, IF(NfsExports[FMO Single VM IP]=VmSpecs[[#This Row],[IP]],NfsExports[FMO Export Summary],""))</f>
        <v>/apps/pcehr 30GB</v>
      </c>
      <c r="AN114" s="43" t="str" cm="1">
        <f t="array" ref="AN11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14" s="42"/>
      <c r="AP114" s="42" t="str">
        <f>VmSpecs[[#This Row],[Description]]</f>
        <v>OES N13</v>
      </c>
      <c r="AQ114" s="43"/>
      <c r="AR114" s="43"/>
      <c r="AS114" s="43"/>
      <c r="AT114" s="43"/>
      <c r="AU114" s="43"/>
      <c r="AV114" s="42"/>
      <c r="AW114" s="42"/>
      <c r="AX114" s="42"/>
      <c r="AY114" s="42"/>
      <c r="AZ114" s="42"/>
      <c r="BA114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N13"
Application Service: "OES"
Lifecycle: "PFB"</v>
      </c>
      <c r="BB114" s="78" t="s">
        <v>329</v>
      </c>
      <c r="BC114" s="42" t="str">
        <f>VLOOKUP(VmSpecs[[#This Row],[Original Hostname (CMO)]],'SSOT Data'!A:AJ,36,FALSE)</f>
        <v>OES N13</v>
      </c>
      <c r="BD114" s="126">
        <f>VLOOKUP(VmSpecs[[#This Row],[Original Hostname (CMO)]],'SSOT Data'!A:AQ,43,FALSE)</f>
        <v>2</v>
      </c>
    </row>
    <row r="115" spans="1:56" ht="29" x14ac:dyDescent="0.35">
      <c r="A115" s="42"/>
      <c r="B115" s="42" t="str">
        <f>_xlfn.XLOOKUP(VmSpecs[[#This Row],[Subnet]],NetworkReference[Subnet],NetworkReference[Subscription])</f>
        <v>NINP-PERF2</v>
      </c>
      <c r="C115" s="43" t="str">
        <f>_xlfn.XLOOKUP(VmSpecs[[#This Row],[Subnet]],NetworkReference[Subnet],NetworkReference[Virtual Network Resource Group])</f>
        <v>rg-pf2-network-aue-001</v>
      </c>
      <c r="D115" s="43" t="str">
        <f>_xlfn.XLOOKUP(VmSpecs[[#This Row],[Subnet]],NetworkReference[Subnet],NetworkReference[Virtual Network])</f>
        <v>vnet-pf2-workload-aue-001</v>
      </c>
      <c r="E115" s="132" t="s">
        <v>59</v>
      </c>
      <c r="F115" s="43" t="str">
        <f>_xlfn.XLOOKUP(VmSpecs[[#This Row],[Subnet]],NetworkReference[Subnet],NetworkReference[Virtual Network Peering])</f>
        <v>vnet-ninp-conn-pnp-hub-aue</v>
      </c>
      <c r="G115" s="43" t="str">
        <f>_xlfn.XLOOKUP(VmSpecs[[#This Row],[Subnet]],NetworkReference[Subnet],NetworkReference[Route Table])</f>
        <v>rt-sn-pfb-aue-pf2-app</v>
      </c>
      <c r="H115" s="43" t="str">
        <f>LOWER(VLOOKUP(VmSpecs[[#This Row],[Original Hostname (CMO)]],'SSOT Data'!A:K,10,FALSE))</f>
        <v>oes</v>
      </c>
      <c r="I11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15" s="44" t="s">
        <v>144</v>
      </c>
      <c r="K115" s="43" t="str">
        <f>_xlfn.CONCAT("vm",MID(VmSpecs[[#This Row],[Subnet]],4,3),VLOOKUP(VmSpecs[[#This Row],[Subscription]],NetworkReference[#All],2,FALSE),VmSpecs[[#This Row],[Service]],VmSpecs[[#This Row],[VM iteration (nn)]])</f>
        <v>vmpfbpf2oes14</v>
      </c>
      <c r="L115" s="45" t="s">
        <v>61</v>
      </c>
      <c r="M115" s="43" t="str">
        <f>VmSpecs[[#This Row],[VM Name]]&amp;".ninp.myhealthrecord.gov.au"</f>
        <v>vmpfbpf2oes14.ninp.myhealthrecord.gov.au</v>
      </c>
      <c r="N115" s="42" t="str">
        <f t="shared" si="1"/>
        <v>nic-001-vmpfbpf2oes14</v>
      </c>
      <c r="O115" s="94" t="s">
        <v>330</v>
      </c>
      <c r="P115" s="93" t="s">
        <v>63</v>
      </c>
      <c r="Q115" s="42" t="str">
        <f>VLOOKUP(VmSpecs[[#This Row],[Original Hostname (CMO)]],'SSOT Data'!A:E,5,FALSE)</f>
        <v>OEL7.9</v>
      </c>
      <c r="R115" s="83"/>
      <c r="S115" s="42" t="str">
        <f>_xlfn.CONCAT("avail-",LEFT(VmSpecs[[#This Row],[VM Name]],LEN(VmSpecs[[#This Row],[VM Name]])-2))</f>
        <v>avail-vmpfbpf2oes</v>
      </c>
      <c r="T115" s="42" t="str">
        <f>_xlfn.CONCAT("asg-",LEFT(VmSpecs[[#This Row],[VM Name]],LEN(VmSpecs[[#This Row],[VM Name]])-2))</f>
        <v>asg-vmpfbpf2oes</v>
      </c>
      <c r="U115" s="42" t="str">
        <f>_xlfn.CONCAT("nsg-",VmSpecs[[#This Row],[Subnet]])</f>
        <v>nsg-sn-pfb-aue-pf2-app</v>
      </c>
      <c r="V115" s="42"/>
      <c r="W115" s="43" t="str">
        <f>VLOOKUP(VmSpecs[[#This Row],[Original Hostname (CMO)]],'SSOT Data'!A:AX,50,FALSE)</f>
        <v>Standard_D4s_v4</v>
      </c>
      <c r="X115" s="43">
        <v>64</v>
      </c>
      <c r="Y115" s="43" t="s">
        <v>65</v>
      </c>
      <c r="Z115" s="43" t="str">
        <f>"osdisk-"&amp;VmSpecs[[#This Row],[VM Name]]</f>
        <v>osdisk-vmpfbpf2oes14</v>
      </c>
      <c r="AA115" s="47" t="s">
        <v>66</v>
      </c>
      <c r="AB115" s="73">
        <v>8</v>
      </c>
      <c r="AC115" s="74" t="s">
        <v>65</v>
      </c>
      <c r="AD115" s="75" t="str">
        <f>"disk-"&amp;VmSpecs[[#This Row],[VM Name]]&amp;"-001"</f>
        <v>disk-vmpfbpf2oes14-001</v>
      </c>
      <c r="AE115" s="73">
        <v>32</v>
      </c>
      <c r="AF115" s="74" t="s">
        <v>65</v>
      </c>
      <c r="AG115" s="43" t="str">
        <f>"disk-"&amp;VmSpecs[[#This Row],[VM Name]]&amp;"-002"</f>
        <v>disk-vmpfbpf2oes14-002</v>
      </c>
      <c r="AH115" s="59"/>
      <c r="AI115" s="42"/>
      <c r="AJ115" s="42"/>
      <c r="AK115" s="42"/>
      <c r="AL115" s="42" t="str">
        <f>MID(VmSpecs[[#This Row],[VM Name]],3,9)</f>
        <v>pfbpf2oes</v>
      </c>
      <c r="AM115" s="42" t="str" cm="1">
        <f t="array" ref="AM115">_xlfn.TEXTJOIN(CHAR(10), TRUE, IF(NfsExports[FMO Single VM IP]=VmSpecs[[#This Row],[IP]],NfsExports[FMO Export Summary],""))</f>
        <v>/apps/pcehr 30GB</v>
      </c>
      <c r="AN115" s="43" t="str" cm="1">
        <f t="array" ref="AN11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15" s="42"/>
      <c r="AP115" s="42" t="str">
        <f>VmSpecs[[#This Row],[Description]]</f>
        <v>OES N14</v>
      </c>
      <c r="AQ115" s="43"/>
      <c r="AR115" s="43"/>
      <c r="AS115" s="43"/>
      <c r="AT115" s="43"/>
      <c r="AU115" s="43"/>
      <c r="AV115" s="42"/>
      <c r="AW115" s="42"/>
      <c r="AX115" s="42"/>
      <c r="AY115" s="42"/>
      <c r="AZ115" s="42"/>
      <c r="BA115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N14"
Application Service: "OES"
Lifecycle: "PFB"</v>
      </c>
      <c r="BB115" s="78" t="s">
        <v>331</v>
      </c>
      <c r="BC115" s="42" t="str">
        <f>VLOOKUP(VmSpecs[[#This Row],[Original Hostname (CMO)]],'SSOT Data'!A:AJ,36,FALSE)</f>
        <v>OES N14</v>
      </c>
      <c r="BD115" s="126">
        <f>VLOOKUP(VmSpecs[[#This Row],[Original Hostname (CMO)]],'SSOT Data'!A:AQ,43,FALSE)</f>
        <v>2</v>
      </c>
    </row>
    <row r="116" spans="1:56" ht="29" x14ac:dyDescent="0.35">
      <c r="A116" s="42"/>
      <c r="B116" s="42" t="str">
        <f>_xlfn.XLOOKUP(VmSpecs[[#This Row],[Subnet]],NetworkReference[Subnet],NetworkReference[Subscription])</f>
        <v>NINP-PERF2</v>
      </c>
      <c r="C116" s="43" t="str">
        <f>_xlfn.XLOOKUP(VmSpecs[[#This Row],[Subnet]],NetworkReference[Subnet],NetworkReference[Virtual Network Resource Group])</f>
        <v>rg-pf2-network-aue-001</v>
      </c>
      <c r="D116" s="43" t="str">
        <f>_xlfn.XLOOKUP(VmSpecs[[#This Row],[Subnet]],NetworkReference[Subnet],NetworkReference[Virtual Network])</f>
        <v>vnet-pf2-workload-aue-001</v>
      </c>
      <c r="E116" s="132" t="s">
        <v>59</v>
      </c>
      <c r="F116" s="43" t="str">
        <f>_xlfn.XLOOKUP(VmSpecs[[#This Row],[Subnet]],NetworkReference[Subnet],NetworkReference[Virtual Network Peering])</f>
        <v>vnet-ninp-conn-pnp-hub-aue</v>
      </c>
      <c r="G116" s="43" t="str">
        <f>_xlfn.XLOOKUP(VmSpecs[[#This Row],[Subnet]],NetworkReference[Subnet],NetworkReference[Route Table])</f>
        <v>rt-sn-pfb-aue-pf2-app</v>
      </c>
      <c r="H116" s="43" t="str">
        <f>LOWER(VLOOKUP(VmSpecs[[#This Row],[Original Hostname (CMO)]],'SSOT Data'!A:K,10,FALSE))</f>
        <v>oes</v>
      </c>
      <c r="I11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16" s="44" t="s">
        <v>147</v>
      </c>
      <c r="K116" s="43" t="str">
        <f>_xlfn.CONCAT("vm",MID(VmSpecs[[#This Row],[Subnet]],4,3),VLOOKUP(VmSpecs[[#This Row],[Subscription]],NetworkReference[#All],2,FALSE),VmSpecs[[#This Row],[Service]],VmSpecs[[#This Row],[VM iteration (nn)]])</f>
        <v>vmpfbpf2oes15</v>
      </c>
      <c r="L116" s="45" t="s">
        <v>61</v>
      </c>
      <c r="M116" s="43" t="str">
        <f>VmSpecs[[#This Row],[VM Name]]&amp;".ninp.myhealthrecord.gov.au"</f>
        <v>vmpfbpf2oes15.ninp.myhealthrecord.gov.au</v>
      </c>
      <c r="N116" s="42" t="str">
        <f t="shared" si="1"/>
        <v>nic-001-vmpfbpf2oes15</v>
      </c>
      <c r="O116" s="94" t="s">
        <v>332</v>
      </c>
      <c r="P116" s="93" t="s">
        <v>63</v>
      </c>
      <c r="Q116" s="42" t="str">
        <f>VLOOKUP(VmSpecs[[#This Row],[Original Hostname (CMO)]],'SSOT Data'!A:E,5,FALSE)</f>
        <v>OEL7.9</v>
      </c>
      <c r="R116" s="83"/>
      <c r="S116" s="42" t="str">
        <f>_xlfn.CONCAT("avail-",LEFT(VmSpecs[[#This Row],[VM Name]],LEN(VmSpecs[[#This Row],[VM Name]])-2))</f>
        <v>avail-vmpfbpf2oes</v>
      </c>
      <c r="T116" s="42" t="str">
        <f>_xlfn.CONCAT("asg-",LEFT(VmSpecs[[#This Row],[VM Name]],LEN(VmSpecs[[#This Row],[VM Name]])-2))</f>
        <v>asg-vmpfbpf2oes</v>
      </c>
      <c r="U116" s="42" t="str">
        <f>_xlfn.CONCAT("nsg-",VmSpecs[[#This Row],[Subnet]])</f>
        <v>nsg-sn-pfb-aue-pf2-app</v>
      </c>
      <c r="V116" s="42"/>
      <c r="W116" s="43" t="str">
        <f>VLOOKUP(VmSpecs[[#This Row],[Original Hostname (CMO)]],'SSOT Data'!A:AX,50,FALSE)</f>
        <v>Standard_D4s_v4</v>
      </c>
      <c r="X116" s="43">
        <v>64</v>
      </c>
      <c r="Y116" s="43" t="s">
        <v>65</v>
      </c>
      <c r="Z116" s="43" t="str">
        <f>"osdisk-"&amp;VmSpecs[[#This Row],[VM Name]]</f>
        <v>osdisk-vmpfbpf2oes15</v>
      </c>
      <c r="AA116" s="47" t="s">
        <v>66</v>
      </c>
      <c r="AB116" s="73">
        <v>8</v>
      </c>
      <c r="AC116" s="74" t="s">
        <v>65</v>
      </c>
      <c r="AD116" s="75" t="str">
        <f>"disk-"&amp;VmSpecs[[#This Row],[VM Name]]&amp;"-001"</f>
        <v>disk-vmpfbpf2oes15-001</v>
      </c>
      <c r="AE116" s="73">
        <v>32</v>
      </c>
      <c r="AF116" s="74" t="s">
        <v>65</v>
      </c>
      <c r="AG116" s="43" t="str">
        <f>"disk-"&amp;VmSpecs[[#This Row],[VM Name]]&amp;"-002"</f>
        <v>disk-vmpfbpf2oes15-002</v>
      </c>
      <c r="AH116" s="59"/>
      <c r="AI116" s="42"/>
      <c r="AJ116" s="42"/>
      <c r="AK116" s="42"/>
      <c r="AL116" s="42" t="str">
        <f>MID(VmSpecs[[#This Row],[VM Name]],3,9)</f>
        <v>pfbpf2oes</v>
      </c>
      <c r="AM116" s="42" t="str" cm="1">
        <f t="array" ref="AM116">_xlfn.TEXTJOIN(CHAR(10), TRUE, IF(NfsExports[FMO Single VM IP]=VmSpecs[[#This Row],[IP]],NfsExports[FMO Export Summary],""))</f>
        <v>/apps/pcehr 30GB</v>
      </c>
      <c r="AN116" s="43" t="str" cm="1">
        <f t="array" ref="AN11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16" s="42"/>
      <c r="AP116" s="42" t="str">
        <f>VmSpecs[[#This Row],[Description]]</f>
        <v>OES N15</v>
      </c>
      <c r="AQ116" s="43"/>
      <c r="AR116" s="43"/>
      <c r="AS116" s="43"/>
      <c r="AT116" s="43"/>
      <c r="AU116" s="43"/>
      <c r="AV116" s="42"/>
      <c r="AW116" s="42"/>
      <c r="AX116" s="42"/>
      <c r="AY116" s="42"/>
      <c r="AZ116" s="42"/>
      <c r="BA116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N15"
Application Service: "OES"
Lifecycle: "PFB"</v>
      </c>
      <c r="BB116" s="78" t="s">
        <v>333</v>
      </c>
      <c r="BC116" s="42" t="str">
        <f>VLOOKUP(VmSpecs[[#This Row],[Original Hostname (CMO)]],'SSOT Data'!A:AJ,36,FALSE)</f>
        <v>OES N15</v>
      </c>
      <c r="BD116" s="126">
        <f>VLOOKUP(VmSpecs[[#This Row],[Original Hostname (CMO)]],'SSOT Data'!A:AQ,43,FALSE)</f>
        <v>2</v>
      </c>
    </row>
    <row r="117" spans="1:56" ht="29" x14ac:dyDescent="0.35">
      <c r="A117" s="42"/>
      <c r="B117" s="42" t="str">
        <f>_xlfn.XLOOKUP(VmSpecs[[#This Row],[Subnet]],NetworkReference[Subnet],NetworkReference[Subscription])</f>
        <v>NINP-PERF2</v>
      </c>
      <c r="C117" s="43" t="str">
        <f>_xlfn.XLOOKUP(VmSpecs[[#This Row],[Subnet]],NetworkReference[Subnet],NetworkReference[Virtual Network Resource Group])</f>
        <v>rg-pf2-network-aue-001</v>
      </c>
      <c r="D117" s="43" t="str">
        <f>_xlfn.XLOOKUP(VmSpecs[[#This Row],[Subnet]],NetworkReference[Subnet],NetworkReference[Virtual Network])</f>
        <v>vnet-pf2-workload-aue-001</v>
      </c>
      <c r="E117" s="132" t="s">
        <v>59</v>
      </c>
      <c r="F117" s="43" t="str">
        <f>_xlfn.XLOOKUP(VmSpecs[[#This Row],[Subnet]],NetworkReference[Subnet],NetworkReference[Virtual Network Peering])</f>
        <v>vnet-ninp-conn-pnp-hub-aue</v>
      </c>
      <c r="G117" s="43" t="str">
        <f>_xlfn.XLOOKUP(VmSpecs[[#This Row],[Subnet]],NetworkReference[Subnet],NetworkReference[Route Table])</f>
        <v>rt-sn-pfb-aue-pf2-app</v>
      </c>
      <c r="H117" s="43" t="str">
        <f>LOWER(VLOOKUP(VmSpecs[[#This Row],[Original Hostname (CMO)]],'SSOT Data'!A:K,10,FALSE))</f>
        <v>oes</v>
      </c>
      <c r="I11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17" s="44" t="s">
        <v>150</v>
      </c>
      <c r="K117" s="43" t="str">
        <f>_xlfn.CONCAT("vm",MID(VmSpecs[[#This Row],[Subnet]],4,3),VLOOKUP(VmSpecs[[#This Row],[Subscription]],NetworkReference[#All],2,FALSE),VmSpecs[[#This Row],[Service]],VmSpecs[[#This Row],[VM iteration (nn)]])</f>
        <v>vmpfbpf2oes16</v>
      </c>
      <c r="L117" s="45" t="s">
        <v>61</v>
      </c>
      <c r="M117" s="43" t="str">
        <f>VmSpecs[[#This Row],[VM Name]]&amp;".ninp.myhealthrecord.gov.au"</f>
        <v>vmpfbpf2oes16.ninp.myhealthrecord.gov.au</v>
      </c>
      <c r="N117" s="42" t="str">
        <f t="shared" si="1"/>
        <v>nic-001-vmpfbpf2oes16</v>
      </c>
      <c r="O117" s="94" t="s">
        <v>334</v>
      </c>
      <c r="P117" s="93" t="s">
        <v>63</v>
      </c>
      <c r="Q117" s="42" t="str">
        <f>VLOOKUP(VmSpecs[[#This Row],[Original Hostname (CMO)]],'SSOT Data'!A:E,5,FALSE)</f>
        <v>OEL7.9</v>
      </c>
      <c r="R117" s="83"/>
      <c r="S117" s="42" t="str">
        <f>_xlfn.CONCAT("avail-",LEFT(VmSpecs[[#This Row],[VM Name]],LEN(VmSpecs[[#This Row],[VM Name]])-2))</f>
        <v>avail-vmpfbpf2oes</v>
      </c>
      <c r="T117" s="42" t="str">
        <f>_xlfn.CONCAT("asg-",LEFT(VmSpecs[[#This Row],[VM Name]],LEN(VmSpecs[[#This Row],[VM Name]])-2))</f>
        <v>asg-vmpfbpf2oes</v>
      </c>
      <c r="U117" s="42" t="str">
        <f>_xlfn.CONCAT("nsg-",VmSpecs[[#This Row],[Subnet]])</f>
        <v>nsg-sn-pfb-aue-pf2-app</v>
      </c>
      <c r="V117" s="42"/>
      <c r="W117" s="43" t="str">
        <f>VLOOKUP(VmSpecs[[#This Row],[Original Hostname (CMO)]],'SSOT Data'!A:AX,50,FALSE)</f>
        <v>Standard_D4s_v4</v>
      </c>
      <c r="X117" s="43">
        <v>64</v>
      </c>
      <c r="Y117" s="43" t="s">
        <v>65</v>
      </c>
      <c r="Z117" s="43" t="str">
        <f>"osdisk-"&amp;VmSpecs[[#This Row],[VM Name]]</f>
        <v>osdisk-vmpfbpf2oes16</v>
      </c>
      <c r="AA117" s="47" t="s">
        <v>66</v>
      </c>
      <c r="AB117" s="73">
        <v>8</v>
      </c>
      <c r="AC117" s="74" t="s">
        <v>65</v>
      </c>
      <c r="AD117" s="75" t="str">
        <f>"disk-"&amp;VmSpecs[[#This Row],[VM Name]]&amp;"-001"</f>
        <v>disk-vmpfbpf2oes16-001</v>
      </c>
      <c r="AE117" s="73">
        <v>32</v>
      </c>
      <c r="AF117" s="74" t="s">
        <v>65</v>
      </c>
      <c r="AG117" s="43" t="str">
        <f>"disk-"&amp;VmSpecs[[#This Row],[VM Name]]&amp;"-002"</f>
        <v>disk-vmpfbpf2oes16-002</v>
      </c>
      <c r="AH117" s="59"/>
      <c r="AI117" s="42"/>
      <c r="AJ117" s="42"/>
      <c r="AK117" s="42"/>
      <c r="AL117" s="42" t="str">
        <f>MID(VmSpecs[[#This Row],[VM Name]],3,9)</f>
        <v>pfbpf2oes</v>
      </c>
      <c r="AM117" s="42" t="str" cm="1">
        <f t="array" ref="AM117">_xlfn.TEXTJOIN(CHAR(10), TRUE, IF(NfsExports[FMO Single VM IP]=VmSpecs[[#This Row],[IP]],NfsExports[FMO Export Summary],""))</f>
        <v>/apps/pcehr 30GB</v>
      </c>
      <c r="AN117" s="43" t="str" cm="1">
        <f t="array" ref="AN11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17" s="42"/>
      <c r="AP117" s="42" t="str">
        <f>VmSpecs[[#This Row],[Description]]</f>
        <v>OES N16</v>
      </c>
      <c r="AQ117" s="43"/>
      <c r="AR117" s="43"/>
      <c r="AS117" s="43"/>
      <c r="AT117" s="43"/>
      <c r="AU117" s="43"/>
      <c r="AV117" s="42"/>
      <c r="AW117" s="42"/>
      <c r="AX117" s="42"/>
      <c r="AY117" s="42"/>
      <c r="AZ117" s="42"/>
      <c r="BA117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N16"
Application Service: "OES"
Lifecycle: "PFB"</v>
      </c>
      <c r="BB117" s="78" t="s">
        <v>335</v>
      </c>
      <c r="BC117" s="42" t="str">
        <f>VLOOKUP(VmSpecs[[#This Row],[Original Hostname (CMO)]],'SSOT Data'!A:AJ,36,FALSE)</f>
        <v>OES N16</v>
      </c>
      <c r="BD117" s="126">
        <f>VLOOKUP(VmSpecs[[#This Row],[Original Hostname (CMO)]],'SSOT Data'!A:AQ,43,FALSE)</f>
        <v>2</v>
      </c>
    </row>
    <row r="118" spans="1:56" ht="29" x14ac:dyDescent="0.35">
      <c r="A118" s="42"/>
      <c r="B118" s="42" t="str">
        <f>_xlfn.XLOOKUP(VmSpecs[[#This Row],[Subnet]],NetworkReference[Subnet],NetworkReference[Subscription])</f>
        <v>NINP-PERF2</v>
      </c>
      <c r="C118" s="43" t="str">
        <f>_xlfn.XLOOKUP(VmSpecs[[#This Row],[Subnet]],NetworkReference[Subnet],NetworkReference[Virtual Network Resource Group])</f>
        <v>rg-pf2-network-aue-001</v>
      </c>
      <c r="D118" s="43" t="str">
        <f>_xlfn.XLOOKUP(VmSpecs[[#This Row],[Subnet]],NetworkReference[Subnet],NetworkReference[Virtual Network])</f>
        <v>vnet-pf2-workload-aue-001</v>
      </c>
      <c r="E118" s="132" t="s">
        <v>59</v>
      </c>
      <c r="F118" s="43" t="str">
        <f>_xlfn.XLOOKUP(VmSpecs[[#This Row],[Subnet]],NetworkReference[Subnet],NetworkReference[Virtual Network Peering])</f>
        <v>vnet-ninp-conn-pnp-hub-aue</v>
      </c>
      <c r="G118" s="43" t="str">
        <f>_xlfn.XLOOKUP(VmSpecs[[#This Row],[Subnet]],NetworkReference[Subnet],NetworkReference[Route Table])</f>
        <v>rt-sn-pfb-aue-pf2-app</v>
      </c>
      <c r="H118" s="43" t="str">
        <f>LOWER(VLOOKUP(VmSpecs[[#This Row],[Original Hostname (CMO)]],'SSOT Data'!A:K,10,FALSE))</f>
        <v>oes</v>
      </c>
      <c r="I11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18" s="44" t="s">
        <v>153</v>
      </c>
      <c r="K118" s="43" t="str">
        <f>_xlfn.CONCAT("vm",MID(VmSpecs[[#This Row],[Subnet]],4,3),VLOOKUP(VmSpecs[[#This Row],[Subscription]],NetworkReference[#All],2,FALSE),VmSpecs[[#This Row],[Service]],VmSpecs[[#This Row],[VM iteration (nn)]])</f>
        <v>vmpfbpf2oes17</v>
      </c>
      <c r="L118" s="45" t="s">
        <v>61</v>
      </c>
      <c r="M118" s="43" t="str">
        <f>VmSpecs[[#This Row],[VM Name]]&amp;".ninp.myhealthrecord.gov.au"</f>
        <v>vmpfbpf2oes17.ninp.myhealthrecord.gov.au</v>
      </c>
      <c r="N118" s="42" t="str">
        <f t="shared" si="1"/>
        <v>nic-001-vmpfbpf2oes17</v>
      </c>
      <c r="O118" s="94" t="s">
        <v>336</v>
      </c>
      <c r="P118" s="93" t="s">
        <v>63</v>
      </c>
      <c r="Q118" s="42" t="str">
        <f>VLOOKUP(VmSpecs[[#This Row],[Original Hostname (CMO)]],'SSOT Data'!A:E,5,FALSE)</f>
        <v>OEL7.9</v>
      </c>
      <c r="R118" s="83"/>
      <c r="S118" s="42" t="str">
        <f>_xlfn.CONCAT("avail-",LEFT(VmSpecs[[#This Row],[VM Name]],LEN(VmSpecs[[#This Row],[VM Name]])-2))</f>
        <v>avail-vmpfbpf2oes</v>
      </c>
      <c r="T118" s="42" t="str">
        <f>_xlfn.CONCAT("asg-",LEFT(VmSpecs[[#This Row],[VM Name]],LEN(VmSpecs[[#This Row],[VM Name]])-2))</f>
        <v>asg-vmpfbpf2oes</v>
      </c>
      <c r="U118" s="42" t="str">
        <f>_xlfn.CONCAT("nsg-",VmSpecs[[#This Row],[Subnet]])</f>
        <v>nsg-sn-pfb-aue-pf2-app</v>
      </c>
      <c r="V118" s="42"/>
      <c r="W118" s="43" t="str">
        <f>VLOOKUP(VmSpecs[[#This Row],[Original Hostname (CMO)]],'SSOT Data'!A:AX,50,FALSE)</f>
        <v>Standard_D4s_v4</v>
      </c>
      <c r="X118" s="43">
        <v>64</v>
      </c>
      <c r="Y118" s="43" t="s">
        <v>65</v>
      </c>
      <c r="Z118" s="43" t="str">
        <f>"osdisk-"&amp;VmSpecs[[#This Row],[VM Name]]</f>
        <v>osdisk-vmpfbpf2oes17</v>
      </c>
      <c r="AA118" s="47" t="s">
        <v>66</v>
      </c>
      <c r="AB118" s="73">
        <v>8</v>
      </c>
      <c r="AC118" s="74" t="s">
        <v>65</v>
      </c>
      <c r="AD118" s="75" t="str">
        <f>"disk-"&amp;VmSpecs[[#This Row],[VM Name]]&amp;"-001"</f>
        <v>disk-vmpfbpf2oes17-001</v>
      </c>
      <c r="AE118" s="73">
        <v>32</v>
      </c>
      <c r="AF118" s="74" t="s">
        <v>65</v>
      </c>
      <c r="AG118" s="43" t="str">
        <f>"disk-"&amp;VmSpecs[[#This Row],[VM Name]]&amp;"-002"</f>
        <v>disk-vmpfbpf2oes17-002</v>
      </c>
      <c r="AH118" s="59"/>
      <c r="AI118" s="42"/>
      <c r="AJ118" s="42"/>
      <c r="AK118" s="42"/>
      <c r="AL118" s="42" t="str">
        <f>MID(VmSpecs[[#This Row],[VM Name]],3,9)</f>
        <v>pfbpf2oes</v>
      </c>
      <c r="AM118" s="42" t="str" cm="1">
        <f t="array" ref="AM118">_xlfn.TEXTJOIN(CHAR(10), TRUE, IF(NfsExports[FMO Single VM IP]=VmSpecs[[#This Row],[IP]],NfsExports[FMO Export Summary],""))</f>
        <v>/apps/pcehr 30GB</v>
      </c>
      <c r="AN118" s="43" t="str" cm="1">
        <f t="array" ref="AN11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18" s="42"/>
      <c r="AP118" s="42" t="str">
        <f>VmSpecs[[#This Row],[Description]]</f>
        <v>OES N17</v>
      </c>
      <c r="AQ118" s="43"/>
      <c r="AR118" s="43"/>
      <c r="AS118" s="43"/>
      <c r="AT118" s="43"/>
      <c r="AU118" s="43"/>
      <c r="AV118" s="42"/>
      <c r="AW118" s="42"/>
      <c r="AX118" s="42"/>
      <c r="AY118" s="42"/>
      <c r="AZ118" s="42"/>
      <c r="BA118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N17"
Application Service: "OES"
Lifecycle: "PFB"</v>
      </c>
      <c r="BB118" s="78" t="s">
        <v>337</v>
      </c>
      <c r="BC118" s="42" t="str">
        <f>VLOOKUP(VmSpecs[[#This Row],[Original Hostname (CMO)]],'SSOT Data'!A:AJ,36,FALSE)</f>
        <v>OES N17</v>
      </c>
      <c r="BD118" s="126">
        <f>VLOOKUP(VmSpecs[[#This Row],[Original Hostname (CMO)]],'SSOT Data'!A:AQ,43,FALSE)</f>
        <v>2</v>
      </c>
    </row>
    <row r="119" spans="1:56" ht="29" x14ac:dyDescent="0.35">
      <c r="A119" s="42"/>
      <c r="B119" s="42" t="str">
        <f>_xlfn.XLOOKUP(VmSpecs[[#This Row],[Subnet]],NetworkReference[Subnet],NetworkReference[Subscription])</f>
        <v>NINP-PERF2</v>
      </c>
      <c r="C119" s="43" t="str">
        <f>_xlfn.XLOOKUP(VmSpecs[[#This Row],[Subnet]],NetworkReference[Subnet],NetworkReference[Virtual Network Resource Group])</f>
        <v>rg-pf2-network-aue-001</v>
      </c>
      <c r="D119" s="43" t="str">
        <f>_xlfn.XLOOKUP(VmSpecs[[#This Row],[Subnet]],NetworkReference[Subnet],NetworkReference[Virtual Network])</f>
        <v>vnet-pf2-workload-aue-001</v>
      </c>
      <c r="E119" s="132" t="s">
        <v>59</v>
      </c>
      <c r="F119" s="43" t="str">
        <f>_xlfn.XLOOKUP(VmSpecs[[#This Row],[Subnet]],NetworkReference[Subnet],NetworkReference[Virtual Network Peering])</f>
        <v>vnet-ninp-conn-pnp-hub-aue</v>
      </c>
      <c r="G119" s="43" t="str">
        <f>_xlfn.XLOOKUP(VmSpecs[[#This Row],[Subnet]],NetworkReference[Subnet],NetworkReference[Route Table])</f>
        <v>rt-sn-pfb-aue-pf2-app</v>
      </c>
      <c r="H119" s="43" t="str">
        <f>LOWER(VLOOKUP(VmSpecs[[#This Row],[Original Hostname (CMO)]],'SSOT Data'!A:K,10,FALSE))</f>
        <v>oes</v>
      </c>
      <c r="I11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19" s="44" t="s">
        <v>156</v>
      </c>
      <c r="K119" s="43" t="str">
        <f>_xlfn.CONCAT("vm",MID(VmSpecs[[#This Row],[Subnet]],4,3),VLOOKUP(VmSpecs[[#This Row],[Subscription]],NetworkReference[#All],2,FALSE),VmSpecs[[#This Row],[Service]],VmSpecs[[#This Row],[VM iteration (nn)]])</f>
        <v>vmpfbpf2oes18</v>
      </c>
      <c r="L119" s="45" t="s">
        <v>61</v>
      </c>
      <c r="M119" s="43" t="str">
        <f>VmSpecs[[#This Row],[VM Name]]&amp;".ninp.myhealthrecord.gov.au"</f>
        <v>vmpfbpf2oes18.ninp.myhealthrecord.gov.au</v>
      </c>
      <c r="N119" s="42" t="str">
        <f t="shared" si="1"/>
        <v>nic-001-vmpfbpf2oes18</v>
      </c>
      <c r="O119" s="94" t="s">
        <v>338</v>
      </c>
      <c r="P119" s="93" t="s">
        <v>63</v>
      </c>
      <c r="Q119" s="42" t="str">
        <f>VLOOKUP(VmSpecs[[#This Row],[Original Hostname (CMO)]],'SSOT Data'!A:E,5,FALSE)</f>
        <v>OEL7.9</v>
      </c>
      <c r="R119" s="83"/>
      <c r="S119" s="42" t="str">
        <f>_xlfn.CONCAT("avail-",LEFT(VmSpecs[[#This Row],[VM Name]],LEN(VmSpecs[[#This Row],[VM Name]])-2))</f>
        <v>avail-vmpfbpf2oes</v>
      </c>
      <c r="T119" s="42" t="str">
        <f>_xlfn.CONCAT("asg-",LEFT(VmSpecs[[#This Row],[VM Name]],LEN(VmSpecs[[#This Row],[VM Name]])-2))</f>
        <v>asg-vmpfbpf2oes</v>
      </c>
      <c r="U119" s="42" t="str">
        <f>_xlfn.CONCAT("nsg-",VmSpecs[[#This Row],[Subnet]])</f>
        <v>nsg-sn-pfb-aue-pf2-app</v>
      </c>
      <c r="V119" s="42"/>
      <c r="W119" s="43" t="str">
        <f>VLOOKUP(VmSpecs[[#This Row],[Original Hostname (CMO)]],'SSOT Data'!A:AX,50,FALSE)</f>
        <v>Standard_D4s_v4</v>
      </c>
      <c r="X119" s="43">
        <v>64</v>
      </c>
      <c r="Y119" s="43" t="s">
        <v>65</v>
      </c>
      <c r="Z119" s="43" t="str">
        <f>"osdisk-"&amp;VmSpecs[[#This Row],[VM Name]]</f>
        <v>osdisk-vmpfbpf2oes18</v>
      </c>
      <c r="AA119" s="47" t="s">
        <v>66</v>
      </c>
      <c r="AB119" s="73">
        <v>8</v>
      </c>
      <c r="AC119" s="74" t="s">
        <v>65</v>
      </c>
      <c r="AD119" s="75" t="str">
        <f>"disk-"&amp;VmSpecs[[#This Row],[VM Name]]&amp;"-001"</f>
        <v>disk-vmpfbpf2oes18-001</v>
      </c>
      <c r="AE119" s="73">
        <v>32</v>
      </c>
      <c r="AF119" s="74" t="s">
        <v>65</v>
      </c>
      <c r="AG119" s="43" t="str">
        <f>"disk-"&amp;VmSpecs[[#This Row],[VM Name]]&amp;"-002"</f>
        <v>disk-vmpfbpf2oes18-002</v>
      </c>
      <c r="AH119" s="59"/>
      <c r="AI119" s="42"/>
      <c r="AJ119" s="42"/>
      <c r="AK119" s="42"/>
      <c r="AL119" s="42" t="str">
        <f>MID(VmSpecs[[#This Row],[VM Name]],3,9)</f>
        <v>pfbpf2oes</v>
      </c>
      <c r="AM119" s="42" t="str" cm="1">
        <f t="array" ref="AM119">_xlfn.TEXTJOIN(CHAR(10), TRUE, IF(NfsExports[FMO Single VM IP]=VmSpecs[[#This Row],[IP]],NfsExports[FMO Export Summary],""))</f>
        <v>/apps/pcehr 30GB</v>
      </c>
      <c r="AN119" s="43" t="str" cm="1">
        <f t="array" ref="AN11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19" s="42"/>
      <c r="AP119" s="42" t="str">
        <f>VmSpecs[[#This Row],[Description]]</f>
        <v>OES N18</v>
      </c>
      <c r="AQ119" s="43"/>
      <c r="AR119" s="43"/>
      <c r="AS119" s="43"/>
      <c r="AT119" s="43"/>
      <c r="AU119" s="43"/>
      <c r="AV119" s="42"/>
      <c r="AW119" s="42"/>
      <c r="AX119" s="42"/>
      <c r="AY119" s="42"/>
      <c r="AZ119" s="42"/>
      <c r="BA119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N18"
Application Service: "OES"
Lifecycle: "PFB"</v>
      </c>
      <c r="BB119" s="78" t="s">
        <v>339</v>
      </c>
      <c r="BC119" s="42" t="str">
        <f>VLOOKUP(VmSpecs[[#This Row],[Original Hostname (CMO)]],'SSOT Data'!A:AJ,36,FALSE)</f>
        <v>OES N18</v>
      </c>
      <c r="BD119" s="126">
        <f>VLOOKUP(VmSpecs[[#This Row],[Original Hostname (CMO)]],'SSOT Data'!A:AQ,43,FALSE)</f>
        <v>2</v>
      </c>
    </row>
    <row r="120" spans="1:56" ht="29" x14ac:dyDescent="0.35">
      <c r="A120" s="42"/>
      <c r="B120" s="42" t="str">
        <f>_xlfn.XLOOKUP(VmSpecs[[#This Row],[Subnet]],NetworkReference[Subnet],NetworkReference[Subscription])</f>
        <v>NINP-PERF2</v>
      </c>
      <c r="C120" s="43" t="str">
        <f>_xlfn.XLOOKUP(VmSpecs[[#This Row],[Subnet]],NetworkReference[Subnet],NetworkReference[Virtual Network Resource Group])</f>
        <v>rg-pf2-network-aue-001</v>
      </c>
      <c r="D120" s="43" t="str">
        <f>_xlfn.XLOOKUP(VmSpecs[[#This Row],[Subnet]],NetworkReference[Subnet],NetworkReference[Virtual Network])</f>
        <v>vnet-pf2-workload-aue-001</v>
      </c>
      <c r="E120" s="132" t="s">
        <v>59</v>
      </c>
      <c r="F120" s="43" t="str">
        <f>_xlfn.XLOOKUP(VmSpecs[[#This Row],[Subnet]],NetworkReference[Subnet],NetworkReference[Virtual Network Peering])</f>
        <v>vnet-ninp-conn-pnp-hub-aue</v>
      </c>
      <c r="G120" s="43" t="str">
        <f>_xlfn.XLOOKUP(VmSpecs[[#This Row],[Subnet]],NetworkReference[Subnet],NetworkReference[Route Table])</f>
        <v>rt-sn-pfb-aue-pf2-app</v>
      </c>
      <c r="H120" s="43" t="str">
        <f>LOWER(VLOOKUP(VmSpecs[[#This Row],[Original Hostname (CMO)]],'SSOT Data'!A:K,10,FALSE))</f>
        <v>oes</v>
      </c>
      <c r="I12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20" s="44" t="s">
        <v>159</v>
      </c>
      <c r="K120" s="43" t="str">
        <f>_xlfn.CONCAT("vm",MID(VmSpecs[[#This Row],[Subnet]],4,3),VLOOKUP(VmSpecs[[#This Row],[Subscription]],NetworkReference[#All],2,FALSE),VmSpecs[[#This Row],[Service]],VmSpecs[[#This Row],[VM iteration (nn)]])</f>
        <v>vmpfbpf2oes19</v>
      </c>
      <c r="L120" s="45" t="s">
        <v>61</v>
      </c>
      <c r="M120" s="43" t="str">
        <f>VmSpecs[[#This Row],[VM Name]]&amp;".ninp.myhealthrecord.gov.au"</f>
        <v>vmpfbpf2oes19.ninp.myhealthrecord.gov.au</v>
      </c>
      <c r="N120" s="42" t="str">
        <f t="shared" si="1"/>
        <v>nic-001-vmpfbpf2oes19</v>
      </c>
      <c r="O120" s="94" t="s">
        <v>340</v>
      </c>
      <c r="P120" s="93" t="s">
        <v>63</v>
      </c>
      <c r="Q120" s="42" t="str">
        <f>VLOOKUP(VmSpecs[[#This Row],[Original Hostname (CMO)]],'SSOT Data'!A:E,5,FALSE)</f>
        <v>OEL7.9</v>
      </c>
      <c r="R120" s="83"/>
      <c r="S120" s="42" t="str">
        <f>_xlfn.CONCAT("avail-",LEFT(VmSpecs[[#This Row],[VM Name]],LEN(VmSpecs[[#This Row],[VM Name]])-2))</f>
        <v>avail-vmpfbpf2oes</v>
      </c>
      <c r="T120" s="42" t="str">
        <f>_xlfn.CONCAT("asg-",LEFT(VmSpecs[[#This Row],[VM Name]],LEN(VmSpecs[[#This Row],[VM Name]])-2))</f>
        <v>asg-vmpfbpf2oes</v>
      </c>
      <c r="U120" s="42" t="str">
        <f>_xlfn.CONCAT("nsg-",VmSpecs[[#This Row],[Subnet]])</f>
        <v>nsg-sn-pfb-aue-pf2-app</v>
      </c>
      <c r="V120" s="42"/>
      <c r="W120" s="43" t="str">
        <f>VLOOKUP(VmSpecs[[#This Row],[Original Hostname (CMO)]],'SSOT Data'!A:AX,50,FALSE)</f>
        <v>Standard_D4s_v4</v>
      </c>
      <c r="X120" s="43">
        <v>64</v>
      </c>
      <c r="Y120" s="43" t="s">
        <v>65</v>
      </c>
      <c r="Z120" s="43" t="str">
        <f>"osdisk-"&amp;VmSpecs[[#This Row],[VM Name]]</f>
        <v>osdisk-vmpfbpf2oes19</v>
      </c>
      <c r="AA120" s="47" t="s">
        <v>66</v>
      </c>
      <c r="AB120" s="73">
        <v>8</v>
      </c>
      <c r="AC120" s="74" t="s">
        <v>65</v>
      </c>
      <c r="AD120" s="75" t="str">
        <f>"disk-"&amp;VmSpecs[[#This Row],[VM Name]]&amp;"-001"</f>
        <v>disk-vmpfbpf2oes19-001</v>
      </c>
      <c r="AE120" s="73">
        <v>32</v>
      </c>
      <c r="AF120" s="74" t="s">
        <v>65</v>
      </c>
      <c r="AG120" s="43" t="str">
        <f>"disk-"&amp;VmSpecs[[#This Row],[VM Name]]&amp;"-002"</f>
        <v>disk-vmpfbpf2oes19-002</v>
      </c>
      <c r="AH120" s="59"/>
      <c r="AI120" s="42"/>
      <c r="AJ120" s="42"/>
      <c r="AK120" s="42"/>
      <c r="AL120" s="42" t="str">
        <f>MID(VmSpecs[[#This Row],[VM Name]],3,9)</f>
        <v>pfbpf2oes</v>
      </c>
      <c r="AM120" s="42" t="str" cm="1">
        <f t="array" ref="AM120">_xlfn.TEXTJOIN(CHAR(10), TRUE, IF(NfsExports[FMO Single VM IP]=VmSpecs[[#This Row],[IP]],NfsExports[FMO Export Summary],""))</f>
        <v>/apps/pcehr 30GB</v>
      </c>
      <c r="AN120" s="43" t="str" cm="1">
        <f t="array" ref="AN12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20" s="42"/>
      <c r="AP120" s="42" t="str">
        <f>VmSpecs[[#This Row],[Description]]</f>
        <v>OES N19</v>
      </c>
      <c r="AQ120" s="43"/>
      <c r="AR120" s="43"/>
      <c r="AS120" s="43"/>
      <c r="AT120" s="43"/>
      <c r="AU120" s="43"/>
      <c r="AV120" s="42"/>
      <c r="AW120" s="42"/>
      <c r="AX120" s="42"/>
      <c r="AY120" s="42"/>
      <c r="AZ120" s="42"/>
      <c r="BA120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N19"
Application Service: "OES"
Lifecycle: "PFB"</v>
      </c>
      <c r="BB120" s="78" t="s">
        <v>341</v>
      </c>
      <c r="BC120" s="42" t="str">
        <f>VLOOKUP(VmSpecs[[#This Row],[Original Hostname (CMO)]],'SSOT Data'!A:AJ,36,FALSE)</f>
        <v>OES N19</v>
      </c>
      <c r="BD120" s="126">
        <f>VLOOKUP(VmSpecs[[#This Row],[Original Hostname (CMO)]],'SSOT Data'!A:AQ,43,FALSE)</f>
        <v>2</v>
      </c>
    </row>
    <row r="121" spans="1:56" ht="29" x14ac:dyDescent="0.35">
      <c r="A121" s="42" t="s">
        <v>58</v>
      </c>
      <c r="B121" s="42" t="str">
        <f>_xlfn.XLOOKUP(VmSpecs[[#This Row],[Subnet]],NetworkReference[Subnet],NetworkReference[Subscription])</f>
        <v>NINP-PERF2</v>
      </c>
      <c r="C121" s="43" t="str">
        <f>_xlfn.XLOOKUP(VmSpecs[[#This Row],[Subnet]],NetworkReference[Subnet],NetworkReference[Virtual Network Resource Group])</f>
        <v>rg-pf2-network-aue-001</v>
      </c>
      <c r="D121" s="43" t="str">
        <f>_xlfn.XLOOKUP(VmSpecs[[#This Row],[Subnet]],NetworkReference[Subnet],NetworkReference[Virtual Network])</f>
        <v>vnet-pf2-workload-aue-001</v>
      </c>
      <c r="E121" s="132" t="s">
        <v>59</v>
      </c>
      <c r="F121" s="43" t="str">
        <f>_xlfn.XLOOKUP(VmSpecs[[#This Row],[Subnet]],NetworkReference[Subnet],NetworkReference[Virtual Network Peering])</f>
        <v>vnet-ninp-conn-pnp-hub-aue</v>
      </c>
      <c r="G121" s="43" t="str">
        <f>_xlfn.XLOOKUP(VmSpecs[[#This Row],[Subnet]],NetworkReference[Subnet],NetworkReference[Route Table])</f>
        <v>rt-sn-pfb-aue-pf2-app</v>
      </c>
      <c r="H121" s="43" t="str">
        <f>LOWER(VLOOKUP(VmSpecs[[#This Row],[Original Hostname (CMO)]],'SSOT Data'!A:K,10,FALSE))</f>
        <v>oid</v>
      </c>
      <c r="I12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21" s="44" t="s">
        <v>60</v>
      </c>
      <c r="K121" s="43" t="str">
        <f>_xlfn.CONCAT("vm",MID(VmSpecs[[#This Row],[Subnet]],4,3),VLOOKUP(VmSpecs[[#This Row],[Subscription]],NetworkReference[#All],2,FALSE),VmSpecs[[#This Row],[Service]],VmSpecs[[#This Row],[VM iteration (nn)]])</f>
        <v>vmpfbpf2oid01</v>
      </c>
      <c r="L121" s="45" t="s">
        <v>61</v>
      </c>
      <c r="M121" s="43" t="str">
        <f>VmSpecs[[#This Row],[VM Name]]&amp;".ninp.myhealthrecord.gov.au"</f>
        <v>vmpfbpf2oid01.ninp.myhealthrecord.gov.au</v>
      </c>
      <c r="N121" s="42" t="str">
        <f t="shared" si="1"/>
        <v>nic-001-vmpfbpf2oid01</v>
      </c>
      <c r="O121" s="94" t="s">
        <v>342</v>
      </c>
      <c r="P121" s="93" t="s">
        <v>63</v>
      </c>
      <c r="Q121" s="42" t="str">
        <f>VLOOKUP(VmSpecs[[#This Row],[Original Hostname (CMO)]],'SSOT Data'!A:E,5,FALSE)</f>
        <v>OEL7.9</v>
      </c>
      <c r="R121" s="83"/>
      <c r="S121" s="42" t="str">
        <f>_xlfn.CONCAT("avail-",LEFT(VmSpecs[[#This Row],[VM Name]],LEN(VmSpecs[[#This Row],[VM Name]])-2))</f>
        <v>avail-vmpfbpf2oid</v>
      </c>
      <c r="T121" s="42" t="str">
        <f>_xlfn.CONCAT("asg-",LEFT(VmSpecs[[#This Row],[VM Name]],LEN(VmSpecs[[#This Row],[VM Name]])-2))</f>
        <v>asg-vmpfbpf2oid</v>
      </c>
      <c r="U121" s="42" t="str">
        <f>_xlfn.CONCAT("nsg-",VmSpecs[[#This Row],[Subnet]])</f>
        <v>nsg-sn-pfb-aue-pf2-app</v>
      </c>
      <c r="V121" s="42" t="s">
        <v>64</v>
      </c>
      <c r="W121" s="43" t="str">
        <f>VLOOKUP(VmSpecs[[#This Row],[Original Hostname (CMO)]],'SSOT Data'!A:AX,50,FALSE)</f>
        <v>Standard_D4s_v4</v>
      </c>
      <c r="X121" s="43">
        <v>64</v>
      </c>
      <c r="Y121" s="43" t="s">
        <v>65</v>
      </c>
      <c r="Z121" s="43" t="str">
        <f>"osdisk-"&amp;VmSpecs[[#This Row],[VM Name]]</f>
        <v>osdisk-vmpfbpf2oid01</v>
      </c>
      <c r="AA121" s="47" t="s">
        <v>66</v>
      </c>
      <c r="AB121" s="73">
        <v>8</v>
      </c>
      <c r="AC121" s="74" t="s">
        <v>65</v>
      </c>
      <c r="AD121" s="75" t="str">
        <f>"disk-"&amp;VmSpecs[[#This Row],[VM Name]]&amp;"-001"</f>
        <v>disk-vmpfbpf2oid01-001</v>
      </c>
      <c r="AE121" s="73">
        <v>32</v>
      </c>
      <c r="AF121" s="74" t="s">
        <v>65</v>
      </c>
      <c r="AG121" s="43" t="str">
        <f>"disk-"&amp;VmSpecs[[#This Row],[VM Name]]&amp;"-002"</f>
        <v>disk-vmpfbpf2oid01-002</v>
      </c>
      <c r="AH121" s="59"/>
      <c r="AI121" s="42"/>
      <c r="AJ121" s="42"/>
      <c r="AK121" s="42"/>
      <c r="AL121" s="42" t="str">
        <f>MID(VmSpecs[[#This Row],[VM Name]],3,9)</f>
        <v>pfbpf2oid</v>
      </c>
      <c r="AM121" s="42" t="str" cm="1">
        <f t="array" ref="AM121">_xlfn.TEXTJOIN(CHAR(10), TRUE, IF(NfsExports[FMO Single VM IP]=VmSpecs[[#This Row],[IP]],NfsExports[FMO Export Summary],""))</f>
        <v>/apps/pcehr 30GB</v>
      </c>
      <c r="AN121" s="43" t="str" cm="1">
        <f t="array" ref="AN12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21" s="42"/>
      <c r="AP121" s="42" t="str">
        <f>VmSpecs[[#This Row],[Description]]</f>
        <v>OID N1</v>
      </c>
      <c r="AQ121" s="43"/>
      <c r="AR121" s="43" t="s">
        <v>64</v>
      </c>
      <c r="AS121" s="43" t="s">
        <v>64</v>
      </c>
      <c r="AT121" s="43" t="s">
        <v>64</v>
      </c>
      <c r="AU121" s="43" t="s">
        <v>64</v>
      </c>
      <c r="AV121" s="42" t="s">
        <v>66</v>
      </c>
      <c r="AW121" s="42" t="s">
        <v>67</v>
      </c>
      <c r="AX121" s="42" t="s">
        <v>68</v>
      </c>
      <c r="AY121" s="42" t="s">
        <v>64</v>
      </c>
      <c r="AZ121" s="42" t="s">
        <v>64</v>
      </c>
      <c r="BA12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N1"
Application Service: "OID"
Lifecycle: "PFB"</v>
      </c>
      <c r="BB121" s="78" t="s">
        <v>343</v>
      </c>
      <c r="BC121" s="42" t="str">
        <f>VLOOKUP(VmSpecs[[#This Row],[Original Hostname (CMO)]],'SSOT Data'!A:AJ,36,FALSE)</f>
        <v>OID N1</v>
      </c>
      <c r="BD121" s="43"/>
    </row>
    <row r="122" spans="1:56" ht="29" x14ac:dyDescent="0.35">
      <c r="A122" s="42" t="s">
        <v>58</v>
      </c>
      <c r="B122" s="42" t="str">
        <f>_xlfn.XLOOKUP(VmSpecs[[#This Row],[Subnet]],NetworkReference[Subnet],NetworkReference[Subscription])</f>
        <v>NINP-PERF2</v>
      </c>
      <c r="C122" s="43" t="str">
        <f>_xlfn.XLOOKUP(VmSpecs[[#This Row],[Subnet]],NetworkReference[Subnet],NetworkReference[Virtual Network Resource Group])</f>
        <v>rg-pf2-network-aue-001</v>
      </c>
      <c r="D122" s="43" t="str">
        <f>_xlfn.XLOOKUP(VmSpecs[[#This Row],[Subnet]],NetworkReference[Subnet],NetworkReference[Virtual Network])</f>
        <v>vnet-pf2-workload-aue-001</v>
      </c>
      <c r="E122" s="132" t="s">
        <v>59</v>
      </c>
      <c r="F122" s="43" t="str">
        <f>_xlfn.XLOOKUP(VmSpecs[[#This Row],[Subnet]],NetworkReference[Subnet],NetworkReference[Virtual Network Peering])</f>
        <v>vnet-ninp-conn-pnp-hub-aue</v>
      </c>
      <c r="G122" s="43" t="str">
        <f>_xlfn.XLOOKUP(VmSpecs[[#This Row],[Subnet]],NetworkReference[Subnet],NetworkReference[Route Table])</f>
        <v>rt-sn-pfb-aue-pf2-app</v>
      </c>
      <c r="H122" s="43" t="str">
        <f>LOWER(VLOOKUP(VmSpecs[[#This Row],[Original Hostname (CMO)]],'SSOT Data'!A:K,10,FALSE))</f>
        <v>oid</v>
      </c>
      <c r="I12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22" s="44" t="s">
        <v>72</v>
      </c>
      <c r="K122" s="43" t="str">
        <f>_xlfn.CONCAT("vm",MID(VmSpecs[[#This Row],[Subnet]],4,3),VLOOKUP(VmSpecs[[#This Row],[Subscription]],NetworkReference[#All],2,FALSE),VmSpecs[[#This Row],[Service]],VmSpecs[[#This Row],[VM iteration (nn)]])</f>
        <v>vmpfbpf2oid02</v>
      </c>
      <c r="L122" s="45" t="s">
        <v>61</v>
      </c>
      <c r="M122" s="43" t="str">
        <f>VmSpecs[[#This Row],[VM Name]]&amp;".ninp.myhealthrecord.gov.au"</f>
        <v>vmpfbpf2oid02.ninp.myhealthrecord.gov.au</v>
      </c>
      <c r="N122" s="42" t="str">
        <f t="shared" si="1"/>
        <v>nic-001-vmpfbpf2oid02</v>
      </c>
      <c r="O122" s="94" t="s">
        <v>344</v>
      </c>
      <c r="P122" s="93" t="s">
        <v>63</v>
      </c>
      <c r="Q122" s="42" t="str">
        <f>VLOOKUP(VmSpecs[[#This Row],[Original Hostname (CMO)]],'SSOT Data'!A:E,5,FALSE)</f>
        <v>OEL7.9</v>
      </c>
      <c r="R122" s="83"/>
      <c r="S122" s="42" t="str">
        <f>_xlfn.CONCAT("avail-",LEFT(VmSpecs[[#This Row],[VM Name]],LEN(VmSpecs[[#This Row],[VM Name]])-2))</f>
        <v>avail-vmpfbpf2oid</v>
      </c>
      <c r="T122" s="42" t="str">
        <f>_xlfn.CONCAT("asg-",LEFT(VmSpecs[[#This Row],[VM Name]],LEN(VmSpecs[[#This Row],[VM Name]])-2))</f>
        <v>asg-vmpfbpf2oid</v>
      </c>
      <c r="U122" s="42" t="str">
        <f>_xlfn.CONCAT("nsg-",VmSpecs[[#This Row],[Subnet]])</f>
        <v>nsg-sn-pfb-aue-pf2-app</v>
      </c>
      <c r="V122" s="42" t="s">
        <v>64</v>
      </c>
      <c r="W122" s="43" t="str">
        <f>VLOOKUP(VmSpecs[[#This Row],[Original Hostname (CMO)]],'SSOT Data'!A:AX,50,FALSE)</f>
        <v>Standard_D4s_v4</v>
      </c>
      <c r="X122" s="43">
        <v>64</v>
      </c>
      <c r="Y122" s="43" t="s">
        <v>65</v>
      </c>
      <c r="Z122" s="43" t="str">
        <f>"osdisk-"&amp;VmSpecs[[#This Row],[VM Name]]</f>
        <v>osdisk-vmpfbpf2oid02</v>
      </c>
      <c r="AA122" s="47" t="s">
        <v>66</v>
      </c>
      <c r="AB122" s="73">
        <v>8</v>
      </c>
      <c r="AC122" s="74" t="s">
        <v>65</v>
      </c>
      <c r="AD122" s="75" t="str">
        <f>"disk-"&amp;VmSpecs[[#This Row],[VM Name]]&amp;"-001"</f>
        <v>disk-vmpfbpf2oid02-001</v>
      </c>
      <c r="AE122" s="73">
        <v>32</v>
      </c>
      <c r="AF122" s="74" t="s">
        <v>65</v>
      </c>
      <c r="AG122" s="43" t="str">
        <f>"disk-"&amp;VmSpecs[[#This Row],[VM Name]]&amp;"-002"</f>
        <v>disk-vmpfbpf2oid02-002</v>
      </c>
      <c r="AH122" s="59"/>
      <c r="AI122" s="42"/>
      <c r="AJ122" s="42"/>
      <c r="AK122" s="42"/>
      <c r="AL122" s="42" t="str">
        <f>MID(VmSpecs[[#This Row],[VM Name]],3,9)</f>
        <v>pfbpf2oid</v>
      </c>
      <c r="AM122" s="42" t="str" cm="1">
        <f t="array" ref="AM122">_xlfn.TEXTJOIN(CHAR(10), TRUE, IF(NfsExports[FMO Single VM IP]=VmSpecs[[#This Row],[IP]],NfsExports[FMO Export Summary],""))</f>
        <v>/apps/pcehr 30GB</v>
      </c>
      <c r="AN122" s="43" t="str" cm="1">
        <f t="array" ref="AN12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22" s="42"/>
      <c r="AP122" s="42" t="str">
        <f>VmSpecs[[#This Row],[Description]]</f>
        <v>OID N2</v>
      </c>
      <c r="AQ122" s="43"/>
      <c r="AR122" s="43" t="s">
        <v>64</v>
      </c>
      <c r="AS122" s="43" t="s">
        <v>64</v>
      </c>
      <c r="AT122" s="43" t="s">
        <v>64</v>
      </c>
      <c r="AU122" s="43" t="s">
        <v>64</v>
      </c>
      <c r="AV122" s="42" t="s">
        <v>66</v>
      </c>
      <c r="AW122" s="42" t="s">
        <v>67</v>
      </c>
      <c r="AX122" s="42" t="s">
        <v>68</v>
      </c>
      <c r="AY122" s="42" t="s">
        <v>64</v>
      </c>
      <c r="AZ122" s="42" t="s">
        <v>64</v>
      </c>
      <c r="BA12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N2"
Application Service: "OID"
Lifecycle: "PFB"</v>
      </c>
      <c r="BB122" s="78" t="s">
        <v>345</v>
      </c>
      <c r="BC122" s="42" t="str">
        <f>VLOOKUP(VmSpecs[[#This Row],[Original Hostname (CMO)]],'SSOT Data'!A:AJ,36,FALSE)</f>
        <v>OID N2</v>
      </c>
      <c r="BD122" s="43"/>
    </row>
    <row r="123" spans="1:56" ht="29" x14ac:dyDescent="0.35">
      <c r="A123" s="42" t="s">
        <v>58</v>
      </c>
      <c r="B123" s="42" t="str">
        <f>_xlfn.XLOOKUP(VmSpecs[[#This Row],[Subnet]],NetworkReference[Subnet],NetworkReference[Subscription])</f>
        <v>NINP-PERF2</v>
      </c>
      <c r="C123" s="43" t="str">
        <f>_xlfn.XLOOKUP(VmSpecs[[#This Row],[Subnet]],NetworkReference[Subnet],NetworkReference[Virtual Network Resource Group])</f>
        <v>rg-pf2-network-aue-001</v>
      </c>
      <c r="D123" s="43" t="str">
        <f>_xlfn.XLOOKUP(VmSpecs[[#This Row],[Subnet]],NetworkReference[Subnet],NetworkReference[Virtual Network])</f>
        <v>vnet-pf2-workload-aue-001</v>
      </c>
      <c r="E123" s="132" t="s">
        <v>59</v>
      </c>
      <c r="F123" s="43" t="str">
        <f>_xlfn.XLOOKUP(VmSpecs[[#This Row],[Subnet]],NetworkReference[Subnet],NetworkReference[Virtual Network Peering])</f>
        <v>vnet-ninp-conn-pnp-hub-aue</v>
      </c>
      <c r="G123" s="43" t="str">
        <f>_xlfn.XLOOKUP(VmSpecs[[#This Row],[Subnet]],NetworkReference[Subnet],NetworkReference[Route Table])</f>
        <v>rt-sn-pfb-aue-pf2-app</v>
      </c>
      <c r="H123" s="43" t="str">
        <f>LOWER(VLOOKUP(VmSpecs[[#This Row],[Original Hostname (CMO)]],'SSOT Data'!A:K,10,FALSE))</f>
        <v>oid</v>
      </c>
      <c r="I12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23" s="44" t="s">
        <v>75</v>
      </c>
      <c r="K123" s="43" t="str">
        <f>_xlfn.CONCAT("vm",MID(VmSpecs[[#This Row],[Subnet]],4,3),VLOOKUP(VmSpecs[[#This Row],[Subscription]],NetworkReference[#All],2,FALSE),VmSpecs[[#This Row],[Service]],VmSpecs[[#This Row],[VM iteration (nn)]])</f>
        <v>vmpfbpf2oid03</v>
      </c>
      <c r="L123" s="45" t="s">
        <v>61</v>
      </c>
      <c r="M123" s="43" t="str">
        <f>VmSpecs[[#This Row],[VM Name]]&amp;".ninp.myhealthrecord.gov.au"</f>
        <v>vmpfbpf2oid03.ninp.myhealthrecord.gov.au</v>
      </c>
      <c r="N123" s="42" t="str">
        <f t="shared" si="1"/>
        <v>nic-001-vmpfbpf2oid03</v>
      </c>
      <c r="O123" s="94" t="s">
        <v>346</v>
      </c>
      <c r="P123" s="93" t="s">
        <v>63</v>
      </c>
      <c r="Q123" s="42" t="str">
        <f>VLOOKUP(VmSpecs[[#This Row],[Original Hostname (CMO)]],'SSOT Data'!A:E,5,FALSE)</f>
        <v>OEL7.9</v>
      </c>
      <c r="R123" s="83"/>
      <c r="S123" s="42" t="str">
        <f>_xlfn.CONCAT("avail-",LEFT(VmSpecs[[#This Row],[VM Name]],LEN(VmSpecs[[#This Row],[VM Name]])-2))</f>
        <v>avail-vmpfbpf2oid</v>
      </c>
      <c r="T123" s="42" t="str">
        <f>_xlfn.CONCAT("asg-",LEFT(VmSpecs[[#This Row],[VM Name]],LEN(VmSpecs[[#This Row],[VM Name]])-2))</f>
        <v>asg-vmpfbpf2oid</v>
      </c>
      <c r="U123" s="42" t="str">
        <f>_xlfn.CONCAT("nsg-",VmSpecs[[#This Row],[Subnet]])</f>
        <v>nsg-sn-pfb-aue-pf2-app</v>
      </c>
      <c r="V123" s="42" t="s">
        <v>64</v>
      </c>
      <c r="W123" s="43" t="str">
        <f>VLOOKUP(VmSpecs[[#This Row],[Original Hostname (CMO)]],'SSOT Data'!A:AX,50,FALSE)</f>
        <v>Standard_D4s_v4</v>
      </c>
      <c r="X123" s="43">
        <v>64</v>
      </c>
      <c r="Y123" s="43" t="s">
        <v>65</v>
      </c>
      <c r="Z123" s="43" t="str">
        <f>"osdisk-"&amp;VmSpecs[[#This Row],[VM Name]]</f>
        <v>osdisk-vmpfbpf2oid03</v>
      </c>
      <c r="AA123" s="47" t="s">
        <v>66</v>
      </c>
      <c r="AB123" s="73">
        <v>8</v>
      </c>
      <c r="AC123" s="74" t="s">
        <v>65</v>
      </c>
      <c r="AD123" s="75" t="str">
        <f>"disk-"&amp;VmSpecs[[#This Row],[VM Name]]&amp;"-001"</f>
        <v>disk-vmpfbpf2oid03-001</v>
      </c>
      <c r="AE123" s="73">
        <v>32</v>
      </c>
      <c r="AF123" s="74" t="s">
        <v>65</v>
      </c>
      <c r="AG123" s="43" t="str">
        <f>"disk-"&amp;VmSpecs[[#This Row],[VM Name]]&amp;"-002"</f>
        <v>disk-vmpfbpf2oid03-002</v>
      </c>
      <c r="AH123" s="59"/>
      <c r="AI123" s="42"/>
      <c r="AJ123" s="42"/>
      <c r="AK123" s="42"/>
      <c r="AL123" s="42" t="str">
        <f>MID(VmSpecs[[#This Row],[VM Name]],3,9)</f>
        <v>pfbpf2oid</v>
      </c>
      <c r="AM123" s="42" t="str" cm="1">
        <f t="array" ref="AM123">_xlfn.TEXTJOIN(CHAR(10), TRUE, IF(NfsExports[FMO Single VM IP]=VmSpecs[[#This Row],[IP]],NfsExports[FMO Export Summary],""))</f>
        <v>/apps/pcehr 30GB</v>
      </c>
      <c r="AN123" s="43" t="str" cm="1">
        <f t="array" ref="AN12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23" s="42"/>
      <c r="AP123" s="42" t="str">
        <f>VmSpecs[[#This Row],[Description]]</f>
        <v>OID N3</v>
      </c>
      <c r="AQ123" s="43"/>
      <c r="AR123" s="43" t="s">
        <v>64</v>
      </c>
      <c r="AS123" s="43" t="s">
        <v>64</v>
      </c>
      <c r="AT123" s="43" t="s">
        <v>64</v>
      </c>
      <c r="AU123" s="43" t="s">
        <v>64</v>
      </c>
      <c r="AV123" s="42" t="s">
        <v>66</v>
      </c>
      <c r="AW123" s="42" t="s">
        <v>67</v>
      </c>
      <c r="AX123" s="42" t="s">
        <v>68</v>
      </c>
      <c r="AY123" s="42" t="s">
        <v>64</v>
      </c>
      <c r="AZ123" s="42" t="s">
        <v>64</v>
      </c>
      <c r="BA12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N3"
Application Service: "OID"
Lifecycle: "PFB"</v>
      </c>
      <c r="BB123" s="78" t="s">
        <v>347</v>
      </c>
      <c r="BC123" s="42" t="str">
        <f>VLOOKUP(VmSpecs[[#This Row],[Original Hostname (CMO)]],'SSOT Data'!A:AJ,36,FALSE)</f>
        <v>OID N3</v>
      </c>
      <c r="BD123" s="43"/>
    </row>
    <row r="124" spans="1:56" ht="29" x14ac:dyDescent="0.35">
      <c r="A124" s="42" t="s">
        <v>58</v>
      </c>
      <c r="B124" s="42" t="str">
        <f>_xlfn.XLOOKUP(VmSpecs[[#This Row],[Subnet]],NetworkReference[Subnet],NetworkReference[Subscription])</f>
        <v>NINP-PERF2</v>
      </c>
      <c r="C124" s="43" t="str">
        <f>_xlfn.XLOOKUP(VmSpecs[[#This Row],[Subnet]],NetworkReference[Subnet],NetworkReference[Virtual Network Resource Group])</f>
        <v>rg-pf2-network-aue-001</v>
      </c>
      <c r="D124" s="43" t="str">
        <f>_xlfn.XLOOKUP(VmSpecs[[#This Row],[Subnet]],NetworkReference[Subnet],NetworkReference[Virtual Network])</f>
        <v>vnet-pf2-workload-aue-001</v>
      </c>
      <c r="E124" s="132" t="s">
        <v>59</v>
      </c>
      <c r="F124" s="43" t="str">
        <f>_xlfn.XLOOKUP(VmSpecs[[#This Row],[Subnet]],NetworkReference[Subnet],NetworkReference[Virtual Network Peering])</f>
        <v>vnet-ninp-conn-pnp-hub-aue</v>
      </c>
      <c r="G124" s="43" t="str">
        <f>_xlfn.XLOOKUP(VmSpecs[[#This Row],[Subnet]],NetworkReference[Subnet],NetworkReference[Route Table])</f>
        <v>rt-sn-pfb-aue-pf2-app</v>
      </c>
      <c r="H124" s="43" t="str">
        <f>LOWER(VLOOKUP(VmSpecs[[#This Row],[Original Hostname (CMO)]],'SSOT Data'!A:K,10,FALSE))</f>
        <v>oid</v>
      </c>
      <c r="I12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24" s="44" t="s">
        <v>78</v>
      </c>
      <c r="K124" s="43" t="str">
        <f>_xlfn.CONCAT("vm",MID(VmSpecs[[#This Row],[Subnet]],4,3),VLOOKUP(VmSpecs[[#This Row],[Subscription]],NetworkReference[#All],2,FALSE),VmSpecs[[#This Row],[Service]],VmSpecs[[#This Row],[VM iteration (nn)]])</f>
        <v>vmpfbpf2oid04</v>
      </c>
      <c r="L124" s="45" t="s">
        <v>61</v>
      </c>
      <c r="M124" s="43" t="str">
        <f>VmSpecs[[#This Row],[VM Name]]&amp;".ninp.myhealthrecord.gov.au"</f>
        <v>vmpfbpf2oid04.ninp.myhealthrecord.gov.au</v>
      </c>
      <c r="N124" s="42" t="str">
        <f t="shared" si="1"/>
        <v>nic-001-vmpfbpf2oid04</v>
      </c>
      <c r="O124" s="94" t="s">
        <v>348</v>
      </c>
      <c r="P124" s="93" t="s">
        <v>63</v>
      </c>
      <c r="Q124" s="42" t="str">
        <f>VLOOKUP(VmSpecs[[#This Row],[Original Hostname (CMO)]],'SSOT Data'!A:E,5,FALSE)</f>
        <v>OEL7.9</v>
      </c>
      <c r="R124" s="83"/>
      <c r="S124" s="42" t="str">
        <f>_xlfn.CONCAT("avail-",LEFT(VmSpecs[[#This Row],[VM Name]],LEN(VmSpecs[[#This Row],[VM Name]])-2))</f>
        <v>avail-vmpfbpf2oid</v>
      </c>
      <c r="T124" s="42" t="str">
        <f>_xlfn.CONCAT("asg-",LEFT(VmSpecs[[#This Row],[VM Name]],LEN(VmSpecs[[#This Row],[VM Name]])-2))</f>
        <v>asg-vmpfbpf2oid</v>
      </c>
      <c r="U124" s="42" t="str">
        <f>_xlfn.CONCAT("nsg-",VmSpecs[[#This Row],[Subnet]])</f>
        <v>nsg-sn-pfb-aue-pf2-app</v>
      </c>
      <c r="V124" s="42" t="s">
        <v>64</v>
      </c>
      <c r="W124" s="43" t="str">
        <f>VLOOKUP(VmSpecs[[#This Row],[Original Hostname (CMO)]],'SSOT Data'!A:AX,50,FALSE)</f>
        <v>Standard_D4s_v4</v>
      </c>
      <c r="X124" s="43">
        <v>64</v>
      </c>
      <c r="Y124" s="43" t="s">
        <v>65</v>
      </c>
      <c r="Z124" s="43" t="str">
        <f>"osdisk-"&amp;VmSpecs[[#This Row],[VM Name]]</f>
        <v>osdisk-vmpfbpf2oid04</v>
      </c>
      <c r="AA124" s="47" t="s">
        <v>66</v>
      </c>
      <c r="AB124" s="73">
        <v>8</v>
      </c>
      <c r="AC124" s="74" t="s">
        <v>65</v>
      </c>
      <c r="AD124" s="75" t="str">
        <f>"disk-"&amp;VmSpecs[[#This Row],[VM Name]]&amp;"-001"</f>
        <v>disk-vmpfbpf2oid04-001</v>
      </c>
      <c r="AE124" s="73">
        <v>32</v>
      </c>
      <c r="AF124" s="74" t="s">
        <v>65</v>
      </c>
      <c r="AG124" s="43" t="str">
        <f>"disk-"&amp;VmSpecs[[#This Row],[VM Name]]&amp;"-002"</f>
        <v>disk-vmpfbpf2oid04-002</v>
      </c>
      <c r="AH124" s="59"/>
      <c r="AI124" s="42"/>
      <c r="AJ124" s="42"/>
      <c r="AK124" s="42"/>
      <c r="AL124" s="42" t="str">
        <f>MID(VmSpecs[[#This Row],[VM Name]],3,9)</f>
        <v>pfbpf2oid</v>
      </c>
      <c r="AM124" s="42" t="str" cm="1">
        <f t="array" ref="AM124">_xlfn.TEXTJOIN(CHAR(10), TRUE, IF(NfsExports[FMO Single VM IP]=VmSpecs[[#This Row],[IP]],NfsExports[FMO Export Summary],""))</f>
        <v>/apps/pcehr 30GB</v>
      </c>
      <c r="AN124" s="43" t="str" cm="1">
        <f t="array" ref="AN12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24" s="42"/>
      <c r="AP124" s="42" t="str">
        <f>VmSpecs[[#This Row],[Description]]</f>
        <v>OID N4</v>
      </c>
      <c r="AQ124" s="43"/>
      <c r="AR124" s="43" t="s">
        <v>64</v>
      </c>
      <c r="AS124" s="43" t="s">
        <v>64</v>
      </c>
      <c r="AT124" s="43" t="s">
        <v>64</v>
      </c>
      <c r="AU124" s="43" t="s">
        <v>64</v>
      </c>
      <c r="AV124" s="42" t="s">
        <v>66</v>
      </c>
      <c r="AW124" s="42" t="s">
        <v>67</v>
      </c>
      <c r="AX124" s="42" t="s">
        <v>68</v>
      </c>
      <c r="AY124" s="42" t="s">
        <v>64</v>
      </c>
      <c r="AZ124" s="42" t="s">
        <v>64</v>
      </c>
      <c r="BA12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N4"
Application Service: "OID"
Lifecycle: "PFB"</v>
      </c>
      <c r="BB124" s="78" t="s">
        <v>349</v>
      </c>
      <c r="BC124" s="42" t="str">
        <f>VLOOKUP(VmSpecs[[#This Row],[Original Hostname (CMO)]],'SSOT Data'!A:AJ,36,FALSE)</f>
        <v>OID N4</v>
      </c>
      <c r="BD124" s="43"/>
    </row>
    <row r="125" spans="1:56" ht="29" x14ac:dyDescent="0.35">
      <c r="A125" s="42" t="s">
        <v>58</v>
      </c>
      <c r="B125" s="42" t="str">
        <f>_xlfn.XLOOKUP(VmSpecs[[#This Row],[Subnet]],NetworkReference[Subnet],NetworkReference[Subscription])</f>
        <v>NINP-PERF2</v>
      </c>
      <c r="C125" s="43" t="str">
        <f>_xlfn.XLOOKUP(VmSpecs[[#This Row],[Subnet]],NetworkReference[Subnet],NetworkReference[Virtual Network Resource Group])</f>
        <v>rg-pf2-network-aue-001</v>
      </c>
      <c r="D125" s="43" t="str">
        <f>_xlfn.XLOOKUP(VmSpecs[[#This Row],[Subnet]],NetworkReference[Subnet],NetworkReference[Virtual Network])</f>
        <v>vnet-pf2-workload-aue-001</v>
      </c>
      <c r="E125" s="132" t="s">
        <v>59</v>
      </c>
      <c r="F125" s="43" t="str">
        <f>_xlfn.XLOOKUP(VmSpecs[[#This Row],[Subnet]],NetworkReference[Subnet],NetworkReference[Virtual Network Peering])</f>
        <v>vnet-ninp-conn-pnp-hub-aue</v>
      </c>
      <c r="G125" s="43" t="str">
        <f>_xlfn.XLOOKUP(VmSpecs[[#This Row],[Subnet]],NetworkReference[Subnet],NetworkReference[Route Table])</f>
        <v>rt-sn-pfb-aue-pf2-app</v>
      </c>
      <c r="H125" s="43" t="str">
        <f>LOWER(VLOOKUP(VmSpecs[[#This Row],[Original Hostname (CMO)]],'SSOT Data'!A:K,10,FALSE))</f>
        <v>oid</v>
      </c>
      <c r="I12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25" s="44" t="s">
        <v>81</v>
      </c>
      <c r="K125" s="43" t="str">
        <f>_xlfn.CONCAT("vm",MID(VmSpecs[[#This Row],[Subnet]],4,3),VLOOKUP(VmSpecs[[#This Row],[Subscription]],NetworkReference[#All],2,FALSE),VmSpecs[[#This Row],[Service]],VmSpecs[[#This Row],[VM iteration (nn)]])</f>
        <v>vmpfbpf2oid05</v>
      </c>
      <c r="L125" s="45" t="s">
        <v>61</v>
      </c>
      <c r="M125" s="43" t="str">
        <f>VmSpecs[[#This Row],[VM Name]]&amp;".ninp.myhealthrecord.gov.au"</f>
        <v>vmpfbpf2oid05.ninp.myhealthrecord.gov.au</v>
      </c>
      <c r="N125" s="42" t="str">
        <f t="shared" si="1"/>
        <v>nic-001-vmpfbpf2oid05</v>
      </c>
      <c r="O125" s="94" t="s">
        <v>350</v>
      </c>
      <c r="P125" s="93" t="s">
        <v>63</v>
      </c>
      <c r="Q125" s="42" t="str">
        <f>VLOOKUP(VmSpecs[[#This Row],[Original Hostname (CMO)]],'SSOT Data'!A:E,5,FALSE)</f>
        <v>OEL7.9</v>
      </c>
      <c r="R125" s="83"/>
      <c r="S125" s="42" t="str">
        <f>_xlfn.CONCAT("avail-",LEFT(VmSpecs[[#This Row],[VM Name]],LEN(VmSpecs[[#This Row],[VM Name]])-2))</f>
        <v>avail-vmpfbpf2oid</v>
      </c>
      <c r="T125" s="42" t="str">
        <f>_xlfn.CONCAT("asg-",LEFT(VmSpecs[[#This Row],[VM Name]],LEN(VmSpecs[[#This Row],[VM Name]])-2))</f>
        <v>asg-vmpfbpf2oid</v>
      </c>
      <c r="U125" s="42" t="str">
        <f>_xlfn.CONCAT("nsg-",VmSpecs[[#This Row],[Subnet]])</f>
        <v>nsg-sn-pfb-aue-pf2-app</v>
      </c>
      <c r="V125" s="42" t="s">
        <v>64</v>
      </c>
      <c r="W125" s="43" t="str">
        <f>VLOOKUP(VmSpecs[[#This Row],[Original Hostname (CMO)]],'SSOT Data'!A:AX,50,FALSE)</f>
        <v>Standard_D4s_v4</v>
      </c>
      <c r="X125" s="43">
        <v>64</v>
      </c>
      <c r="Y125" s="43" t="s">
        <v>65</v>
      </c>
      <c r="Z125" s="43" t="str">
        <f>"osdisk-"&amp;VmSpecs[[#This Row],[VM Name]]</f>
        <v>osdisk-vmpfbpf2oid05</v>
      </c>
      <c r="AA125" s="47" t="s">
        <v>66</v>
      </c>
      <c r="AB125" s="73">
        <v>8</v>
      </c>
      <c r="AC125" s="74" t="s">
        <v>65</v>
      </c>
      <c r="AD125" s="75" t="str">
        <f>"disk-"&amp;VmSpecs[[#This Row],[VM Name]]&amp;"-001"</f>
        <v>disk-vmpfbpf2oid05-001</v>
      </c>
      <c r="AE125" s="73">
        <v>32</v>
      </c>
      <c r="AF125" s="74" t="s">
        <v>65</v>
      </c>
      <c r="AG125" s="43" t="str">
        <f>"disk-"&amp;VmSpecs[[#This Row],[VM Name]]&amp;"-002"</f>
        <v>disk-vmpfbpf2oid05-002</v>
      </c>
      <c r="AH125" s="59"/>
      <c r="AI125" s="42"/>
      <c r="AJ125" s="42"/>
      <c r="AK125" s="42"/>
      <c r="AL125" s="42" t="str">
        <f>MID(VmSpecs[[#This Row],[VM Name]],3,9)</f>
        <v>pfbpf2oid</v>
      </c>
      <c r="AM125" s="42" t="str" cm="1">
        <f t="array" ref="AM125">_xlfn.TEXTJOIN(CHAR(10), TRUE, IF(NfsExports[FMO Single VM IP]=VmSpecs[[#This Row],[IP]],NfsExports[FMO Export Summary],""))</f>
        <v>/apps/pcehr 30GB</v>
      </c>
      <c r="AN125" s="43" t="str" cm="1">
        <f t="array" ref="AN12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25" s="42"/>
      <c r="AP125" s="42" t="str">
        <f>VmSpecs[[#This Row],[Description]]</f>
        <v>OID N5</v>
      </c>
      <c r="AQ125" s="43"/>
      <c r="AR125" s="43" t="s">
        <v>64</v>
      </c>
      <c r="AS125" s="43" t="s">
        <v>64</v>
      </c>
      <c r="AT125" s="43" t="s">
        <v>64</v>
      </c>
      <c r="AU125" s="43" t="s">
        <v>64</v>
      </c>
      <c r="AV125" s="42" t="s">
        <v>66</v>
      </c>
      <c r="AW125" s="42" t="s">
        <v>67</v>
      </c>
      <c r="AX125" s="42" t="s">
        <v>68</v>
      </c>
      <c r="AY125" s="42" t="s">
        <v>64</v>
      </c>
      <c r="AZ125" s="42" t="s">
        <v>64</v>
      </c>
      <c r="BA12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N5"
Application Service: "OID"
Lifecycle: "PFB"</v>
      </c>
      <c r="BB125" s="78" t="s">
        <v>351</v>
      </c>
      <c r="BC125" s="42" t="str">
        <f>VLOOKUP(VmSpecs[[#This Row],[Original Hostname (CMO)]],'SSOT Data'!A:AJ,36,FALSE)</f>
        <v>OID N5</v>
      </c>
      <c r="BD125" s="43"/>
    </row>
    <row r="126" spans="1:56" ht="29" x14ac:dyDescent="0.35">
      <c r="A126" s="42" t="s">
        <v>58</v>
      </c>
      <c r="B126" s="42" t="str">
        <f>_xlfn.XLOOKUP(VmSpecs[[#This Row],[Subnet]],NetworkReference[Subnet],NetworkReference[Subscription])</f>
        <v>NINP-PERF2</v>
      </c>
      <c r="C126" s="43" t="str">
        <f>_xlfn.XLOOKUP(VmSpecs[[#This Row],[Subnet]],NetworkReference[Subnet],NetworkReference[Virtual Network Resource Group])</f>
        <v>rg-pf2-network-aue-001</v>
      </c>
      <c r="D126" s="43" t="str">
        <f>_xlfn.XLOOKUP(VmSpecs[[#This Row],[Subnet]],NetworkReference[Subnet],NetworkReference[Virtual Network])</f>
        <v>vnet-pf2-workload-aue-001</v>
      </c>
      <c r="E126" s="132" t="s">
        <v>59</v>
      </c>
      <c r="F126" s="43" t="str">
        <f>_xlfn.XLOOKUP(VmSpecs[[#This Row],[Subnet]],NetworkReference[Subnet],NetworkReference[Virtual Network Peering])</f>
        <v>vnet-ninp-conn-pnp-hub-aue</v>
      </c>
      <c r="G126" s="43" t="str">
        <f>_xlfn.XLOOKUP(VmSpecs[[#This Row],[Subnet]],NetworkReference[Subnet],NetworkReference[Route Table])</f>
        <v>rt-sn-pfb-aue-pf2-app</v>
      </c>
      <c r="H126" s="43" t="str">
        <f>LOWER(VLOOKUP(VmSpecs[[#This Row],[Original Hostname (CMO)]],'SSOT Data'!A:K,10,FALSE))</f>
        <v>oid</v>
      </c>
      <c r="I12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26" s="44" t="s">
        <v>84</v>
      </c>
      <c r="K126" s="43" t="str">
        <f>_xlfn.CONCAT("vm",MID(VmSpecs[[#This Row],[Subnet]],4,3),VLOOKUP(VmSpecs[[#This Row],[Subscription]],NetworkReference[#All],2,FALSE),VmSpecs[[#This Row],[Service]],VmSpecs[[#This Row],[VM iteration (nn)]])</f>
        <v>vmpfbpf2oid06</v>
      </c>
      <c r="L126" s="45" t="s">
        <v>61</v>
      </c>
      <c r="M126" s="43" t="str">
        <f>VmSpecs[[#This Row],[VM Name]]&amp;".ninp.myhealthrecord.gov.au"</f>
        <v>vmpfbpf2oid06.ninp.myhealthrecord.gov.au</v>
      </c>
      <c r="N126" s="42" t="str">
        <f t="shared" si="1"/>
        <v>nic-001-vmpfbpf2oid06</v>
      </c>
      <c r="O126" s="94" t="s">
        <v>352</v>
      </c>
      <c r="P126" s="93" t="s">
        <v>63</v>
      </c>
      <c r="Q126" s="42" t="str">
        <f>VLOOKUP(VmSpecs[[#This Row],[Original Hostname (CMO)]],'SSOT Data'!A:E,5,FALSE)</f>
        <v>OEL7.9</v>
      </c>
      <c r="R126" s="83"/>
      <c r="S126" s="42" t="str">
        <f>_xlfn.CONCAT("avail-",LEFT(VmSpecs[[#This Row],[VM Name]],LEN(VmSpecs[[#This Row],[VM Name]])-2))</f>
        <v>avail-vmpfbpf2oid</v>
      </c>
      <c r="T126" s="42" t="str">
        <f>_xlfn.CONCAT("asg-",LEFT(VmSpecs[[#This Row],[VM Name]],LEN(VmSpecs[[#This Row],[VM Name]])-2))</f>
        <v>asg-vmpfbpf2oid</v>
      </c>
      <c r="U126" s="42" t="str">
        <f>_xlfn.CONCAT("nsg-",VmSpecs[[#This Row],[Subnet]])</f>
        <v>nsg-sn-pfb-aue-pf2-app</v>
      </c>
      <c r="V126" s="42" t="s">
        <v>64</v>
      </c>
      <c r="W126" s="43" t="str">
        <f>VLOOKUP(VmSpecs[[#This Row],[Original Hostname (CMO)]],'SSOT Data'!A:AX,50,FALSE)</f>
        <v>Standard_D4s_v4</v>
      </c>
      <c r="X126" s="43">
        <v>64</v>
      </c>
      <c r="Y126" s="43" t="s">
        <v>65</v>
      </c>
      <c r="Z126" s="43" t="str">
        <f>"osdisk-"&amp;VmSpecs[[#This Row],[VM Name]]</f>
        <v>osdisk-vmpfbpf2oid06</v>
      </c>
      <c r="AA126" s="47" t="s">
        <v>66</v>
      </c>
      <c r="AB126" s="73">
        <v>8</v>
      </c>
      <c r="AC126" s="74" t="s">
        <v>65</v>
      </c>
      <c r="AD126" s="75" t="str">
        <f>"disk-"&amp;VmSpecs[[#This Row],[VM Name]]&amp;"-001"</f>
        <v>disk-vmpfbpf2oid06-001</v>
      </c>
      <c r="AE126" s="73">
        <v>32</v>
      </c>
      <c r="AF126" s="74" t="s">
        <v>65</v>
      </c>
      <c r="AG126" s="43" t="str">
        <f>"disk-"&amp;VmSpecs[[#This Row],[VM Name]]&amp;"-002"</f>
        <v>disk-vmpfbpf2oid06-002</v>
      </c>
      <c r="AH126" s="59"/>
      <c r="AI126" s="42"/>
      <c r="AJ126" s="42"/>
      <c r="AK126" s="42"/>
      <c r="AL126" s="42" t="str">
        <f>MID(VmSpecs[[#This Row],[VM Name]],3,9)</f>
        <v>pfbpf2oid</v>
      </c>
      <c r="AM126" s="42" t="str" cm="1">
        <f t="array" ref="AM126">_xlfn.TEXTJOIN(CHAR(10), TRUE, IF(NfsExports[FMO Single VM IP]=VmSpecs[[#This Row],[IP]],NfsExports[FMO Export Summary],""))</f>
        <v>/apps/pcehr 30GB</v>
      </c>
      <c r="AN126" s="43" t="str" cm="1">
        <f t="array" ref="AN12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26" s="42"/>
      <c r="AP126" s="42" t="str">
        <f>VmSpecs[[#This Row],[Description]]</f>
        <v>OID N6</v>
      </c>
      <c r="AQ126" s="43"/>
      <c r="AR126" s="43" t="s">
        <v>64</v>
      </c>
      <c r="AS126" s="43" t="s">
        <v>64</v>
      </c>
      <c r="AT126" s="43" t="s">
        <v>64</v>
      </c>
      <c r="AU126" s="43" t="s">
        <v>64</v>
      </c>
      <c r="AV126" s="42" t="s">
        <v>66</v>
      </c>
      <c r="AW126" s="42" t="s">
        <v>67</v>
      </c>
      <c r="AX126" s="42" t="s">
        <v>68</v>
      </c>
      <c r="AY126" s="42" t="s">
        <v>64</v>
      </c>
      <c r="AZ126" s="42" t="s">
        <v>64</v>
      </c>
      <c r="BA12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N6"
Application Service: "OID"
Lifecycle: "PFB"</v>
      </c>
      <c r="BB126" s="78" t="s">
        <v>353</v>
      </c>
      <c r="BC126" s="42" t="str">
        <f>VLOOKUP(VmSpecs[[#This Row],[Original Hostname (CMO)]],'SSOT Data'!A:AJ,36,FALSE)</f>
        <v>OID N6</v>
      </c>
      <c r="BD126" s="43"/>
    </row>
    <row r="127" spans="1:56" ht="29" x14ac:dyDescent="0.35">
      <c r="A127" s="42" t="s">
        <v>58</v>
      </c>
      <c r="B127" s="42" t="str">
        <f>_xlfn.XLOOKUP(VmSpecs[[#This Row],[Subnet]],NetworkReference[Subnet],NetworkReference[Subscription])</f>
        <v>NINP-PERF2</v>
      </c>
      <c r="C127" s="43" t="str">
        <f>_xlfn.XLOOKUP(VmSpecs[[#This Row],[Subnet]],NetworkReference[Subnet],NetworkReference[Virtual Network Resource Group])</f>
        <v>rg-pf2-network-aue-001</v>
      </c>
      <c r="D127" s="43" t="str">
        <f>_xlfn.XLOOKUP(VmSpecs[[#This Row],[Subnet]],NetworkReference[Subnet],NetworkReference[Virtual Network])</f>
        <v>vnet-pf2-workload-aue-001</v>
      </c>
      <c r="E127" s="132" t="s">
        <v>59</v>
      </c>
      <c r="F127" s="43" t="str">
        <f>_xlfn.XLOOKUP(VmSpecs[[#This Row],[Subnet]],NetworkReference[Subnet],NetworkReference[Virtual Network Peering])</f>
        <v>vnet-ninp-conn-pnp-hub-aue</v>
      </c>
      <c r="G127" s="43" t="str">
        <f>_xlfn.XLOOKUP(VmSpecs[[#This Row],[Subnet]],NetworkReference[Subnet],NetworkReference[Route Table])</f>
        <v>rt-sn-pfb-aue-pf2-app</v>
      </c>
      <c r="H127" s="43" t="str">
        <f>LOWER(VLOOKUP(VmSpecs[[#This Row],[Original Hostname (CMO)]],'SSOT Data'!A:K,10,FALSE))</f>
        <v>oid</v>
      </c>
      <c r="I12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27" s="44" t="s">
        <v>99</v>
      </c>
      <c r="K127" s="43" t="str">
        <f>_xlfn.CONCAT("vm",MID(VmSpecs[[#This Row],[Subnet]],4,3),VLOOKUP(VmSpecs[[#This Row],[Subscription]],NetworkReference[#All],2,FALSE),VmSpecs[[#This Row],[Service]],VmSpecs[[#This Row],[VM iteration (nn)]])</f>
        <v>vmpfbpf2oid07</v>
      </c>
      <c r="L127" s="45" t="s">
        <v>61</v>
      </c>
      <c r="M127" s="43" t="str">
        <f>VmSpecs[[#This Row],[VM Name]]&amp;".ninp.myhealthrecord.gov.au"</f>
        <v>vmpfbpf2oid07.ninp.myhealthrecord.gov.au</v>
      </c>
      <c r="N127" s="42" t="str">
        <f t="shared" si="1"/>
        <v>nic-001-vmpfbpf2oid07</v>
      </c>
      <c r="O127" s="94" t="s">
        <v>354</v>
      </c>
      <c r="P127" s="93" t="s">
        <v>63</v>
      </c>
      <c r="Q127" s="42" t="str">
        <f>VLOOKUP(VmSpecs[[#This Row],[Original Hostname (CMO)]],'SSOT Data'!A:E,5,FALSE)</f>
        <v>OEL7.9</v>
      </c>
      <c r="R127" s="83"/>
      <c r="S127" s="42" t="str">
        <f>_xlfn.CONCAT("avail-",LEFT(VmSpecs[[#This Row],[VM Name]],LEN(VmSpecs[[#This Row],[VM Name]])-2))</f>
        <v>avail-vmpfbpf2oid</v>
      </c>
      <c r="T127" s="42" t="str">
        <f>_xlfn.CONCAT("asg-",LEFT(VmSpecs[[#This Row],[VM Name]],LEN(VmSpecs[[#This Row],[VM Name]])-2))</f>
        <v>asg-vmpfbpf2oid</v>
      </c>
      <c r="U127" s="42" t="str">
        <f>_xlfn.CONCAT("nsg-",VmSpecs[[#This Row],[Subnet]])</f>
        <v>nsg-sn-pfb-aue-pf2-app</v>
      </c>
      <c r="V127" s="42" t="s">
        <v>64</v>
      </c>
      <c r="W127" s="43" t="str">
        <f>VLOOKUP(VmSpecs[[#This Row],[Original Hostname (CMO)]],'SSOT Data'!A:AX,50,FALSE)</f>
        <v>Standard_D4s_v4</v>
      </c>
      <c r="X127" s="43">
        <v>64</v>
      </c>
      <c r="Y127" s="43" t="s">
        <v>65</v>
      </c>
      <c r="Z127" s="43" t="str">
        <f>"osdisk-"&amp;VmSpecs[[#This Row],[VM Name]]</f>
        <v>osdisk-vmpfbpf2oid07</v>
      </c>
      <c r="AA127" s="47" t="s">
        <v>66</v>
      </c>
      <c r="AB127" s="73">
        <v>8</v>
      </c>
      <c r="AC127" s="74" t="s">
        <v>65</v>
      </c>
      <c r="AD127" s="75" t="str">
        <f>"disk-"&amp;VmSpecs[[#This Row],[VM Name]]&amp;"-001"</f>
        <v>disk-vmpfbpf2oid07-001</v>
      </c>
      <c r="AE127" s="73">
        <v>32</v>
      </c>
      <c r="AF127" s="74" t="s">
        <v>65</v>
      </c>
      <c r="AG127" s="43" t="str">
        <f>"disk-"&amp;VmSpecs[[#This Row],[VM Name]]&amp;"-002"</f>
        <v>disk-vmpfbpf2oid07-002</v>
      </c>
      <c r="AH127" s="59"/>
      <c r="AI127" s="42"/>
      <c r="AJ127" s="42"/>
      <c r="AK127" s="42"/>
      <c r="AL127" s="42" t="str">
        <f>MID(VmSpecs[[#This Row],[VM Name]],3,9)</f>
        <v>pfbpf2oid</v>
      </c>
      <c r="AM127" s="42" t="str" cm="1">
        <f t="array" ref="AM127">_xlfn.TEXTJOIN(CHAR(10), TRUE, IF(NfsExports[FMO Single VM IP]=VmSpecs[[#This Row],[IP]],NfsExports[FMO Export Summary],""))</f>
        <v>/apps/pcehr 30GB</v>
      </c>
      <c r="AN127" s="43" t="str" cm="1">
        <f t="array" ref="AN12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27" s="42"/>
      <c r="AP127" s="42" t="str">
        <f>VmSpecs[[#This Row],[Description]]</f>
        <v>OID N7</v>
      </c>
      <c r="AQ127" s="43"/>
      <c r="AR127" s="43" t="s">
        <v>64</v>
      </c>
      <c r="AS127" s="43" t="s">
        <v>64</v>
      </c>
      <c r="AT127" s="43" t="s">
        <v>64</v>
      </c>
      <c r="AU127" s="43" t="s">
        <v>64</v>
      </c>
      <c r="AV127" s="42" t="s">
        <v>66</v>
      </c>
      <c r="AW127" s="42" t="s">
        <v>67</v>
      </c>
      <c r="AX127" s="42" t="s">
        <v>68</v>
      </c>
      <c r="AY127" s="42" t="s">
        <v>64</v>
      </c>
      <c r="AZ127" s="42" t="s">
        <v>64</v>
      </c>
      <c r="BA12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N7"
Application Service: "OID"
Lifecycle: "PFB"</v>
      </c>
      <c r="BB127" s="78" t="s">
        <v>355</v>
      </c>
      <c r="BC127" s="42" t="str">
        <f>VLOOKUP(VmSpecs[[#This Row],[Original Hostname (CMO)]],'SSOT Data'!A:AJ,36,FALSE)</f>
        <v>OID N7</v>
      </c>
      <c r="BD127" s="43"/>
    </row>
    <row r="128" spans="1:56" ht="29" x14ac:dyDescent="0.35">
      <c r="A128" s="42" t="s">
        <v>58</v>
      </c>
      <c r="B128" s="42" t="str">
        <f>_xlfn.XLOOKUP(VmSpecs[[#This Row],[Subnet]],NetworkReference[Subnet],NetworkReference[Subscription])</f>
        <v>NINP-PERF2</v>
      </c>
      <c r="C128" s="43" t="str">
        <f>_xlfn.XLOOKUP(VmSpecs[[#This Row],[Subnet]],NetworkReference[Subnet],NetworkReference[Virtual Network Resource Group])</f>
        <v>rg-pf2-network-aue-001</v>
      </c>
      <c r="D128" s="43" t="str">
        <f>_xlfn.XLOOKUP(VmSpecs[[#This Row],[Subnet]],NetworkReference[Subnet],NetworkReference[Virtual Network])</f>
        <v>vnet-pf2-workload-aue-001</v>
      </c>
      <c r="E128" s="132" t="s">
        <v>59</v>
      </c>
      <c r="F128" s="43" t="str">
        <f>_xlfn.XLOOKUP(VmSpecs[[#This Row],[Subnet]],NetworkReference[Subnet],NetworkReference[Virtual Network Peering])</f>
        <v>vnet-ninp-conn-pnp-hub-aue</v>
      </c>
      <c r="G128" s="43" t="str">
        <f>_xlfn.XLOOKUP(VmSpecs[[#This Row],[Subnet]],NetworkReference[Subnet],NetworkReference[Route Table])</f>
        <v>rt-sn-pfb-aue-pf2-app</v>
      </c>
      <c r="H128" s="43" t="str">
        <f>LOWER(VLOOKUP(VmSpecs[[#This Row],[Original Hostname (CMO)]],'SSOT Data'!A:K,10,FALSE))</f>
        <v>oid</v>
      </c>
      <c r="I12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28" s="44" t="s">
        <v>102</v>
      </c>
      <c r="K128" s="43" t="str">
        <f>_xlfn.CONCAT("vm",MID(VmSpecs[[#This Row],[Subnet]],4,3),VLOOKUP(VmSpecs[[#This Row],[Subscription]],NetworkReference[#All],2,FALSE),VmSpecs[[#This Row],[Service]],VmSpecs[[#This Row],[VM iteration (nn)]])</f>
        <v>vmpfbpf2oid08</v>
      </c>
      <c r="L128" s="45" t="s">
        <v>61</v>
      </c>
      <c r="M128" s="43" t="str">
        <f>VmSpecs[[#This Row],[VM Name]]&amp;".ninp.myhealthrecord.gov.au"</f>
        <v>vmpfbpf2oid08.ninp.myhealthrecord.gov.au</v>
      </c>
      <c r="N128" s="42" t="str">
        <f t="shared" si="1"/>
        <v>nic-001-vmpfbpf2oid08</v>
      </c>
      <c r="O128" s="94" t="s">
        <v>356</v>
      </c>
      <c r="P128" s="93" t="s">
        <v>63</v>
      </c>
      <c r="Q128" s="42" t="str">
        <f>VLOOKUP(VmSpecs[[#This Row],[Original Hostname (CMO)]],'SSOT Data'!A:E,5,FALSE)</f>
        <v>OEL7.9</v>
      </c>
      <c r="R128" s="83"/>
      <c r="S128" s="42" t="str">
        <f>_xlfn.CONCAT("avail-",LEFT(VmSpecs[[#This Row],[VM Name]],LEN(VmSpecs[[#This Row],[VM Name]])-2))</f>
        <v>avail-vmpfbpf2oid</v>
      </c>
      <c r="T128" s="42" t="str">
        <f>_xlfn.CONCAT("asg-",LEFT(VmSpecs[[#This Row],[VM Name]],LEN(VmSpecs[[#This Row],[VM Name]])-2))</f>
        <v>asg-vmpfbpf2oid</v>
      </c>
      <c r="U128" s="42" t="str">
        <f>_xlfn.CONCAT("nsg-",VmSpecs[[#This Row],[Subnet]])</f>
        <v>nsg-sn-pfb-aue-pf2-app</v>
      </c>
      <c r="V128" s="42" t="s">
        <v>64</v>
      </c>
      <c r="W128" s="43" t="str">
        <f>VLOOKUP(VmSpecs[[#This Row],[Original Hostname (CMO)]],'SSOT Data'!A:AX,50,FALSE)</f>
        <v>Standard_D4s_v4</v>
      </c>
      <c r="X128" s="43">
        <v>64</v>
      </c>
      <c r="Y128" s="43" t="s">
        <v>65</v>
      </c>
      <c r="Z128" s="43" t="str">
        <f>"osdisk-"&amp;VmSpecs[[#This Row],[VM Name]]</f>
        <v>osdisk-vmpfbpf2oid08</v>
      </c>
      <c r="AA128" s="47" t="s">
        <v>66</v>
      </c>
      <c r="AB128" s="73">
        <v>8</v>
      </c>
      <c r="AC128" s="74" t="s">
        <v>65</v>
      </c>
      <c r="AD128" s="75" t="str">
        <f>"disk-"&amp;VmSpecs[[#This Row],[VM Name]]&amp;"-001"</f>
        <v>disk-vmpfbpf2oid08-001</v>
      </c>
      <c r="AE128" s="73">
        <v>32</v>
      </c>
      <c r="AF128" s="74" t="s">
        <v>65</v>
      </c>
      <c r="AG128" s="43" t="str">
        <f>"disk-"&amp;VmSpecs[[#This Row],[VM Name]]&amp;"-002"</f>
        <v>disk-vmpfbpf2oid08-002</v>
      </c>
      <c r="AH128" s="59"/>
      <c r="AI128" s="42"/>
      <c r="AJ128" s="42"/>
      <c r="AK128" s="42"/>
      <c r="AL128" s="42" t="str">
        <f>MID(VmSpecs[[#This Row],[VM Name]],3,9)</f>
        <v>pfbpf2oid</v>
      </c>
      <c r="AM128" s="42" t="str" cm="1">
        <f t="array" ref="AM128">_xlfn.TEXTJOIN(CHAR(10), TRUE, IF(NfsExports[FMO Single VM IP]=VmSpecs[[#This Row],[IP]],NfsExports[FMO Export Summary],""))</f>
        <v>/apps/pcehr 30GB</v>
      </c>
      <c r="AN128" s="43" t="str" cm="1">
        <f t="array" ref="AN12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28" s="42"/>
      <c r="AP128" s="42" t="str">
        <f>VmSpecs[[#This Row],[Description]]</f>
        <v>OID N8</v>
      </c>
      <c r="AQ128" s="43"/>
      <c r="AR128" s="43" t="s">
        <v>64</v>
      </c>
      <c r="AS128" s="43" t="s">
        <v>64</v>
      </c>
      <c r="AT128" s="43" t="s">
        <v>64</v>
      </c>
      <c r="AU128" s="43" t="s">
        <v>64</v>
      </c>
      <c r="AV128" s="42" t="s">
        <v>66</v>
      </c>
      <c r="AW128" s="42" t="s">
        <v>67</v>
      </c>
      <c r="AX128" s="42" t="s">
        <v>68</v>
      </c>
      <c r="AY128" s="42" t="s">
        <v>64</v>
      </c>
      <c r="AZ128" s="42" t="s">
        <v>64</v>
      </c>
      <c r="BA12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N8"
Application Service: "OID"
Lifecycle: "PFB"</v>
      </c>
      <c r="BB128" s="78" t="s">
        <v>357</v>
      </c>
      <c r="BC128" s="42" t="str">
        <f>VLOOKUP(VmSpecs[[#This Row],[Original Hostname (CMO)]],'SSOT Data'!A:AJ,36,FALSE)</f>
        <v>OID N8</v>
      </c>
      <c r="BD128" s="43"/>
    </row>
    <row r="129" spans="1:56" ht="29" x14ac:dyDescent="0.35">
      <c r="A129" s="42" t="s">
        <v>58</v>
      </c>
      <c r="B129" s="42" t="str">
        <f>_xlfn.XLOOKUP(VmSpecs[[#This Row],[Subnet]],NetworkReference[Subnet],NetworkReference[Subscription])</f>
        <v>NINP-PERF2</v>
      </c>
      <c r="C129" s="43" t="str">
        <f>_xlfn.XLOOKUP(VmSpecs[[#This Row],[Subnet]],NetworkReference[Subnet],NetworkReference[Virtual Network Resource Group])</f>
        <v>rg-pf2-network-aue-001</v>
      </c>
      <c r="D129" s="43" t="str">
        <f>_xlfn.XLOOKUP(VmSpecs[[#This Row],[Subnet]],NetworkReference[Subnet],NetworkReference[Virtual Network])</f>
        <v>vnet-pf2-workload-aue-001</v>
      </c>
      <c r="E129" s="132" t="s">
        <v>59</v>
      </c>
      <c r="F129" s="43" t="str">
        <f>_xlfn.XLOOKUP(VmSpecs[[#This Row],[Subnet]],NetworkReference[Subnet],NetworkReference[Virtual Network Peering])</f>
        <v>vnet-ninp-conn-pnp-hub-aue</v>
      </c>
      <c r="G129" s="43" t="str">
        <f>_xlfn.XLOOKUP(VmSpecs[[#This Row],[Subnet]],NetworkReference[Subnet],NetworkReference[Route Table])</f>
        <v>rt-sn-pfb-aue-pf2-app</v>
      </c>
      <c r="H129" s="43" t="str">
        <f>LOWER(VLOOKUP(VmSpecs[[#This Row],[Original Hostname (CMO)]],'SSOT Data'!A:K,10,FALSE))</f>
        <v>oid</v>
      </c>
      <c r="I12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29" s="44" t="s">
        <v>129</v>
      </c>
      <c r="K129" s="43" t="str">
        <f>_xlfn.CONCAT("vm",MID(VmSpecs[[#This Row],[Subnet]],4,3),VLOOKUP(VmSpecs[[#This Row],[Subscription]],NetworkReference[#All],2,FALSE),VmSpecs[[#This Row],[Service]],VmSpecs[[#This Row],[VM iteration (nn)]])</f>
        <v>vmpfbpf2oid09</v>
      </c>
      <c r="L129" s="45" t="s">
        <v>61</v>
      </c>
      <c r="M129" s="43" t="str">
        <f>VmSpecs[[#This Row],[VM Name]]&amp;".ninp.myhealthrecord.gov.au"</f>
        <v>vmpfbpf2oid09.ninp.myhealthrecord.gov.au</v>
      </c>
      <c r="N129" s="42" t="str">
        <f t="shared" si="1"/>
        <v>nic-001-vmpfbpf2oid09</v>
      </c>
      <c r="O129" s="94" t="s">
        <v>358</v>
      </c>
      <c r="P129" s="93" t="s">
        <v>63</v>
      </c>
      <c r="Q129" s="42" t="str">
        <f>VLOOKUP(VmSpecs[[#This Row],[Original Hostname (CMO)]],'SSOT Data'!A:E,5,FALSE)</f>
        <v>OEL7.9</v>
      </c>
      <c r="R129" s="83"/>
      <c r="S129" s="42" t="str">
        <f>_xlfn.CONCAT("avail-",LEFT(VmSpecs[[#This Row],[VM Name]],LEN(VmSpecs[[#This Row],[VM Name]])-2))</f>
        <v>avail-vmpfbpf2oid</v>
      </c>
      <c r="T129" s="42" t="str">
        <f>_xlfn.CONCAT("asg-",LEFT(VmSpecs[[#This Row],[VM Name]],LEN(VmSpecs[[#This Row],[VM Name]])-2))</f>
        <v>asg-vmpfbpf2oid</v>
      </c>
      <c r="U129" s="42" t="str">
        <f>_xlfn.CONCAT("nsg-",VmSpecs[[#This Row],[Subnet]])</f>
        <v>nsg-sn-pfb-aue-pf2-app</v>
      </c>
      <c r="V129" s="42" t="s">
        <v>64</v>
      </c>
      <c r="W129" s="43" t="str">
        <f>VLOOKUP(VmSpecs[[#This Row],[Original Hostname (CMO)]],'SSOT Data'!A:AX,50,FALSE)</f>
        <v>Standard_D4s_v4</v>
      </c>
      <c r="X129" s="43">
        <v>64</v>
      </c>
      <c r="Y129" s="43" t="s">
        <v>65</v>
      </c>
      <c r="Z129" s="43" t="str">
        <f>"osdisk-"&amp;VmSpecs[[#This Row],[VM Name]]</f>
        <v>osdisk-vmpfbpf2oid09</v>
      </c>
      <c r="AA129" s="47" t="s">
        <v>66</v>
      </c>
      <c r="AB129" s="73">
        <v>8</v>
      </c>
      <c r="AC129" s="74" t="s">
        <v>65</v>
      </c>
      <c r="AD129" s="75" t="str">
        <f>"disk-"&amp;VmSpecs[[#This Row],[VM Name]]&amp;"-001"</f>
        <v>disk-vmpfbpf2oid09-001</v>
      </c>
      <c r="AE129" s="73">
        <v>32</v>
      </c>
      <c r="AF129" s="74" t="s">
        <v>65</v>
      </c>
      <c r="AG129" s="43" t="str">
        <f>"disk-"&amp;VmSpecs[[#This Row],[VM Name]]&amp;"-002"</f>
        <v>disk-vmpfbpf2oid09-002</v>
      </c>
      <c r="AH129" s="59"/>
      <c r="AI129" s="42"/>
      <c r="AJ129" s="42"/>
      <c r="AK129" s="42"/>
      <c r="AL129" s="42" t="str">
        <f>MID(VmSpecs[[#This Row],[VM Name]],3,9)</f>
        <v>pfbpf2oid</v>
      </c>
      <c r="AM129" s="42" t="str" cm="1">
        <f t="array" ref="AM129">_xlfn.TEXTJOIN(CHAR(10), TRUE, IF(NfsExports[FMO Single VM IP]=VmSpecs[[#This Row],[IP]],NfsExports[FMO Export Summary],""))</f>
        <v>/apps/pcehr 30GB</v>
      </c>
      <c r="AN129" s="43" t="str" cm="1">
        <f t="array" ref="AN12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29" s="42"/>
      <c r="AP129" s="42" t="str">
        <f>VmSpecs[[#This Row],[Description]]</f>
        <v>OID N9</v>
      </c>
      <c r="AQ129" s="43"/>
      <c r="AR129" s="43" t="s">
        <v>64</v>
      </c>
      <c r="AS129" s="43" t="s">
        <v>64</v>
      </c>
      <c r="AT129" s="43" t="s">
        <v>64</v>
      </c>
      <c r="AU129" s="43" t="s">
        <v>64</v>
      </c>
      <c r="AV129" s="42" t="s">
        <v>66</v>
      </c>
      <c r="AW129" s="42" t="s">
        <v>67</v>
      </c>
      <c r="AX129" s="42" t="s">
        <v>68</v>
      </c>
      <c r="AY129" s="42" t="s">
        <v>64</v>
      </c>
      <c r="AZ129" s="42" t="s">
        <v>64</v>
      </c>
      <c r="BA12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N9"
Application Service: "OID"
Lifecycle: "PFB"</v>
      </c>
      <c r="BB129" s="78" t="s">
        <v>359</v>
      </c>
      <c r="BC129" s="42" t="str">
        <f>VLOOKUP(VmSpecs[[#This Row],[Original Hostname (CMO)]],'SSOT Data'!A:AJ,36,FALSE)</f>
        <v>OID N9</v>
      </c>
      <c r="BD129" s="43"/>
    </row>
    <row r="130" spans="1:56" ht="29" x14ac:dyDescent="0.35">
      <c r="A130" s="42" t="s">
        <v>58</v>
      </c>
      <c r="B130" s="42" t="str">
        <f>_xlfn.XLOOKUP(VmSpecs[[#This Row],[Subnet]],NetworkReference[Subnet],NetworkReference[Subscription])</f>
        <v>NINP-PERF2</v>
      </c>
      <c r="C130" s="43" t="str">
        <f>_xlfn.XLOOKUP(VmSpecs[[#This Row],[Subnet]],NetworkReference[Subnet],NetworkReference[Virtual Network Resource Group])</f>
        <v>rg-pf2-network-aue-001</v>
      </c>
      <c r="D130" s="43" t="str">
        <f>_xlfn.XLOOKUP(VmSpecs[[#This Row],[Subnet]],NetworkReference[Subnet],NetworkReference[Virtual Network])</f>
        <v>vnet-pf2-workload-aue-001</v>
      </c>
      <c r="E130" s="132" t="s">
        <v>59</v>
      </c>
      <c r="F130" s="43" t="str">
        <f>_xlfn.XLOOKUP(VmSpecs[[#This Row],[Subnet]],NetworkReference[Subnet],NetworkReference[Virtual Network Peering])</f>
        <v>vnet-ninp-conn-pnp-hub-aue</v>
      </c>
      <c r="G130" s="43" t="str">
        <f>_xlfn.XLOOKUP(VmSpecs[[#This Row],[Subnet]],NetworkReference[Subnet],NetworkReference[Route Table])</f>
        <v>rt-sn-pfb-aue-pf2-app</v>
      </c>
      <c r="H130" s="43" t="str">
        <f>LOWER(VLOOKUP(VmSpecs[[#This Row],[Original Hostname (CMO)]],'SSOT Data'!A:K,10,FALSE))</f>
        <v>oid</v>
      </c>
      <c r="I13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30" s="44" t="s">
        <v>132</v>
      </c>
      <c r="K130" s="43" t="str">
        <f>_xlfn.CONCAT("vm",MID(VmSpecs[[#This Row],[Subnet]],4,3),VLOOKUP(VmSpecs[[#This Row],[Subscription]],NetworkReference[#All],2,FALSE),VmSpecs[[#This Row],[Service]],VmSpecs[[#This Row],[VM iteration (nn)]])</f>
        <v>vmpfbpf2oid10</v>
      </c>
      <c r="L130" s="45" t="s">
        <v>61</v>
      </c>
      <c r="M130" s="43" t="str">
        <f>VmSpecs[[#This Row],[VM Name]]&amp;".ninp.myhealthrecord.gov.au"</f>
        <v>vmpfbpf2oid10.ninp.myhealthrecord.gov.au</v>
      </c>
      <c r="N130" s="42" t="str">
        <f t="shared" si="1"/>
        <v>nic-001-vmpfbpf2oid10</v>
      </c>
      <c r="O130" s="94" t="s">
        <v>360</v>
      </c>
      <c r="P130" s="93" t="s">
        <v>63</v>
      </c>
      <c r="Q130" s="42" t="str">
        <f>VLOOKUP(VmSpecs[[#This Row],[Original Hostname (CMO)]],'SSOT Data'!A:E,5,FALSE)</f>
        <v>OEL7.9</v>
      </c>
      <c r="R130" s="83"/>
      <c r="S130" s="42" t="str">
        <f>_xlfn.CONCAT("avail-",LEFT(VmSpecs[[#This Row],[VM Name]],LEN(VmSpecs[[#This Row],[VM Name]])-2))</f>
        <v>avail-vmpfbpf2oid</v>
      </c>
      <c r="T130" s="42" t="str">
        <f>_xlfn.CONCAT("asg-",LEFT(VmSpecs[[#This Row],[VM Name]],LEN(VmSpecs[[#This Row],[VM Name]])-2))</f>
        <v>asg-vmpfbpf2oid</v>
      </c>
      <c r="U130" s="42" t="str">
        <f>_xlfn.CONCAT("nsg-",VmSpecs[[#This Row],[Subnet]])</f>
        <v>nsg-sn-pfb-aue-pf2-app</v>
      </c>
      <c r="V130" s="42" t="s">
        <v>64</v>
      </c>
      <c r="W130" s="43" t="str">
        <f>VLOOKUP(VmSpecs[[#This Row],[Original Hostname (CMO)]],'SSOT Data'!A:AX,50,FALSE)</f>
        <v>Standard_D4s_v4</v>
      </c>
      <c r="X130" s="43">
        <v>64</v>
      </c>
      <c r="Y130" s="43" t="s">
        <v>65</v>
      </c>
      <c r="Z130" s="43" t="str">
        <f>"osdisk-"&amp;VmSpecs[[#This Row],[VM Name]]</f>
        <v>osdisk-vmpfbpf2oid10</v>
      </c>
      <c r="AA130" s="47" t="s">
        <v>66</v>
      </c>
      <c r="AB130" s="73">
        <v>8</v>
      </c>
      <c r="AC130" s="74" t="s">
        <v>65</v>
      </c>
      <c r="AD130" s="75" t="str">
        <f>"disk-"&amp;VmSpecs[[#This Row],[VM Name]]&amp;"-001"</f>
        <v>disk-vmpfbpf2oid10-001</v>
      </c>
      <c r="AE130" s="73">
        <v>32</v>
      </c>
      <c r="AF130" s="74" t="s">
        <v>65</v>
      </c>
      <c r="AG130" s="43" t="str">
        <f>"disk-"&amp;VmSpecs[[#This Row],[VM Name]]&amp;"-002"</f>
        <v>disk-vmpfbpf2oid10-002</v>
      </c>
      <c r="AH130" s="59"/>
      <c r="AI130" s="42"/>
      <c r="AJ130" s="42"/>
      <c r="AK130" s="42"/>
      <c r="AL130" s="42" t="str">
        <f>MID(VmSpecs[[#This Row],[VM Name]],3,9)</f>
        <v>pfbpf2oid</v>
      </c>
      <c r="AM130" s="42" t="str" cm="1">
        <f t="array" ref="AM130">_xlfn.TEXTJOIN(CHAR(10), TRUE, IF(NfsExports[FMO Single VM IP]=VmSpecs[[#This Row],[IP]],NfsExports[FMO Export Summary],""))</f>
        <v>/apps/pcehr 30GB</v>
      </c>
      <c r="AN130" s="43" t="str" cm="1">
        <f t="array" ref="AN13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30" s="42"/>
      <c r="AP130" s="42" t="str">
        <f>VmSpecs[[#This Row],[Description]]</f>
        <v>OID N10</v>
      </c>
      <c r="AQ130" s="43"/>
      <c r="AR130" s="43" t="s">
        <v>64</v>
      </c>
      <c r="AS130" s="43" t="s">
        <v>64</v>
      </c>
      <c r="AT130" s="43" t="s">
        <v>64</v>
      </c>
      <c r="AU130" s="43" t="s">
        <v>64</v>
      </c>
      <c r="AV130" s="42" t="s">
        <v>66</v>
      </c>
      <c r="AW130" s="42" t="s">
        <v>67</v>
      </c>
      <c r="AX130" s="42" t="s">
        <v>68</v>
      </c>
      <c r="AY130" s="42" t="s">
        <v>64</v>
      </c>
      <c r="AZ130" s="42" t="s">
        <v>64</v>
      </c>
      <c r="BA13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N10"
Application Service: "OID"
Lifecycle: "PFB"</v>
      </c>
      <c r="BB130" s="78" t="s">
        <v>361</v>
      </c>
      <c r="BC130" s="42" t="str">
        <f>VLOOKUP(VmSpecs[[#This Row],[Original Hostname (CMO)]],'SSOT Data'!A:AJ,36,FALSE)</f>
        <v>OID N10</v>
      </c>
      <c r="BD130" s="43"/>
    </row>
    <row r="131" spans="1:56" ht="29" x14ac:dyDescent="0.35">
      <c r="A131" s="42"/>
      <c r="B131" s="42" t="str">
        <f>_xlfn.XLOOKUP(VmSpecs[[#This Row],[Subnet]],NetworkReference[Subnet],NetworkReference[Subscription])</f>
        <v>NINP-PERF2</v>
      </c>
      <c r="C131" s="43" t="str">
        <f>_xlfn.XLOOKUP(VmSpecs[[#This Row],[Subnet]],NetworkReference[Subnet],NetworkReference[Virtual Network Resource Group])</f>
        <v>rg-pf2-network-aue-001</v>
      </c>
      <c r="D131" s="43" t="str">
        <f>_xlfn.XLOOKUP(VmSpecs[[#This Row],[Subnet]],NetworkReference[Subnet],NetworkReference[Virtual Network])</f>
        <v>vnet-pf2-workload-aue-001</v>
      </c>
      <c r="E131" s="132" t="s">
        <v>59</v>
      </c>
      <c r="F131" s="43" t="str">
        <f>_xlfn.XLOOKUP(VmSpecs[[#This Row],[Subnet]],NetworkReference[Subnet],NetworkReference[Virtual Network Peering])</f>
        <v>vnet-ninp-conn-pnp-hub-aue</v>
      </c>
      <c r="G131" s="43" t="str">
        <f>_xlfn.XLOOKUP(VmSpecs[[#This Row],[Subnet]],NetworkReference[Subnet],NetworkReference[Route Table])</f>
        <v>rt-sn-pfb-aue-pf2-app</v>
      </c>
      <c r="H131" s="43" t="str">
        <f>LOWER(VLOOKUP(VmSpecs[[#This Row],[Original Hostname (CMO)]],'SSOT Data'!A:K,10,FALSE))</f>
        <v>oid</v>
      </c>
      <c r="I13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31" s="44" t="s">
        <v>135</v>
      </c>
      <c r="K131" s="43" t="str">
        <f>_xlfn.CONCAT("vm",MID(VmSpecs[[#This Row],[Subnet]],4,3),VLOOKUP(VmSpecs[[#This Row],[Subscription]],NetworkReference[#All],2,FALSE),VmSpecs[[#This Row],[Service]],VmSpecs[[#This Row],[VM iteration (nn)]])</f>
        <v>vmpfbpf2oid11</v>
      </c>
      <c r="L131" s="45" t="s">
        <v>61</v>
      </c>
      <c r="M131" s="43" t="str">
        <f>VmSpecs[[#This Row],[VM Name]]&amp;".ninp.myhealthrecord.gov.au"</f>
        <v>vmpfbpf2oid11.ninp.myhealthrecord.gov.au</v>
      </c>
      <c r="N131" s="42" t="str">
        <f t="shared" ref="N131:N194" si="2">"nic-001-"&amp;K131</f>
        <v>nic-001-vmpfbpf2oid11</v>
      </c>
      <c r="O131" s="94" t="s">
        <v>362</v>
      </c>
      <c r="P131" s="93" t="s">
        <v>63</v>
      </c>
      <c r="Q131" s="42" t="str">
        <f>VLOOKUP(VmSpecs[[#This Row],[Original Hostname (CMO)]],'SSOT Data'!A:E,5,FALSE)</f>
        <v>OEL7.9</v>
      </c>
      <c r="R131" s="83"/>
      <c r="S131" s="42" t="str">
        <f>_xlfn.CONCAT("avail-",LEFT(VmSpecs[[#This Row],[VM Name]],LEN(VmSpecs[[#This Row],[VM Name]])-2))</f>
        <v>avail-vmpfbpf2oid</v>
      </c>
      <c r="T131" s="42" t="str">
        <f>_xlfn.CONCAT("asg-",LEFT(VmSpecs[[#This Row],[VM Name]],LEN(VmSpecs[[#This Row],[VM Name]])-2))</f>
        <v>asg-vmpfbpf2oid</v>
      </c>
      <c r="U131" s="42" t="str">
        <f>_xlfn.CONCAT("nsg-",VmSpecs[[#This Row],[Subnet]])</f>
        <v>nsg-sn-pfb-aue-pf2-app</v>
      </c>
      <c r="V131" s="42"/>
      <c r="W131" s="43" t="str">
        <f>VLOOKUP(VmSpecs[[#This Row],[Original Hostname (CMO)]],'SSOT Data'!A:AX,50,FALSE)</f>
        <v>Standard_D4s_v4</v>
      </c>
      <c r="X131" s="43">
        <v>64</v>
      </c>
      <c r="Y131" s="43" t="s">
        <v>65</v>
      </c>
      <c r="Z131" s="43" t="str">
        <f>"osdisk-"&amp;VmSpecs[[#This Row],[VM Name]]</f>
        <v>osdisk-vmpfbpf2oid11</v>
      </c>
      <c r="AA131" s="47" t="s">
        <v>66</v>
      </c>
      <c r="AB131" s="73">
        <v>8</v>
      </c>
      <c r="AC131" s="74" t="s">
        <v>65</v>
      </c>
      <c r="AD131" s="75" t="str">
        <f>"disk-"&amp;VmSpecs[[#This Row],[VM Name]]&amp;"-001"</f>
        <v>disk-vmpfbpf2oid11-001</v>
      </c>
      <c r="AE131" s="73">
        <v>32</v>
      </c>
      <c r="AF131" s="74" t="s">
        <v>65</v>
      </c>
      <c r="AG131" s="43" t="str">
        <f>"disk-"&amp;VmSpecs[[#This Row],[VM Name]]&amp;"-002"</f>
        <v>disk-vmpfbpf2oid11-002</v>
      </c>
      <c r="AH131" s="59"/>
      <c r="AI131" s="42"/>
      <c r="AJ131" s="42"/>
      <c r="AK131" s="42"/>
      <c r="AL131" s="42" t="str">
        <f>MID(VmSpecs[[#This Row],[VM Name]],3,9)</f>
        <v>pfbpf2oid</v>
      </c>
      <c r="AM131" s="42" t="str" cm="1">
        <f t="array" ref="AM131">_xlfn.TEXTJOIN(CHAR(10), TRUE, IF(NfsExports[FMO Single VM IP]=VmSpecs[[#This Row],[IP]],NfsExports[FMO Export Summary],""))</f>
        <v>/apps/pcehr 30GB</v>
      </c>
      <c r="AN131" s="43" t="str" cm="1">
        <f t="array" ref="AN13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31" s="42"/>
      <c r="AP131" s="42" t="str">
        <f>VmSpecs[[#This Row],[Description]]</f>
        <v>OID N11</v>
      </c>
      <c r="AQ131" s="43"/>
      <c r="AR131" s="43"/>
      <c r="AS131" s="43"/>
      <c r="AT131" s="43"/>
      <c r="AU131" s="43"/>
      <c r="AV131" s="42"/>
      <c r="AW131" s="42"/>
      <c r="AX131" s="42"/>
      <c r="AY131" s="42"/>
      <c r="AZ131" s="42"/>
      <c r="BA131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N11"
Application Service: "OID"
Lifecycle: "PFB"</v>
      </c>
      <c r="BB131" s="78" t="s">
        <v>363</v>
      </c>
      <c r="BC131" s="42" t="str">
        <f>VLOOKUP(VmSpecs[[#This Row],[Original Hostname (CMO)]],'SSOT Data'!A:AJ,36,FALSE)</f>
        <v>OID N11</v>
      </c>
      <c r="BD131" s="126">
        <f>VLOOKUP(VmSpecs[[#This Row],[Original Hostname (CMO)]],'SSOT Data'!A:AQ,43,FALSE)</f>
        <v>2</v>
      </c>
    </row>
    <row r="132" spans="1:56" ht="29" x14ac:dyDescent="0.35">
      <c r="A132" s="42"/>
      <c r="B132" s="42" t="str">
        <f>_xlfn.XLOOKUP(VmSpecs[[#This Row],[Subnet]],NetworkReference[Subnet],NetworkReference[Subscription])</f>
        <v>NINP-PERF2</v>
      </c>
      <c r="C132" s="43" t="str">
        <f>_xlfn.XLOOKUP(VmSpecs[[#This Row],[Subnet]],NetworkReference[Subnet],NetworkReference[Virtual Network Resource Group])</f>
        <v>rg-pf2-network-aue-001</v>
      </c>
      <c r="D132" s="43" t="str">
        <f>_xlfn.XLOOKUP(VmSpecs[[#This Row],[Subnet]],NetworkReference[Subnet],NetworkReference[Virtual Network])</f>
        <v>vnet-pf2-workload-aue-001</v>
      </c>
      <c r="E132" s="132" t="s">
        <v>59</v>
      </c>
      <c r="F132" s="43" t="str">
        <f>_xlfn.XLOOKUP(VmSpecs[[#This Row],[Subnet]],NetworkReference[Subnet],NetworkReference[Virtual Network Peering])</f>
        <v>vnet-ninp-conn-pnp-hub-aue</v>
      </c>
      <c r="G132" s="43" t="str">
        <f>_xlfn.XLOOKUP(VmSpecs[[#This Row],[Subnet]],NetworkReference[Subnet],NetworkReference[Route Table])</f>
        <v>rt-sn-pfb-aue-pf2-app</v>
      </c>
      <c r="H132" s="43" t="str">
        <f>LOWER(VLOOKUP(VmSpecs[[#This Row],[Original Hostname (CMO)]],'SSOT Data'!A:K,10,FALSE))</f>
        <v>oid</v>
      </c>
      <c r="I13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32" s="44" t="s">
        <v>138</v>
      </c>
      <c r="K132" s="43" t="str">
        <f>_xlfn.CONCAT("vm",MID(VmSpecs[[#This Row],[Subnet]],4,3),VLOOKUP(VmSpecs[[#This Row],[Subscription]],NetworkReference[#All],2,FALSE),VmSpecs[[#This Row],[Service]],VmSpecs[[#This Row],[VM iteration (nn)]])</f>
        <v>vmpfbpf2oid12</v>
      </c>
      <c r="L132" s="45" t="s">
        <v>61</v>
      </c>
      <c r="M132" s="43" t="str">
        <f>VmSpecs[[#This Row],[VM Name]]&amp;".ninp.myhealthrecord.gov.au"</f>
        <v>vmpfbpf2oid12.ninp.myhealthrecord.gov.au</v>
      </c>
      <c r="N132" s="42" t="str">
        <f t="shared" si="2"/>
        <v>nic-001-vmpfbpf2oid12</v>
      </c>
      <c r="O132" s="94" t="s">
        <v>364</v>
      </c>
      <c r="P132" s="93" t="s">
        <v>63</v>
      </c>
      <c r="Q132" s="42" t="str">
        <f>VLOOKUP(VmSpecs[[#This Row],[Original Hostname (CMO)]],'SSOT Data'!A:E,5,FALSE)</f>
        <v>OEL7.9</v>
      </c>
      <c r="R132" s="83"/>
      <c r="S132" s="42" t="str">
        <f>_xlfn.CONCAT("avail-",LEFT(VmSpecs[[#This Row],[VM Name]],LEN(VmSpecs[[#This Row],[VM Name]])-2))</f>
        <v>avail-vmpfbpf2oid</v>
      </c>
      <c r="T132" s="42" t="str">
        <f>_xlfn.CONCAT("asg-",LEFT(VmSpecs[[#This Row],[VM Name]],LEN(VmSpecs[[#This Row],[VM Name]])-2))</f>
        <v>asg-vmpfbpf2oid</v>
      </c>
      <c r="U132" s="42" t="str">
        <f>_xlfn.CONCAT("nsg-",VmSpecs[[#This Row],[Subnet]])</f>
        <v>nsg-sn-pfb-aue-pf2-app</v>
      </c>
      <c r="V132" s="42"/>
      <c r="W132" s="43" t="str">
        <f>VLOOKUP(VmSpecs[[#This Row],[Original Hostname (CMO)]],'SSOT Data'!A:AX,50,FALSE)</f>
        <v>Standard_D4s_v4</v>
      </c>
      <c r="X132" s="43">
        <v>64</v>
      </c>
      <c r="Y132" s="43" t="s">
        <v>65</v>
      </c>
      <c r="Z132" s="43" t="str">
        <f>"osdisk-"&amp;VmSpecs[[#This Row],[VM Name]]</f>
        <v>osdisk-vmpfbpf2oid12</v>
      </c>
      <c r="AA132" s="47" t="s">
        <v>66</v>
      </c>
      <c r="AB132" s="73">
        <v>8</v>
      </c>
      <c r="AC132" s="74" t="s">
        <v>65</v>
      </c>
      <c r="AD132" s="75" t="str">
        <f>"disk-"&amp;VmSpecs[[#This Row],[VM Name]]&amp;"-001"</f>
        <v>disk-vmpfbpf2oid12-001</v>
      </c>
      <c r="AE132" s="73">
        <v>32</v>
      </c>
      <c r="AF132" s="74" t="s">
        <v>65</v>
      </c>
      <c r="AG132" s="43" t="str">
        <f>"disk-"&amp;VmSpecs[[#This Row],[VM Name]]&amp;"-002"</f>
        <v>disk-vmpfbpf2oid12-002</v>
      </c>
      <c r="AH132" s="59"/>
      <c r="AI132" s="42"/>
      <c r="AJ132" s="42"/>
      <c r="AK132" s="42"/>
      <c r="AL132" s="42" t="str">
        <f>MID(VmSpecs[[#This Row],[VM Name]],3,9)</f>
        <v>pfbpf2oid</v>
      </c>
      <c r="AM132" s="42" t="str" cm="1">
        <f t="array" ref="AM132">_xlfn.TEXTJOIN(CHAR(10), TRUE, IF(NfsExports[FMO Single VM IP]=VmSpecs[[#This Row],[IP]],NfsExports[FMO Export Summary],""))</f>
        <v>/apps/pcehr 30GB</v>
      </c>
      <c r="AN132" s="43" t="str" cm="1">
        <f t="array" ref="AN13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32" s="42"/>
      <c r="AP132" s="42" t="str">
        <f>VmSpecs[[#This Row],[Description]]</f>
        <v>OID N12</v>
      </c>
      <c r="AQ132" s="43"/>
      <c r="AR132" s="43"/>
      <c r="AS132" s="43"/>
      <c r="AT132" s="43"/>
      <c r="AU132" s="43"/>
      <c r="AV132" s="42"/>
      <c r="AW132" s="42"/>
      <c r="AX132" s="42"/>
      <c r="AY132" s="42"/>
      <c r="AZ132" s="42"/>
      <c r="BA132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N12"
Application Service: "OID"
Lifecycle: "PFB"</v>
      </c>
      <c r="BB132" s="78" t="s">
        <v>365</v>
      </c>
      <c r="BC132" s="42" t="str">
        <f>VLOOKUP(VmSpecs[[#This Row],[Original Hostname (CMO)]],'SSOT Data'!A:AJ,36,FALSE)</f>
        <v>OID N12</v>
      </c>
      <c r="BD132" s="126">
        <f>VLOOKUP(VmSpecs[[#This Row],[Original Hostname (CMO)]],'SSOT Data'!A:AQ,43,FALSE)</f>
        <v>2</v>
      </c>
    </row>
    <row r="133" spans="1:56" ht="29" x14ac:dyDescent="0.35">
      <c r="A133" s="42"/>
      <c r="B133" s="42" t="str">
        <f>_xlfn.XLOOKUP(VmSpecs[[#This Row],[Subnet]],NetworkReference[Subnet],NetworkReference[Subscription])</f>
        <v>NINP-PERF2</v>
      </c>
      <c r="C133" s="43" t="str">
        <f>_xlfn.XLOOKUP(VmSpecs[[#This Row],[Subnet]],NetworkReference[Subnet],NetworkReference[Virtual Network Resource Group])</f>
        <v>rg-pf2-network-aue-001</v>
      </c>
      <c r="D133" s="43" t="str">
        <f>_xlfn.XLOOKUP(VmSpecs[[#This Row],[Subnet]],NetworkReference[Subnet],NetworkReference[Virtual Network])</f>
        <v>vnet-pf2-workload-aue-001</v>
      </c>
      <c r="E133" s="132" t="s">
        <v>59</v>
      </c>
      <c r="F133" s="43" t="str">
        <f>_xlfn.XLOOKUP(VmSpecs[[#This Row],[Subnet]],NetworkReference[Subnet],NetworkReference[Virtual Network Peering])</f>
        <v>vnet-ninp-conn-pnp-hub-aue</v>
      </c>
      <c r="G133" s="43" t="str">
        <f>_xlfn.XLOOKUP(VmSpecs[[#This Row],[Subnet]],NetworkReference[Subnet],NetworkReference[Route Table])</f>
        <v>rt-sn-pfb-aue-pf2-app</v>
      </c>
      <c r="H133" s="43" t="str">
        <f>LOWER(VLOOKUP(VmSpecs[[#This Row],[Original Hostname (CMO)]],'SSOT Data'!A:K,10,FALSE))</f>
        <v>oid</v>
      </c>
      <c r="I13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33" s="44" t="s">
        <v>141</v>
      </c>
      <c r="K133" s="43" t="str">
        <f>_xlfn.CONCAT("vm",MID(VmSpecs[[#This Row],[Subnet]],4,3),VLOOKUP(VmSpecs[[#This Row],[Subscription]],NetworkReference[#All],2,FALSE),VmSpecs[[#This Row],[Service]],VmSpecs[[#This Row],[VM iteration (nn)]])</f>
        <v>vmpfbpf2oid13</v>
      </c>
      <c r="L133" s="45" t="s">
        <v>61</v>
      </c>
      <c r="M133" s="43" t="str">
        <f>VmSpecs[[#This Row],[VM Name]]&amp;".ninp.myhealthrecord.gov.au"</f>
        <v>vmpfbpf2oid13.ninp.myhealthrecord.gov.au</v>
      </c>
      <c r="N133" s="42" t="str">
        <f t="shared" si="2"/>
        <v>nic-001-vmpfbpf2oid13</v>
      </c>
      <c r="O133" s="94" t="s">
        <v>366</v>
      </c>
      <c r="P133" s="93" t="s">
        <v>63</v>
      </c>
      <c r="Q133" s="42" t="str">
        <f>VLOOKUP(VmSpecs[[#This Row],[Original Hostname (CMO)]],'SSOT Data'!A:E,5,FALSE)</f>
        <v>OEL7.9</v>
      </c>
      <c r="R133" s="83"/>
      <c r="S133" s="42" t="str">
        <f>_xlfn.CONCAT("avail-",LEFT(VmSpecs[[#This Row],[VM Name]],LEN(VmSpecs[[#This Row],[VM Name]])-2))</f>
        <v>avail-vmpfbpf2oid</v>
      </c>
      <c r="T133" s="42" t="str">
        <f>_xlfn.CONCAT("asg-",LEFT(VmSpecs[[#This Row],[VM Name]],LEN(VmSpecs[[#This Row],[VM Name]])-2))</f>
        <v>asg-vmpfbpf2oid</v>
      </c>
      <c r="U133" s="42" t="str">
        <f>_xlfn.CONCAT("nsg-",VmSpecs[[#This Row],[Subnet]])</f>
        <v>nsg-sn-pfb-aue-pf2-app</v>
      </c>
      <c r="V133" s="42"/>
      <c r="W133" s="43" t="str">
        <f>VLOOKUP(VmSpecs[[#This Row],[Original Hostname (CMO)]],'SSOT Data'!A:AX,50,FALSE)</f>
        <v>Standard_D4s_v4</v>
      </c>
      <c r="X133" s="43">
        <v>64</v>
      </c>
      <c r="Y133" s="43" t="s">
        <v>65</v>
      </c>
      <c r="Z133" s="43" t="str">
        <f>"osdisk-"&amp;VmSpecs[[#This Row],[VM Name]]</f>
        <v>osdisk-vmpfbpf2oid13</v>
      </c>
      <c r="AA133" s="47" t="s">
        <v>66</v>
      </c>
      <c r="AB133" s="73">
        <v>8</v>
      </c>
      <c r="AC133" s="74" t="s">
        <v>65</v>
      </c>
      <c r="AD133" s="75" t="str">
        <f>"disk-"&amp;VmSpecs[[#This Row],[VM Name]]&amp;"-001"</f>
        <v>disk-vmpfbpf2oid13-001</v>
      </c>
      <c r="AE133" s="73">
        <v>32</v>
      </c>
      <c r="AF133" s="74" t="s">
        <v>65</v>
      </c>
      <c r="AG133" s="43" t="str">
        <f>"disk-"&amp;VmSpecs[[#This Row],[VM Name]]&amp;"-002"</f>
        <v>disk-vmpfbpf2oid13-002</v>
      </c>
      <c r="AH133" s="59"/>
      <c r="AI133" s="42"/>
      <c r="AJ133" s="42"/>
      <c r="AK133" s="42"/>
      <c r="AL133" s="42" t="str">
        <f>MID(VmSpecs[[#This Row],[VM Name]],3,9)</f>
        <v>pfbpf2oid</v>
      </c>
      <c r="AM133" s="42" t="str" cm="1">
        <f t="array" ref="AM133">_xlfn.TEXTJOIN(CHAR(10), TRUE, IF(NfsExports[FMO Single VM IP]=VmSpecs[[#This Row],[IP]],NfsExports[FMO Export Summary],""))</f>
        <v>/apps/pcehr 30GB</v>
      </c>
      <c r="AN133" s="43" t="str" cm="1">
        <f t="array" ref="AN13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33" s="42"/>
      <c r="AP133" s="42" t="str">
        <f>VmSpecs[[#This Row],[Description]]</f>
        <v>OID N13</v>
      </c>
      <c r="AQ133" s="43"/>
      <c r="AR133" s="43"/>
      <c r="AS133" s="43"/>
      <c r="AT133" s="43"/>
      <c r="AU133" s="43"/>
      <c r="AV133" s="42"/>
      <c r="AW133" s="42"/>
      <c r="AX133" s="42"/>
      <c r="AY133" s="42"/>
      <c r="AZ133" s="42"/>
      <c r="BA133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N13"
Application Service: "OID"
Lifecycle: "PFB"</v>
      </c>
      <c r="BB133" s="78" t="s">
        <v>367</v>
      </c>
      <c r="BC133" s="42" t="str">
        <f>VLOOKUP(VmSpecs[[#This Row],[Original Hostname (CMO)]],'SSOT Data'!A:AJ,36,FALSE)</f>
        <v>OID N13</v>
      </c>
      <c r="BD133" s="126">
        <f>VLOOKUP(VmSpecs[[#This Row],[Original Hostname (CMO)]],'SSOT Data'!A:AQ,43,FALSE)</f>
        <v>2</v>
      </c>
    </row>
    <row r="134" spans="1:56" ht="29" x14ac:dyDescent="0.35">
      <c r="A134" s="42"/>
      <c r="B134" s="42" t="str">
        <f>_xlfn.XLOOKUP(VmSpecs[[#This Row],[Subnet]],NetworkReference[Subnet],NetworkReference[Subscription])</f>
        <v>NINP-PERF2</v>
      </c>
      <c r="C134" s="43" t="str">
        <f>_xlfn.XLOOKUP(VmSpecs[[#This Row],[Subnet]],NetworkReference[Subnet],NetworkReference[Virtual Network Resource Group])</f>
        <v>rg-pf2-network-aue-001</v>
      </c>
      <c r="D134" s="43" t="str">
        <f>_xlfn.XLOOKUP(VmSpecs[[#This Row],[Subnet]],NetworkReference[Subnet],NetworkReference[Virtual Network])</f>
        <v>vnet-pf2-workload-aue-001</v>
      </c>
      <c r="E134" s="132" t="s">
        <v>59</v>
      </c>
      <c r="F134" s="43" t="str">
        <f>_xlfn.XLOOKUP(VmSpecs[[#This Row],[Subnet]],NetworkReference[Subnet],NetworkReference[Virtual Network Peering])</f>
        <v>vnet-ninp-conn-pnp-hub-aue</v>
      </c>
      <c r="G134" s="43" t="str">
        <f>_xlfn.XLOOKUP(VmSpecs[[#This Row],[Subnet]],NetworkReference[Subnet],NetworkReference[Route Table])</f>
        <v>rt-sn-pfb-aue-pf2-app</v>
      </c>
      <c r="H134" s="43" t="str">
        <f>LOWER(VLOOKUP(VmSpecs[[#This Row],[Original Hostname (CMO)]],'SSOT Data'!A:K,10,FALSE))</f>
        <v>oid</v>
      </c>
      <c r="I13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34" s="44" t="s">
        <v>144</v>
      </c>
      <c r="K134" s="43" t="str">
        <f>_xlfn.CONCAT("vm",MID(VmSpecs[[#This Row],[Subnet]],4,3),VLOOKUP(VmSpecs[[#This Row],[Subscription]],NetworkReference[#All],2,FALSE),VmSpecs[[#This Row],[Service]],VmSpecs[[#This Row],[VM iteration (nn)]])</f>
        <v>vmpfbpf2oid14</v>
      </c>
      <c r="L134" s="45" t="s">
        <v>61</v>
      </c>
      <c r="M134" s="43" t="str">
        <f>VmSpecs[[#This Row],[VM Name]]&amp;".ninp.myhealthrecord.gov.au"</f>
        <v>vmpfbpf2oid14.ninp.myhealthrecord.gov.au</v>
      </c>
      <c r="N134" s="42" t="str">
        <f t="shared" si="2"/>
        <v>nic-001-vmpfbpf2oid14</v>
      </c>
      <c r="O134" s="94" t="s">
        <v>368</v>
      </c>
      <c r="P134" s="93" t="s">
        <v>63</v>
      </c>
      <c r="Q134" s="42" t="str">
        <f>VLOOKUP(VmSpecs[[#This Row],[Original Hostname (CMO)]],'SSOT Data'!A:E,5,FALSE)</f>
        <v>OEL7.9</v>
      </c>
      <c r="R134" s="83"/>
      <c r="S134" s="42" t="str">
        <f>_xlfn.CONCAT("avail-",LEFT(VmSpecs[[#This Row],[VM Name]],LEN(VmSpecs[[#This Row],[VM Name]])-2))</f>
        <v>avail-vmpfbpf2oid</v>
      </c>
      <c r="T134" s="42" t="str">
        <f>_xlfn.CONCAT("asg-",LEFT(VmSpecs[[#This Row],[VM Name]],LEN(VmSpecs[[#This Row],[VM Name]])-2))</f>
        <v>asg-vmpfbpf2oid</v>
      </c>
      <c r="U134" s="42" t="str">
        <f>_xlfn.CONCAT("nsg-",VmSpecs[[#This Row],[Subnet]])</f>
        <v>nsg-sn-pfb-aue-pf2-app</v>
      </c>
      <c r="V134" s="42"/>
      <c r="W134" s="43" t="str">
        <f>VLOOKUP(VmSpecs[[#This Row],[Original Hostname (CMO)]],'SSOT Data'!A:AX,50,FALSE)</f>
        <v>Standard_D4s_v4</v>
      </c>
      <c r="X134" s="43">
        <v>64</v>
      </c>
      <c r="Y134" s="43" t="s">
        <v>65</v>
      </c>
      <c r="Z134" s="43" t="str">
        <f>"osdisk-"&amp;VmSpecs[[#This Row],[VM Name]]</f>
        <v>osdisk-vmpfbpf2oid14</v>
      </c>
      <c r="AA134" s="47" t="s">
        <v>66</v>
      </c>
      <c r="AB134" s="73">
        <v>8</v>
      </c>
      <c r="AC134" s="74" t="s">
        <v>65</v>
      </c>
      <c r="AD134" s="75" t="str">
        <f>"disk-"&amp;VmSpecs[[#This Row],[VM Name]]&amp;"-001"</f>
        <v>disk-vmpfbpf2oid14-001</v>
      </c>
      <c r="AE134" s="73">
        <v>32</v>
      </c>
      <c r="AF134" s="74" t="s">
        <v>65</v>
      </c>
      <c r="AG134" s="43" t="str">
        <f>"disk-"&amp;VmSpecs[[#This Row],[VM Name]]&amp;"-002"</f>
        <v>disk-vmpfbpf2oid14-002</v>
      </c>
      <c r="AH134" s="59"/>
      <c r="AI134" s="42"/>
      <c r="AJ134" s="42"/>
      <c r="AK134" s="42"/>
      <c r="AL134" s="42" t="str">
        <f>MID(VmSpecs[[#This Row],[VM Name]],3,9)</f>
        <v>pfbpf2oid</v>
      </c>
      <c r="AM134" s="42" t="str" cm="1">
        <f t="array" ref="AM134">_xlfn.TEXTJOIN(CHAR(10), TRUE, IF(NfsExports[FMO Single VM IP]=VmSpecs[[#This Row],[IP]],NfsExports[FMO Export Summary],""))</f>
        <v>/apps/pcehr 30GB</v>
      </c>
      <c r="AN134" s="43" t="str" cm="1">
        <f t="array" ref="AN13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34" s="42"/>
      <c r="AP134" s="42" t="str">
        <f>VmSpecs[[#This Row],[Description]]</f>
        <v>OID N14</v>
      </c>
      <c r="AQ134" s="43"/>
      <c r="AR134" s="43"/>
      <c r="AS134" s="43"/>
      <c r="AT134" s="43"/>
      <c r="AU134" s="43"/>
      <c r="AV134" s="42"/>
      <c r="AW134" s="42"/>
      <c r="AX134" s="42"/>
      <c r="AY134" s="42"/>
      <c r="AZ134" s="42"/>
      <c r="BA134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N14"
Application Service: "OID"
Lifecycle: "PFB"</v>
      </c>
      <c r="BB134" s="78" t="s">
        <v>369</v>
      </c>
      <c r="BC134" s="42" t="str">
        <f>VLOOKUP(VmSpecs[[#This Row],[Original Hostname (CMO)]],'SSOT Data'!A:AJ,36,FALSE)</f>
        <v>OID N14</v>
      </c>
      <c r="BD134" s="126">
        <f>VLOOKUP(VmSpecs[[#This Row],[Original Hostname (CMO)]],'SSOT Data'!A:AQ,43,FALSE)</f>
        <v>2</v>
      </c>
    </row>
    <row r="135" spans="1:56" ht="29" x14ac:dyDescent="0.35">
      <c r="A135" s="42"/>
      <c r="B135" s="42" t="str">
        <f>_xlfn.XLOOKUP(VmSpecs[[#This Row],[Subnet]],NetworkReference[Subnet],NetworkReference[Subscription])</f>
        <v>NINP-PERF2</v>
      </c>
      <c r="C135" s="43" t="str">
        <f>_xlfn.XLOOKUP(VmSpecs[[#This Row],[Subnet]],NetworkReference[Subnet],NetworkReference[Virtual Network Resource Group])</f>
        <v>rg-pf2-network-aue-001</v>
      </c>
      <c r="D135" s="43" t="str">
        <f>_xlfn.XLOOKUP(VmSpecs[[#This Row],[Subnet]],NetworkReference[Subnet],NetworkReference[Virtual Network])</f>
        <v>vnet-pf2-workload-aue-001</v>
      </c>
      <c r="E135" s="132" t="s">
        <v>59</v>
      </c>
      <c r="F135" s="43" t="str">
        <f>_xlfn.XLOOKUP(VmSpecs[[#This Row],[Subnet]],NetworkReference[Subnet],NetworkReference[Virtual Network Peering])</f>
        <v>vnet-ninp-conn-pnp-hub-aue</v>
      </c>
      <c r="G135" s="43" t="str">
        <f>_xlfn.XLOOKUP(VmSpecs[[#This Row],[Subnet]],NetworkReference[Subnet],NetworkReference[Route Table])</f>
        <v>rt-sn-pfb-aue-pf2-app</v>
      </c>
      <c r="H135" s="43" t="str">
        <f>LOWER(VLOOKUP(VmSpecs[[#This Row],[Original Hostname (CMO)]],'SSOT Data'!A:K,10,FALSE))</f>
        <v>oid</v>
      </c>
      <c r="I13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35" s="44" t="s">
        <v>147</v>
      </c>
      <c r="K135" s="43" t="str">
        <f>_xlfn.CONCAT("vm",MID(VmSpecs[[#This Row],[Subnet]],4,3),VLOOKUP(VmSpecs[[#This Row],[Subscription]],NetworkReference[#All],2,FALSE),VmSpecs[[#This Row],[Service]],VmSpecs[[#This Row],[VM iteration (nn)]])</f>
        <v>vmpfbpf2oid15</v>
      </c>
      <c r="L135" s="45" t="s">
        <v>61</v>
      </c>
      <c r="M135" s="43" t="str">
        <f>VmSpecs[[#This Row],[VM Name]]&amp;".ninp.myhealthrecord.gov.au"</f>
        <v>vmpfbpf2oid15.ninp.myhealthrecord.gov.au</v>
      </c>
      <c r="N135" s="42" t="str">
        <f t="shared" si="2"/>
        <v>nic-001-vmpfbpf2oid15</v>
      </c>
      <c r="O135" s="94" t="s">
        <v>370</v>
      </c>
      <c r="P135" s="93" t="s">
        <v>63</v>
      </c>
      <c r="Q135" s="42" t="str">
        <f>VLOOKUP(VmSpecs[[#This Row],[Original Hostname (CMO)]],'SSOT Data'!A:E,5,FALSE)</f>
        <v>OEL7.9</v>
      </c>
      <c r="R135" s="83"/>
      <c r="S135" s="42" t="str">
        <f>_xlfn.CONCAT("avail-",LEFT(VmSpecs[[#This Row],[VM Name]],LEN(VmSpecs[[#This Row],[VM Name]])-2))</f>
        <v>avail-vmpfbpf2oid</v>
      </c>
      <c r="T135" s="42" t="str">
        <f>_xlfn.CONCAT("asg-",LEFT(VmSpecs[[#This Row],[VM Name]],LEN(VmSpecs[[#This Row],[VM Name]])-2))</f>
        <v>asg-vmpfbpf2oid</v>
      </c>
      <c r="U135" s="42" t="str">
        <f>_xlfn.CONCAT("nsg-",VmSpecs[[#This Row],[Subnet]])</f>
        <v>nsg-sn-pfb-aue-pf2-app</v>
      </c>
      <c r="V135" s="42"/>
      <c r="W135" s="43" t="str">
        <f>VLOOKUP(VmSpecs[[#This Row],[Original Hostname (CMO)]],'SSOT Data'!A:AX,50,FALSE)</f>
        <v>Standard_D4s_v4</v>
      </c>
      <c r="X135" s="43">
        <v>64</v>
      </c>
      <c r="Y135" s="43" t="s">
        <v>65</v>
      </c>
      <c r="Z135" s="43" t="str">
        <f>"osdisk-"&amp;VmSpecs[[#This Row],[VM Name]]</f>
        <v>osdisk-vmpfbpf2oid15</v>
      </c>
      <c r="AA135" s="47" t="s">
        <v>66</v>
      </c>
      <c r="AB135" s="73">
        <v>8</v>
      </c>
      <c r="AC135" s="74" t="s">
        <v>65</v>
      </c>
      <c r="AD135" s="75" t="str">
        <f>"disk-"&amp;VmSpecs[[#This Row],[VM Name]]&amp;"-001"</f>
        <v>disk-vmpfbpf2oid15-001</v>
      </c>
      <c r="AE135" s="73">
        <v>32</v>
      </c>
      <c r="AF135" s="74" t="s">
        <v>65</v>
      </c>
      <c r="AG135" s="43" t="str">
        <f>"disk-"&amp;VmSpecs[[#This Row],[VM Name]]&amp;"-002"</f>
        <v>disk-vmpfbpf2oid15-002</v>
      </c>
      <c r="AH135" s="59"/>
      <c r="AI135" s="42"/>
      <c r="AJ135" s="42"/>
      <c r="AK135" s="42"/>
      <c r="AL135" s="42" t="str">
        <f>MID(VmSpecs[[#This Row],[VM Name]],3,9)</f>
        <v>pfbpf2oid</v>
      </c>
      <c r="AM135" s="42" t="str" cm="1">
        <f t="array" ref="AM135">_xlfn.TEXTJOIN(CHAR(10), TRUE, IF(NfsExports[FMO Single VM IP]=VmSpecs[[#This Row],[IP]],NfsExports[FMO Export Summary],""))</f>
        <v>/apps/pcehr 30GB</v>
      </c>
      <c r="AN135" s="43" t="str" cm="1">
        <f t="array" ref="AN13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35" s="42"/>
      <c r="AP135" s="42" t="str">
        <f>VmSpecs[[#This Row],[Description]]</f>
        <v>OID N15</v>
      </c>
      <c r="AQ135" s="43"/>
      <c r="AR135" s="43"/>
      <c r="AS135" s="43"/>
      <c r="AT135" s="43"/>
      <c r="AU135" s="43"/>
      <c r="AV135" s="42"/>
      <c r="AW135" s="42"/>
      <c r="AX135" s="42"/>
      <c r="AY135" s="42"/>
      <c r="AZ135" s="42"/>
      <c r="BA135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N15"
Application Service: "OID"
Lifecycle: "PFB"</v>
      </c>
      <c r="BB135" s="78" t="s">
        <v>371</v>
      </c>
      <c r="BC135" s="42" t="str">
        <f>VLOOKUP(VmSpecs[[#This Row],[Original Hostname (CMO)]],'SSOT Data'!A:AJ,36,FALSE)</f>
        <v>OID N15</v>
      </c>
      <c r="BD135" s="126">
        <f>VLOOKUP(VmSpecs[[#This Row],[Original Hostname (CMO)]],'SSOT Data'!A:AQ,43,FALSE)</f>
        <v>2</v>
      </c>
    </row>
    <row r="136" spans="1:56" ht="29" x14ac:dyDescent="0.35">
      <c r="A136" s="42"/>
      <c r="B136" s="42" t="str">
        <f>_xlfn.XLOOKUP(VmSpecs[[#This Row],[Subnet]],NetworkReference[Subnet],NetworkReference[Subscription])</f>
        <v>NINP-PERF2</v>
      </c>
      <c r="C136" s="43" t="str">
        <f>_xlfn.XLOOKUP(VmSpecs[[#This Row],[Subnet]],NetworkReference[Subnet],NetworkReference[Virtual Network Resource Group])</f>
        <v>rg-pf2-network-aue-001</v>
      </c>
      <c r="D136" s="43" t="str">
        <f>_xlfn.XLOOKUP(VmSpecs[[#This Row],[Subnet]],NetworkReference[Subnet],NetworkReference[Virtual Network])</f>
        <v>vnet-pf2-workload-aue-001</v>
      </c>
      <c r="E136" s="132" t="s">
        <v>59</v>
      </c>
      <c r="F136" s="43" t="str">
        <f>_xlfn.XLOOKUP(VmSpecs[[#This Row],[Subnet]],NetworkReference[Subnet],NetworkReference[Virtual Network Peering])</f>
        <v>vnet-ninp-conn-pnp-hub-aue</v>
      </c>
      <c r="G136" s="43" t="str">
        <f>_xlfn.XLOOKUP(VmSpecs[[#This Row],[Subnet]],NetworkReference[Subnet],NetworkReference[Route Table])</f>
        <v>rt-sn-pfb-aue-pf2-app</v>
      </c>
      <c r="H136" s="43" t="str">
        <f>LOWER(VLOOKUP(VmSpecs[[#This Row],[Original Hostname (CMO)]],'SSOT Data'!A:K,10,FALSE))</f>
        <v>oid</v>
      </c>
      <c r="I13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36" s="44" t="s">
        <v>150</v>
      </c>
      <c r="K136" s="43" t="str">
        <f>_xlfn.CONCAT("vm",MID(VmSpecs[[#This Row],[Subnet]],4,3),VLOOKUP(VmSpecs[[#This Row],[Subscription]],NetworkReference[#All],2,FALSE),VmSpecs[[#This Row],[Service]],VmSpecs[[#This Row],[VM iteration (nn)]])</f>
        <v>vmpfbpf2oid16</v>
      </c>
      <c r="L136" s="45" t="s">
        <v>61</v>
      </c>
      <c r="M136" s="43" t="str">
        <f>VmSpecs[[#This Row],[VM Name]]&amp;".ninp.myhealthrecord.gov.au"</f>
        <v>vmpfbpf2oid16.ninp.myhealthrecord.gov.au</v>
      </c>
      <c r="N136" s="42" t="str">
        <f t="shared" si="2"/>
        <v>nic-001-vmpfbpf2oid16</v>
      </c>
      <c r="O136" s="94" t="s">
        <v>372</v>
      </c>
      <c r="P136" s="93" t="s">
        <v>63</v>
      </c>
      <c r="Q136" s="42" t="str">
        <f>VLOOKUP(VmSpecs[[#This Row],[Original Hostname (CMO)]],'SSOT Data'!A:E,5,FALSE)</f>
        <v>OEL7.9</v>
      </c>
      <c r="R136" s="83"/>
      <c r="S136" s="42" t="str">
        <f>_xlfn.CONCAT("avail-",LEFT(VmSpecs[[#This Row],[VM Name]],LEN(VmSpecs[[#This Row],[VM Name]])-2))</f>
        <v>avail-vmpfbpf2oid</v>
      </c>
      <c r="T136" s="42" t="str">
        <f>_xlfn.CONCAT("asg-",LEFT(VmSpecs[[#This Row],[VM Name]],LEN(VmSpecs[[#This Row],[VM Name]])-2))</f>
        <v>asg-vmpfbpf2oid</v>
      </c>
      <c r="U136" s="42" t="str">
        <f>_xlfn.CONCAT("nsg-",VmSpecs[[#This Row],[Subnet]])</f>
        <v>nsg-sn-pfb-aue-pf2-app</v>
      </c>
      <c r="V136" s="42"/>
      <c r="W136" s="43" t="str">
        <f>VLOOKUP(VmSpecs[[#This Row],[Original Hostname (CMO)]],'SSOT Data'!A:AX,50,FALSE)</f>
        <v>Standard_D4s_v4</v>
      </c>
      <c r="X136" s="43">
        <v>64</v>
      </c>
      <c r="Y136" s="43" t="s">
        <v>65</v>
      </c>
      <c r="Z136" s="43" t="str">
        <f>"osdisk-"&amp;VmSpecs[[#This Row],[VM Name]]</f>
        <v>osdisk-vmpfbpf2oid16</v>
      </c>
      <c r="AA136" s="47" t="s">
        <v>66</v>
      </c>
      <c r="AB136" s="73">
        <v>8</v>
      </c>
      <c r="AC136" s="74" t="s">
        <v>65</v>
      </c>
      <c r="AD136" s="75" t="str">
        <f>"disk-"&amp;VmSpecs[[#This Row],[VM Name]]&amp;"-001"</f>
        <v>disk-vmpfbpf2oid16-001</v>
      </c>
      <c r="AE136" s="73">
        <v>32</v>
      </c>
      <c r="AF136" s="74" t="s">
        <v>65</v>
      </c>
      <c r="AG136" s="43" t="str">
        <f>"disk-"&amp;VmSpecs[[#This Row],[VM Name]]&amp;"-002"</f>
        <v>disk-vmpfbpf2oid16-002</v>
      </c>
      <c r="AH136" s="59"/>
      <c r="AI136" s="42"/>
      <c r="AJ136" s="42"/>
      <c r="AK136" s="42"/>
      <c r="AL136" s="42" t="str">
        <f>MID(VmSpecs[[#This Row],[VM Name]],3,9)</f>
        <v>pfbpf2oid</v>
      </c>
      <c r="AM136" s="42" t="str" cm="1">
        <f t="array" ref="AM136">_xlfn.TEXTJOIN(CHAR(10), TRUE, IF(NfsExports[FMO Single VM IP]=VmSpecs[[#This Row],[IP]],NfsExports[FMO Export Summary],""))</f>
        <v>/apps/pcehr 30GB</v>
      </c>
      <c r="AN136" s="43" t="str" cm="1">
        <f t="array" ref="AN13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36" s="42"/>
      <c r="AP136" s="42" t="str">
        <f>VmSpecs[[#This Row],[Description]]</f>
        <v>OID N16</v>
      </c>
      <c r="AQ136" s="43"/>
      <c r="AR136" s="43"/>
      <c r="AS136" s="43"/>
      <c r="AT136" s="43"/>
      <c r="AU136" s="43"/>
      <c r="AV136" s="42"/>
      <c r="AW136" s="42"/>
      <c r="AX136" s="42"/>
      <c r="AY136" s="42"/>
      <c r="AZ136" s="42"/>
      <c r="BA136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N16"
Application Service: "OID"
Lifecycle: "PFB"</v>
      </c>
      <c r="BB136" s="78" t="s">
        <v>373</v>
      </c>
      <c r="BC136" s="42" t="str">
        <f>VLOOKUP(VmSpecs[[#This Row],[Original Hostname (CMO)]],'SSOT Data'!A:AJ,36,FALSE)</f>
        <v>OID N16</v>
      </c>
      <c r="BD136" s="126">
        <f>VLOOKUP(VmSpecs[[#This Row],[Original Hostname (CMO)]],'SSOT Data'!A:AQ,43,FALSE)</f>
        <v>2</v>
      </c>
    </row>
    <row r="137" spans="1:56" ht="29" x14ac:dyDescent="0.35">
      <c r="A137" s="42"/>
      <c r="B137" s="42" t="str">
        <f>_xlfn.XLOOKUP(VmSpecs[[#This Row],[Subnet]],NetworkReference[Subnet],NetworkReference[Subscription])</f>
        <v>NINP-PERF2</v>
      </c>
      <c r="C137" s="43" t="str">
        <f>_xlfn.XLOOKUP(VmSpecs[[#This Row],[Subnet]],NetworkReference[Subnet],NetworkReference[Virtual Network Resource Group])</f>
        <v>rg-pf2-network-aue-001</v>
      </c>
      <c r="D137" s="43" t="str">
        <f>_xlfn.XLOOKUP(VmSpecs[[#This Row],[Subnet]],NetworkReference[Subnet],NetworkReference[Virtual Network])</f>
        <v>vnet-pf2-workload-aue-001</v>
      </c>
      <c r="E137" s="132" t="s">
        <v>59</v>
      </c>
      <c r="F137" s="43" t="str">
        <f>_xlfn.XLOOKUP(VmSpecs[[#This Row],[Subnet]],NetworkReference[Subnet],NetworkReference[Virtual Network Peering])</f>
        <v>vnet-ninp-conn-pnp-hub-aue</v>
      </c>
      <c r="G137" s="43" t="str">
        <f>_xlfn.XLOOKUP(VmSpecs[[#This Row],[Subnet]],NetworkReference[Subnet],NetworkReference[Route Table])</f>
        <v>rt-sn-pfb-aue-pf2-app</v>
      </c>
      <c r="H137" s="43" t="str">
        <f>LOWER(VLOOKUP(VmSpecs[[#This Row],[Original Hostname (CMO)]],'SSOT Data'!A:K,10,FALSE))</f>
        <v>oid</v>
      </c>
      <c r="I13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37" s="44" t="s">
        <v>153</v>
      </c>
      <c r="K137" s="43" t="str">
        <f>_xlfn.CONCAT("vm",MID(VmSpecs[[#This Row],[Subnet]],4,3),VLOOKUP(VmSpecs[[#This Row],[Subscription]],NetworkReference[#All],2,FALSE),VmSpecs[[#This Row],[Service]],VmSpecs[[#This Row],[VM iteration (nn)]])</f>
        <v>vmpfbpf2oid17</v>
      </c>
      <c r="L137" s="45" t="s">
        <v>61</v>
      </c>
      <c r="M137" s="43" t="str">
        <f>VmSpecs[[#This Row],[VM Name]]&amp;".ninp.myhealthrecord.gov.au"</f>
        <v>vmpfbpf2oid17.ninp.myhealthrecord.gov.au</v>
      </c>
      <c r="N137" s="42" t="str">
        <f t="shared" si="2"/>
        <v>nic-001-vmpfbpf2oid17</v>
      </c>
      <c r="O137" s="94" t="s">
        <v>374</v>
      </c>
      <c r="P137" s="93" t="s">
        <v>63</v>
      </c>
      <c r="Q137" s="42" t="str">
        <f>VLOOKUP(VmSpecs[[#This Row],[Original Hostname (CMO)]],'SSOT Data'!A:E,5,FALSE)</f>
        <v>OEL7.9</v>
      </c>
      <c r="R137" s="83"/>
      <c r="S137" s="42" t="str">
        <f>_xlfn.CONCAT("avail-",LEFT(VmSpecs[[#This Row],[VM Name]],LEN(VmSpecs[[#This Row],[VM Name]])-2))</f>
        <v>avail-vmpfbpf2oid</v>
      </c>
      <c r="T137" s="42" t="str">
        <f>_xlfn.CONCAT("asg-",LEFT(VmSpecs[[#This Row],[VM Name]],LEN(VmSpecs[[#This Row],[VM Name]])-2))</f>
        <v>asg-vmpfbpf2oid</v>
      </c>
      <c r="U137" s="42" t="str">
        <f>_xlfn.CONCAT("nsg-",VmSpecs[[#This Row],[Subnet]])</f>
        <v>nsg-sn-pfb-aue-pf2-app</v>
      </c>
      <c r="V137" s="42"/>
      <c r="W137" s="43" t="str">
        <f>VLOOKUP(VmSpecs[[#This Row],[Original Hostname (CMO)]],'SSOT Data'!A:AX,50,FALSE)</f>
        <v>Standard_D4s_v4</v>
      </c>
      <c r="X137" s="43">
        <v>64</v>
      </c>
      <c r="Y137" s="43" t="s">
        <v>65</v>
      </c>
      <c r="Z137" s="43" t="str">
        <f>"osdisk-"&amp;VmSpecs[[#This Row],[VM Name]]</f>
        <v>osdisk-vmpfbpf2oid17</v>
      </c>
      <c r="AA137" s="47" t="s">
        <v>66</v>
      </c>
      <c r="AB137" s="73">
        <v>8</v>
      </c>
      <c r="AC137" s="74" t="s">
        <v>65</v>
      </c>
      <c r="AD137" s="75" t="str">
        <f>"disk-"&amp;VmSpecs[[#This Row],[VM Name]]&amp;"-001"</f>
        <v>disk-vmpfbpf2oid17-001</v>
      </c>
      <c r="AE137" s="73">
        <v>32</v>
      </c>
      <c r="AF137" s="74" t="s">
        <v>65</v>
      </c>
      <c r="AG137" s="43" t="str">
        <f>"disk-"&amp;VmSpecs[[#This Row],[VM Name]]&amp;"-002"</f>
        <v>disk-vmpfbpf2oid17-002</v>
      </c>
      <c r="AH137" s="59"/>
      <c r="AI137" s="42"/>
      <c r="AJ137" s="42"/>
      <c r="AK137" s="42"/>
      <c r="AL137" s="42" t="str">
        <f>MID(VmSpecs[[#This Row],[VM Name]],3,9)</f>
        <v>pfbpf2oid</v>
      </c>
      <c r="AM137" s="42" t="str" cm="1">
        <f t="array" ref="AM137">_xlfn.TEXTJOIN(CHAR(10), TRUE, IF(NfsExports[FMO Single VM IP]=VmSpecs[[#This Row],[IP]],NfsExports[FMO Export Summary],""))</f>
        <v>/apps/pcehr 30GB</v>
      </c>
      <c r="AN137" s="43" t="str" cm="1">
        <f t="array" ref="AN13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37" s="42"/>
      <c r="AP137" s="42" t="str">
        <f>VmSpecs[[#This Row],[Description]]</f>
        <v>OID N17</v>
      </c>
      <c r="AQ137" s="43"/>
      <c r="AR137" s="43"/>
      <c r="AS137" s="43"/>
      <c r="AT137" s="43"/>
      <c r="AU137" s="43"/>
      <c r="AV137" s="42"/>
      <c r="AW137" s="42"/>
      <c r="AX137" s="42"/>
      <c r="AY137" s="42"/>
      <c r="AZ137" s="42"/>
      <c r="BA137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N17"
Application Service: "OID"
Lifecycle: "PFB"</v>
      </c>
      <c r="BB137" s="78" t="s">
        <v>375</v>
      </c>
      <c r="BC137" s="42" t="str">
        <f>VLOOKUP(VmSpecs[[#This Row],[Original Hostname (CMO)]],'SSOT Data'!A:AJ,36,FALSE)</f>
        <v>OID N17</v>
      </c>
      <c r="BD137" s="126">
        <f>VLOOKUP(VmSpecs[[#This Row],[Original Hostname (CMO)]],'SSOT Data'!A:AQ,43,FALSE)</f>
        <v>2</v>
      </c>
    </row>
    <row r="138" spans="1:56" ht="29" x14ac:dyDescent="0.35">
      <c r="A138" s="42"/>
      <c r="B138" s="42" t="str">
        <f>_xlfn.XLOOKUP(VmSpecs[[#This Row],[Subnet]],NetworkReference[Subnet],NetworkReference[Subscription])</f>
        <v>NINP-PERF2</v>
      </c>
      <c r="C138" s="43" t="str">
        <f>_xlfn.XLOOKUP(VmSpecs[[#This Row],[Subnet]],NetworkReference[Subnet],NetworkReference[Virtual Network Resource Group])</f>
        <v>rg-pf2-network-aue-001</v>
      </c>
      <c r="D138" s="43" t="str">
        <f>_xlfn.XLOOKUP(VmSpecs[[#This Row],[Subnet]],NetworkReference[Subnet],NetworkReference[Virtual Network])</f>
        <v>vnet-pf2-workload-aue-001</v>
      </c>
      <c r="E138" s="132" t="s">
        <v>59</v>
      </c>
      <c r="F138" s="43" t="str">
        <f>_xlfn.XLOOKUP(VmSpecs[[#This Row],[Subnet]],NetworkReference[Subnet],NetworkReference[Virtual Network Peering])</f>
        <v>vnet-ninp-conn-pnp-hub-aue</v>
      </c>
      <c r="G138" s="43" t="str">
        <f>_xlfn.XLOOKUP(VmSpecs[[#This Row],[Subnet]],NetworkReference[Subnet],NetworkReference[Route Table])</f>
        <v>rt-sn-pfb-aue-pf2-app</v>
      </c>
      <c r="H138" s="43" t="str">
        <f>LOWER(VLOOKUP(VmSpecs[[#This Row],[Original Hostname (CMO)]],'SSOT Data'!A:K,10,FALSE))</f>
        <v>oid</v>
      </c>
      <c r="I13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38" s="44" t="s">
        <v>156</v>
      </c>
      <c r="K138" s="43" t="str">
        <f>_xlfn.CONCAT("vm",MID(VmSpecs[[#This Row],[Subnet]],4,3),VLOOKUP(VmSpecs[[#This Row],[Subscription]],NetworkReference[#All],2,FALSE),VmSpecs[[#This Row],[Service]],VmSpecs[[#This Row],[VM iteration (nn)]])</f>
        <v>vmpfbpf2oid18</v>
      </c>
      <c r="L138" s="45" t="s">
        <v>61</v>
      </c>
      <c r="M138" s="43" t="str">
        <f>VmSpecs[[#This Row],[VM Name]]&amp;".ninp.myhealthrecord.gov.au"</f>
        <v>vmpfbpf2oid18.ninp.myhealthrecord.gov.au</v>
      </c>
      <c r="N138" s="42" t="str">
        <f t="shared" si="2"/>
        <v>nic-001-vmpfbpf2oid18</v>
      </c>
      <c r="O138" s="94" t="s">
        <v>376</v>
      </c>
      <c r="P138" s="93" t="s">
        <v>63</v>
      </c>
      <c r="Q138" s="42" t="str">
        <f>VLOOKUP(VmSpecs[[#This Row],[Original Hostname (CMO)]],'SSOT Data'!A:E,5,FALSE)</f>
        <v>OEL7.9</v>
      </c>
      <c r="R138" s="83"/>
      <c r="S138" s="42" t="str">
        <f>_xlfn.CONCAT("avail-",LEFT(VmSpecs[[#This Row],[VM Name]],LEN(VmSpecs[[#This Row],[VM Name]])-2))</f>
        <v>avail-vmpfbpf2oid</v>
      </c>
      <c r="T138" s="42" t="str">
        <f>_xlfn.CONCAT("asg-",LEFT(VmSpecs[[#This Row],[VM Name]],LEN(VmSpecs[[#This Row],[VM Name]])-2))</f>
        <v>asg-vmpfbpf2oid</v>
      </c>
      <c r="U138" s="42" t="str">
        <f>_xlfn.CONCAT("nsg-",VmSpecs[[#This Row],[Subnet]])</f>
        <v>nsg-sn-pfb-aue-pf2-app</v>
      </c>
      <c r="V138" s="42"/>
      <c r="W138" s="43" t="str">
        <f>VLOOKUP(VmSpecs[[#This Row],[Original Hostname (CMO)]],'SSOT Data'!A:AX,50,FALSE)</f>
        <v>Standard_D4s_v4</v>
      </c>
      <c r="X138" s="43">
        <v>64</v>
      </c>
      <c r="Y138" s="43" t="s">
        <v>65</v>
      </c>
      <c r="Z138" s="43" t="str">
        <f>"osdisk-"&amp;VmSpecs[[#This Row],[VM Name]]</f>
        <v>osdisk-vmpfbpf2oid18</v>
      </c>
      <c r="AA138" s="47" t="s">
        <v>66</v>
      </c>
      <c r="AB138" s="73">
        <v>8</v>
      </c>
      <c r="AC138" s="74" t="s">
        <v>65</v>
      </c>
      <c r="AD138" s="75" t="str">
        <f>"disk-"&amp;VmSpecs[[#This Row],[VM Name]]&amp;"-001"</f>
        <v>disk-vmpfbpf2oid18-001</v>
      </c>
      <c r="AE138" s="73">
        <v>32</v>
      </c>
      <c r="AF138" s="74" t="s">
        <v>65</v>
      </c>
      <c r="AG138" s="43" t="str">
        <f>"disk-"&amp;VmSpecs[[#This Row],[VM Name]]&amp;"-002"</f>
        <v>disk-vmpfbpf2oid18-002</v>
      </c>
      <c r="AH138" s="59"/>
      <c r="AI138" s="42"/>
      <c r="AJ138" s="42"/>
      <c r="AK138" s="42"/>
      <c r="AL138" s="42" t="str">
        <f>MID(VmSpecs[[#This Row],[VM Name]],3,9)</f>
        <v>pfbpf2oid</v>
      </c>
      <c r="AM138" s="42" t="str" cm="1">
        <f t="array" ref="AM138">_xlfn.TEXTJOIN(CHAR(10), TRUE, IF(NfsExports[FMO Single VM IP]=VmSpecs[[#This Row],[IP]],NfsExports[FMO Export Summary],""))</f>
        <v>/apps/pcehr 30GB</v>
      </c>
      <c r="AN138" s="43" t="str" cm="1">
        <f t="array" ref="AN13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38" s="42"/>
      <c r="AP138" s="42" t="str">
        <f>VmSpecs[[#This Row],[Description]]</f>
        <v>OID N18</v>
      </c>
      <c r="AQ138" s="43"/>
      <c r="AR138" s="43"/>
      <c r="AS138" s="43"/>
      <c r="AT138" s="43"/>
      <c r="AU138" s="43"/>
      <c r="AV138" s="42"/>
      <c r="AW138" s="42"/>
      <c r="AX138" s="42"/>
      <c r="AY138" s="42"/>
      <c r="AZ138" s="42"/>
      <c r="BA138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N18"
Application Service: "OID"
Lifecycle: "PFB"</v>
      </c>
      <c r="BB138" s="78" t="s">
        <v>377</v>
      </c>
      <c r="BC138" s="42" t="str">
        <f>VLOOKUP(VmSpecs[[#This Row],[Original Hostname (CMO)]],'SSOT Data'!A:AJ,36,FALSE)</f>
        <v>OID N18</v>
      </c>
      <c r="BD138" s="126">
        <f>VLOOKUP(VmSpecs[[#This Row],[Original Hostname (CMO)]],'SSOT Data'!A:AQ,43,FALSE)</f>
        <v>2</v>
      </c>
    </row>
    <row r="139" spans="1:56" ht="29" x14ac:dyDescent="0.35">
      <c r="A139" s="42"/>
      <c r="B139" s="42" t="str">
        <f>_xlfn.XLOOKUP(VmSpecs[[#This Row],[Subnet]],NetworkReference[Subnet],NetworkReference[Subscription])</f>
        <v>NINP-PERF2</v>
      </c>
      <c r="C139" s="43" t="str">
        <f>_xlfn.XLOOKUP(VmSpecs[[#This Row],[Subnet]],NetworkReference[Subnet],NetworkReference[Virtual Network Resource Group])</f>
        <v>rg-pf2-network-aue-001</v>
      </c>
      <c r="D139" s="43" t="str">
        <f>_xlfn.XLOOKUP(VmSpecs[[#This Row],[Subnet]],NetworkReference[Subnet],NetworkReference[Virtual Network])</f>
        <v>vnet-pf2-workload-aue-001</v>
      </c>
      <c r="E139" s="132" t="s">
        <v>59</v>
      </c>
      <c r="F139" s="43" t="str">
        <f>_xlfn.XLOOKUP(VmSpecs[[#This Row],[Subnet]],NetworkReference[Subnet],NetworkReference[Virtual Network Peering])</f>
        <v>vnet-ninp-conn-pnp-hub-aue</v>
      </c>
      <c r="G139" s="43" t="str">
        <f>_xlfn.XLOOKUP(VmSpecs[[#This Row],[Subnet]],NetworkReference[Subnet],NetworkReference[Route Table])</f>
        <v>rt-sn-pfb-aue-pf2-app</v>
      </c>
      <c r="H139" s="43" t="str">
        <f>LOWER(VLOOKUP(VmSpecs[[#This Row],[Original Hostname (CMO)]],'SSOT Data'!A:K,10,FALSE))</f>
        <v>oid</v>
      </c>
      <c r="I13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39" s="44" t="s">
        <v>159</v>
      </c>
      <c r="K139" s="43" t="str">
        <f>_xlfn.CONCAT("vm",MID(VmSpecs[[#This Row],[Subnet]],4,3),VLOOKUP(VmSpecs[[#This Row],[Subscription]],NetworkReference[#All],2,FALSE),VmSpecs[[#This Row],[Service]],VmSpecs[[#This Row],[VM iteration (nn)]])</f>
        <v>vmpfbpf2oid19</v>
      </c>
      <c r="L139" s="45" t="s">
        <v>61</v>
      </c>
      <c r="M139" s="43" t="str">
        <f>VmSpecs[[#This Row],[VM Name]]&amp;".ninp.myhealthrecord.gov.au"</f>
        <v>vmpfbpf2oid19.ninp.myhealthrecord.gov.au</v>
      </c>
      <c r="N139" s="42" t="str">
        <f t="shared" si="2"/>
        <v>nic-001-vmpfbpf2oid19</v>
      </c>
      <c r="O139" s="94" t="s">
        <v>378</v>
      </c>
      <c r="P139" s="93" t="s">
        <v>63</v>
      </c>
      <c r="Q139" s="42" t="str">
        <f>VLOOKUP(VmSpecs[[#This Row],[Original Hostname (CMO)]],'SSOT Data'!A:E,5,FALSE)</f>
        <v>OEL7.9</v>
      </c>
      <c r="R139" s="83"/>
      <c r="S139" s="42" t="str">
        <f>_xlfn.CONCAT("avail-",LEFT(VmSpecs[[#This Row],[VM Name]],LEN(VmSpecs[[#This Row],[VM Name]])-2))</f>
        <v>avail-vmpfbpf2oid</v>
      </c>
      <c r="T139" s="42" t="str">
        <f>_xlfn.CONCAT("asg-",LEFT(VmSpecs[[#This Row],[VM Name]],LEN(VmSpecs[[#This Row],[VM Name]])-2))</f>
        <v>asg-vmpfbpf2oid</v>
      </c>
      <c r="U139" s="42" t="str">
        <f>_xlfn.CONCAT("nsg-",VmSpecs[[#This Row],[Subnet]])</f>
        <v>nsg-sn-pfb-aue-pf2-app</v>
      </c>
      <c r="V139" s="42"/>
      <c r="W139" s="43" t="str">
        <f>VLOOKUP(VmSpecs[[#This Row],[Original Hostname (CMO)]],'SSOT Data'!A:AX,50,FALSE)</f>
        <v>Standard_D4s_v4</v>
      </c>
      <c r="X139" s="43">
        <v>64</v>
      </c>
      <c r="Y139" s="43" t="s">
        <v>65</v>
      </c>
      <c r="Z139" s="43" t="str">
        <f>"osdisk-"&amp;VmSpecs[[#This Row],[VM Name]]</f>
        <v>osdisk-vmpfbpf2oid19</v>
      </c>
      <c r="AA139" s="47" t="s">
        <v>66</v>
      </c>
      <c r="AB139" s="73">
        <v>8</v>
      </c>
      <c r="AC139" s="74" t="s">
        <v>65</v>
      </c>
      <c r="AD139" s="75" t="str">
        <f>"disk-"&amp;VmSpecs[[#This Row],[VM Name]]&amp;"-001"</f>
        <v>disk-vmpfbpf2oid19-001</v>
      </c>
      <c r="AE139" s="73">
        <v>32</v>
      </c>
      <c r="AF139" s="74" t="s">
        <v>65</v>
      </c>
      <c r="AG139" s="43" t="str">
        <f>"disk-"&amp;VmSpecs[[#This Row],[VM Name]]&amp;"-002"</f>
        <v>disk-vmpfbpf2oid19-002</v>
      </c>
      <c r="AH139" s="59"/>
      <c r="AI139" s="42"/>
      <c r="AJ139" s="42"/>
      <c r="AK139" s="42"/>
      <c r="AL139" s="42" t="str">
        <f>MID(VmSpecs[[#This Row],[VM Name]],3,9)</f>
        <v>pfbpf2oid</v>
      </c>
      <c r="AM139" s="42" t="str" cm="1">
        <f t="array" ref="AM139">_xlfn.TEXTJOIN(CHAR(10), TRUE, IF(NfsExports[FMO Single VM IP]=VmSpecs[[#This Row],[IP]],NfsExports[FMO Export Summary],""))</f>
        <v>/apps/pcehr 30GB</v>
      </c>
      <c r="AN139" s="43" t="str" cm="1">
        <f t="array" ref="AN13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39" s="42"/>
      <c r="AP139" s="42" t="str">
        <f>VmSpecs[[#This Row],[Description]]</f>
        <v>OID N19</v>
      </c>
      <c r="AQ139" s="43"/>
      <c r="AR139" s="43"/>
      <c r="AS139" s="43"/>
      <c r="AT139" s="43"/>
      <c r="AU139" s="43"/>
      <c r="AV139" s="42"/>
      <c r="AW139" s="42"/>
      <c r="AX139" s="42"/>
      <c r="AY139" s="42"/>
      <c r="AZ139" s="42"/>
      <c r="BA139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N19"
Application Service: "OID"
Lifecycle: "PFB"</v>
      </c>
      <c r="BB139" s="42" t="s">
        <v>379</v>
      </c>
      <c r="BC139" s="83" t="str">
        <f>VLOOKUP(VmSpecs[[#This Row],[Original Hostname (CMO)]],'SSOT Data'!A:AJ,36,FALSE)</f>
        <v>OID N19</v>
      </c>
      <c r="BD139" s="126">
        <f>VLOOKUP(VmSpecs[[#This Row],[Original Hostname (CMO)]],'SSOT Data'!A:AQ,43,FALSE)</f>
        <v>2</v>
      </c>
    </row>
    <row r="140" spans="1:56" ht="43.5" x14ac:dyDescent="0.35">
      <c r="A140" s="42" t="s">
        <v>58</v>
      </c>
      <c r="B140" s="42" t="str">
        <f>_xlfn.XLOOKUP(VmSpecs[[#This Row],[Subnet]],NetworkReference[Subnet],NetworkReference[Subscription])</f>
        <v>NINP-PERF2</v>
      </c>
      <c r="C140" s="43" t="str">
        <f>_xlfn.XLOOKUP(VmSpecs[[#This Row],[Subnet]],NetworkReference[Subnet],NetworkReference[Virtual Network Resource Group])</f>
        <v>rg-pf2-network-aue-001</v>
      </c>
      <c r="D140" s="43" t="str">
        <f>_xlfn.XLOOKUP(VmSpecs[[#This Row],[Subnet]],NetworkReference[Subnet],NetworkReference[Virtual Network])</f>
        <v>vnet-pf2-workload-aue-001</v>
      </c>
      <c r="E140" s="132" t="s">
        <v>59</v>
      </c>
      <c r="F140" s="43" t="str">
        <f>_xlfn.XLOOKUP(VmSpecs[[#This Row],[Subnet]],NetworkReference[Subnet],NetworkReference[Virtual Network Peering])</f>
        <v>vnet-ninp-conn-pnp-hub-aue</v>
      </c>
      <c r="G140" s="43" t="str">
        <f>_xlfn.XLOOKUP(VmSpecs[[#This Row],[Subnet]],NetworkReference[Subnet],NetworkReference[Route Table])</f>
        <v>rt-sn-pfb-aue-pf2-app</v>
      </c>
      <c r="H140" s="43" t="str">
        <f>LOWER(VLOOKUP(VmSpecs[[#This Row],[Original Hostname (CMO)]],'SSOT Data'!A:K,10,FALSE))</f>
        <v>olg</v>
      </c>
      <c r="I14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40" s="44" t="s">
        <v>60</v>
      </c>
      <c r="K140" s="43" t="str">
        <f>_xlfn.CONCAT("vm",MID(VmSpecs[[#This Row],[Subnet]],4,3),VLOOKUP(VmSpecs[[#This Row],[Subscription]],NetworkReference[#All],2,FALSE),VmSpecs[[#This Row],[Service]],VmSpecs[[#This Row],[VM iteration (nn)]])</f>
        <v>vmpfbpf2olg01</v>
      </c>
      <c r="L140" s="45" t="s">
        <v>61</v>
      </c>
      <c r="M140" s="43" t="str">
        <f>VmSpecs[[#This Row],[VM Name]]&amp;".ninp.myhealthrecord.gov.au"</f>
        <v>vmpfbpf2olg01.ninp.myhealthrecord.gov.au</v>
      </c>
      <c r="N140" s="42" t="str">
        <f t="shared" si="2"/>
        <v>nic-001-vmpfbpf2olg01</v>
      </c>
      <c r="O140" s="94" t="s">
        <v>380</v>
      </c>
      <c r="P140" s="93" t="s">
        <v>63</v>
      </c>
      <c r="Q140" s="42" t="str">
        <f>VLOOKUP(VmSpecs[[#This Row],[Original Hostname (CMO)]],'SSOT Data'!A:E,5,FALSE)</f>
        <v>OEL7.9</v>
      </c>
      <c r="R140" s="83"/>
      <c r="S140" s="42" t="str">
        <f>_xlfn.CONCAT("avail-",LEFT(VmSpecs[[#This Row],[VM Name]],LEN(VmSpecs[[#This Row],[VM Name]])-2))</f>
        <v>avail-vmpfbpf2olg</v>
      </c>
      <c r="T140" s="42" t="str">
        <f>_xlfn.CONCAT("asg-",LEFT(VmSpecs[[#This Row],[VM Name]],LEN(VmSpecs[[#This Row],[VM Name]])-2))</f>
        <v>asg-vmpfbpf2olg</v>
      </c>
      <c r="U140" s="42" t="str">
        <f>_xlfn.CONCAT("nsg-",VmSpecs[[#This Row],[Subnet]])</f>
        <v>nsg-sn-pfb-aue-pf2-app</v>
      </c>
      <c r="V140" s="42" t="s">
        <v>64</v>
      </c>
      <c r="W140" s="43" t="str">
        <f>VLOOKUP(VmSpecs[[#This Row],[Original Hostname (CMO)]],'SSOT Data'!A:AX,50,FALSE)</f>
        <v>Standard_D8s_v4</v>
      </c>
      <c r="X140" s="43">
        <v>64</v>
      </c>
      <c r="Y140" s="43" t="s">
        <v>65</v>
      </c>
      <c r="Z140" s="43" t="str">
        <f>"osdisk-"&amp;VmSpecs[[#This Row],[VM Name]]</f>
        <v>osdisk-vmpfbpf2olg01</v>
      </c>
      <c r="AA140" s="47" t="s">
        <v>66</v>
      </c>
      <c r="AB140" s="73">
        <v>8</v>
      </c>
      <c r="AC140" s="74" t="s">
        <v>65</v>
      </c>
      <c r="AD140" s="75" t="str">
        <f>"disk-"&amp;VmSpecs[[#This Row],[VM Name]]&amp;"-001"</f>
        <v>disk-vmpfbpf2olg01-001</v>
      </c>
      <c r="AE140" s="73">
        <v>32</v>
      </c>
      <c r="AF140" s="74" t="s">
        <v>65</v>
      </c>
      <c r="AG140" s="43" t="str">
        <f>"disk-"&amp;VmSpecs[[#This Row],[VM Name]]&amp;"-002"</f>
        <v>disk-vmpfbpf2olg01-002</v>
      </c>
      <c r="AH140" s="59"/>
      <c r="AI140" s="42"/>
      <c r="AJ140" s="42"/>
      <c r="AK140" s="42"/>
      <c r="AL140" s="42" t="str">
        <f>MID(VmSpecs[[#This Row],[VM Name]],3,9)</f>
        <v>pfbpf2olg</v>
      </c>
      <c r="AM140" s="42" t="str" cm="1">
        <f t="array" ref="AM140">_xlfn.TEXTJOIN(CHAR(10), TRUE, IF(NfsExports[FMO Single VM IP]=VmSpecs[[#This Row],[IP]],NfsExports[FMO Export Summary],""))</f>
        <v>/apps/pcehr 30GB</v>
      </c>
      <c r="AN140" s="43" t="str" cm="1">
        <f t="array" ref="AN14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40" s="42"/>
      <c r="AP140" s="42" t="str">
        <f>VmSpecs[[#This Row],[Description]]</f>
        <v>OSB Log N01</v>
      </c>
      <c r="AQ140" s="43"/>
      <c r="AR140" s="43" t="s">
        <v>64</v>
      </c>
      <c r="AS140" s="43" t="s">
        <v>64</v>
      </c>
      <c r="AT140" s="43" t="s">
        <v>64</v>
      </c>
      <c r="AU140" s="43" t="s">
        <v>64</v>
      </c>
      <c r="AV140" s="42" t="s">
        <v>66</v>
      </c>
      <c r="AW140" s="42" t="s">
        <v>67</v>
      </c>
      <c r="AX140" s="42" t="s">
        <v>68</v>
      </c>
      <c r="AY140" s="42" t="s">
        <v>64</v>
      </c>
      <c r="AZ140" s="42" t="s">
        <v>64</v>
      </c>
      <c r="BA14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N01"
Application Service: "OLG"
Lifecycle: "PFB"</v>
      </c>
      <c r="BB140" s="42" t="s">
        <v>381</v>
      </c>
      <c r="BC140" s="83" t="str">
        <f>VLOOKUP(VmSpecs[[#This Row],[Original Hostname (CMO)]],'SSOT Data'!A:AJ,36,FALSE)</f>
        <v>OSB Log N01</v>
      </c>
      <c r="BD140" s="43"/>
    </row>
    <row r="141" spans="1:56" ht="43.5" x14ac:dyDescent="0.35">
      <c r="A141" s="42" t="s">
        <v>58</v>
      </c>
      <c r="B141" s="42" t="str">
        <f>_xlfn.XLOOKUP(VmSpecs[[#This Row],[Subnet]],NetworkReference[Subnet],NetworkReference[Subscription])</f>
        <v>NINP-PERF2</v>
      </c>
      <c r="C141" s="43" t="str">
        <f>_xlfn.XLOOKUP(VmSpecs[[#This Row],[Subnet]],NetworkReference[Subnet],NetworkReference[Virtual Network Resource Group])</f>
        <v>rg-pf2-network-aue-001</v>
      </c>
      <c r="D141" s="43" t="str">
        <f>_xlfn.XLOOKUP(VmSpecs[[#This Row],[Subnet]],NetworkReference[Subnet],NetworkReference[Virtual Network])</f>
        <v>vnet-pf2-workload-aue-001</v>
      </c>
      <c r="E141" s="132" t="s">
        <v>59</v>
      </c>
      <c r="F141" s="43" t="str">
        <f>_xlfn.XLOOKUP(VmSpecs[[#This Row],[Subnet]],NetworkReference[Subnet],NetworkReference[Virtual Network Peering])</f>
        <v>vnet-ninp-conn-pnp-hub-aue</v>
      </c>
      <c r="G141" s="43" t="str">
        <f>_xlfn.XLOOKUP(VmSpecs[[#This Row],[Subnet]],NetworkReference[Subnet],NetworkReference[Route Table])</f>
        <v>rt-sn-pfb-aue-pf2-app</v>
      </c>
      <c r="H141" s="43" t="str">
        <f>LOWER(VLOOKUP(VmSpecs[[#This Row],[Original Hostname (CMO)]],'SSOT Data'!A:K,10,FALSE))</f>
        <v>olg</v>
      </c>
      <c r="I14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41" s="44" t="s">
        <v>72</v>
      </c>
      <c r="K141" s="43" t="str">
        <f>_xlfn.CONCAT("vm",MID(VmSpecs[[#This Row],[Subnet]],4,3),VLOOKUP(VmSpecs[[#This Row],[Subscription]],NetworkReference[#All],2,FALSE),VmSpecs[[#This Row],[Service]],VmSpecs[[#This Row],[VM iteration (nn)]])</f>
        <v>vmpfbpf2olg02</v>
      </c>
      <c r="L141" s="45" t="s">
        <v>61</v>
      </c>
      <c r="M141" s="43" t="str">
        <f>VmSpecs[[#This Row],[VM Name]]&amp;".ninp.myhealthrecord.gov.au"</f>
        <v>vmpfbpf2olg02.ninp.myhealthrecord.gov.au</v>
      </c>
      <c r="N141" s="42" t="str">
        <f t="shared" si="2"/>
        <v>nic-001-vmpfbpf2olg02</v>
      </c>
      <c r="O141" s="94" t="s">
        <v>382</v>
      </c>
      <c r="P141" s="46" t="s">
        <v>63</v>
      </c>
      <c r="Q141" s="78" t="str">
        <f>VLOOKUP(VmSpecs[[#This Row],[Original Hostname (CMO)]],'SSOT Data'!A:E,5,FALSE)</f>
        <v>OEL7.9</v>
      </c>
      <c r="R141" s="42"/>
      <c r="S141" s="42" t="str">
        <f>_xlfn.CONCAT("avail-",LEFT(VmSpecs[[#This Row],[VM Name]],LEN(VmSpecs[[#This Row],[VM Name]])-2))</f>
        <v>avail-vmpfbpf2olg</v>
      </c>
      <c r="T141" s="42" t="str">
        <f>_xlfn.CONCAT("asg-",LEFT(VmSpecs[[#This Row],[VM Name]],LEN(VmSpecs[[#This Row],[VM Name]])-2))</f>
        <v>asg-vmpfbpf2olg</v>
      </c>
      <c r="U141" s="42" t="str">
        <f>_xlfn.CONCAT("nsg-",VmSpecs[[#This Row],[Subnet]])</f>
        <v>nsg-sn-pfb-aue-pf2-app</v>
      </c>
      <c r="V141" s="42" t="s">
        <v>64</v>
      </c>
      <c r="W141" s="43" t="str">
        <f>VLOOKUP(VmSpecs[[#This Row],[Original Hostname (CMO)]],'SSOT Data'!A:AX,50,FALSE)</f>
        <v>Standard_D8s_v4</v>
      </c>
      <c r="X141" s="43">
        <v>64</v>
      </c>
      <c r="Y141" s="43" t="s">
        <v>65</v>
      </c>
      <c r="Z141" s="43" t="str">
        <f>"osdisk-"&amp;VmSpecs[[#This Row],[VM Name]]</f>
        <v>osdisk-vmpfbpf2olg02</v>
      </c>
      <c r="AA141" s="47" t="s">
        <v>66</v>
      </c>
      <c r="AB141" s="73">
        <v>8</v>
      </c>
      <c r="AC141" s="74" t="s">
        <v>65</v>
      </c>
      <c r="AD141" s="75" t="str">
        <f>"disk-"&amp;VmSpecs[[#This Row],[VM Name]]&amp;"-001"</f>
        <v>disk-vmpfbpf2olg02-001</v>
      </c>
      <c r="AE141" s="73">
        <v>32</v>
      </c>
      <c r="AF141" s="74" t="s">
        <v>65</v>
      </c>
      <c r="AG141" s="43" t="str">
        <f>"disk-"&amp;VmSpecs[[#This Row],[VM Name]]&amp;"-002"</f>
        <v>disk-vmpfbpf2olg02-002</v>
      </c>
      <c r="AH141" s="59"/>
      <c r="AI141" s="42"/>
      <c r="AJ141" s="42"/>
      <c r="AK141" s="42"/>
      <c r="AL141" s="42" t="str">
        <f>MID(VmSpecs[[#This Row],[VM Name]],3,9)</f>
        <v>pfbpf2olg</v>
      </c>
      <c r="AM141" s="42" t="str" cm="1">
        <f t="array" ref="AM141">_xlfn.TEXTJOIN(CHAR(10), TRUE, IF(NfsExports[FMO Single VM IP]=VmSpecs[[#This Row],[IP]],NfsExports[FMO Export Summary],""))</f>
        <v>/apps/pcehr 30GB</v>
      </c>
      <c r="AN141" s="43" t="str" cm="1">
        <f t="array" ref="AN14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41" s="42"/>
      <c r="AP141" s="42" t="str">
        <f>VmSpecs[[#This Row],[Description]]</f>
        <v>OSB Log N02</v>
      </c>
      <c r="AQ141" s="43"/>
      <c r="AR141" s="43" t="s">
        <v>64</v>
      </c>
      <c r="AS141" s="43" t="s">
        <v>64</v>
      </c>
      <c r="AT141" s="43" t="s">
        <v>64</v>
      </c>
      <c r="AU141" s="43" t="s">
        <v>64</v>
      </c>
      <c r="AV141" s="42" t="s">
        <v>66</v>
      </c>
      <c r="AW141" s="42" t="s">
        <v>67</v>
      </c>
      <c r="AX141" s="42" t="s">
        <v>68</v>
      </c>
      <c r="AY141" s="42" t="s">
        <v>64</v>
      </c>
      <c r="AZ141" s="42" t="s">
        <v>64</v>
      </c>
      <c r="BA14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N02"
Application Service: "OLG"
Lifecycle: "PFB"</v>
      </c>
      <c r="BB141" s="42" t="s">
        <v>383</v>
      </c>
      <c r="BC141" s="83" t="str">
        <f>VLOOKUP(VmSpecs[[#This Row],[Original Hostname (CMO)]],'SSOT Data'!A:AJ,36,FALSE)</f>
        <v>OSB Log N02</v>
      </c>
      <c r="BD141" s="43"/>
    </row>
    <row r="142" spans="1:56" ht="43.5" x14ac:dyDescent="0.35">
      <c r="A142" s="42" t="s">
        <v>58</v>
      </c>
      <c r="B142" s="42" t="str">
        <f>_xlfn.XLOOKUP(VmSpecs[[#This Row],[Subnet]],NetworkReference[Subnet],NetworkReference[Subscription])</f>
        <v>NINP-PERF2</v>
      </c>
      <c r="C142" s="43" t="str">
        <f>_xlfn.XLOOKUP(VmSpecs[[#This Row],[Subnet]],NetworkReference[Subnet],NetworkReference[Virtual Network Resource Group])</f>
        <v>rg-pf2-network-aue-001</v>
      </c>
      <c r="D142" s="43" t="str">
        <f>_xlfn.XLOOKUP(VmSpecs[[#This Row],[Subnet]],NetworkReference[Subnet],NetworkReference[Virtual Network])</f>
        <v>vnet-pf2-workload-aue-001</v>
      </c>
      <c r="E142" s="132" t="s">
        <v>59</v>
      </c>
      <c r="F142" s="43" t="str">
        <f>_xlfn.XLOOKUP(VmSpecs[[#This Row],[Subnet]],NetworkReference[Subnet],NetworkReference[Virtual Network Peering])</f>
        <v>vnet-ninp-conn-pnp-hub-aue</v>
      </c>
      <c r="G142" s="43" t="str">
        <f>_xlfn.XLOOKUP(VmSpecs[[#This Row],[Subnet]],NetworkReference[Subnet],NetworkReference[Route Table])</f>
        <v>rt-sn-pfb-aue-pf2-app</v>
      </c>
      <c r="H142" s="43" t="str">
        <f>LOWER(VLOOKUP(VmSpecs[[#This Row],[Original Hostname (CMO)]],'SSOT Data'!A:K,10,FALSE))</f>
        <v>olg</v>
      </c>
      <c r="I14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42" s="44" t="s">
        <v>75</v>
      </c>
      <c r="K142" s="43" t="str">
        <f>_xlfn.CONCAT("vm",MID(VmSpecs[[#This Row],[Subnet]],4,3),VLOOKUP(VmSpecs[[#This Row],[Subscription]],NetworkReference[#All],2,FALSE),VmSpecs[[#This Row],[Service]],VmSpecs[[#This Row],[VM iteration (nn)]])</f>
        <v>vmpfbpf2olg03</v>
      </c>
      <c r="L142" s="45" t="s">
        <v>61</v>
      </c>
      <c r="M142" s="43" t="str">
        <f>VmSpecs[[#This Row],[VM Name]]&amp;".ninp.myhealthrecord.gov.au"</f>
        <v>vmpfbpf2olg03.ninp.myhealthrecord.gov.au</v>
      </c>
      <c r="N142" s="42" t="str">
        <f t="shared" si="2"/>
        <v>nic-001-vmpfbpf2olg03</v>
      </c>
      <c r="O142" s="94" t="s">
        <v>384</v>
      </c>
      <c r="P142" s="46" t="s">
        <v>63</v>
      </c>
      <c r="Q142" s="78" t="str">
        <f>VLOOKUP(VmSpecs[[#This Row],[Original Hostname (CMO)]],'SSOT Data'!A:E,5,FALSE)</f>
        <v>OEL7.9</v>
      </c>
      <c r="R142" s="42"/>
      <c r="S142" s="42" t="str">
        <f>_xlfn.CONCAT("avail-",LEFT(VmSpecs[[#This Row],[VM Name]],LEN(VmSpecs[[#This Row],[VM Name]])-2))</f>
        <v>avail-vmpfbpf2olg</v>
      </c>
      <c r="T142" s="42" t="str">
        <f>_xlfn.CONCAT("asg-",LEFT(VmSpecs[[#This Row],[VM Name]],LEN(VmSpecs[[#This Row],[VM Name]])-2))</f>
        <v>asg-vmpfbpf2olg</v>
      </c>
      <c r="U142" s="42" t="str">
        <f>_xlfn.CONCAT("nsg-",VmSpecs[[#This Row],[Subnet]])</f>
        <v>nsg-sn-pfb-aue-pf2-app</v>
      </c>
      <c r="V142" s="42" t="s">
        <v>64</v>
      </c>
      <c r="W142" s="43" t="str">
        <f>VLOOKUP(VmSpecs[[#This Row],[Original Hostname (CMO)]],'SSOT Data'!A:AX,50,FALSE)</f>
        <v>Standard_D8s_v4</v>
      </c>
      <c r="X142" s="43">
        <v>64</v>
      </c>
      <c r="Y142" s="43" t="s">
        <v>65</v>
      </c>
      <c r="Z142" s="43" t="str">
        <f>"osdisk-"&amp;VmSpecs[[#This Row],[VM Name]]</f>
        <v>osdisk-vmpfbpf2olg03</v>
      </c>
      <c r="AA142" s="47" t="s">
        <v>66</v>
      </c>
      <c r="AB142" s="73">
        <v>8</v>
      </c>
      <c r="AC142" s="74" t="s">
        <v>65</v>
      </c>
      <c r="AD142" s="75" t="str">
        <f>"disk-"&amp;VmSpecs[[#This Row],[VM Name]]&amp;"-001"</f>
        <v>disk-vmpfbpf2olg03-001</v>
      </c>
      <c r="AE142" s="73">
        <v>32</v>
      </c>
      <c r="AF142" s="74" t="s">
        <v>65</v>
      </c>
      <c r="AG142" s="43" t="str">
        <f>"disk-"&amp;VmSpecs[[#This Row],[VM Name]]&amp;"-002"</f>
        <v>disk-vmpfbpf2olg03-002</v>
      </c>
      <c r="AH142" s="59"/>
      <c r="AI142" s="42"/>
      <c r="AJ142" s="42"/>
      <c r="AK142" s="42"/>
      <c r="AL142" s="42" t="str">
        <f>MID(VmSpecs[[#This Row],[VM Name]],3,9)</f>
        <v>pfbpf2olg</v>
      </c>
      <c r="AM142" s="42" t="str" cm="1">
        <f t="array" ref="AM142">_xlfn.TEXTJOIN(CHAR(10), TRUE, IF(NfsExports[FMO Single VM IP]=VmSpecs[[#This Row],[IP]],NfsExports[FMO Export Summary],""))</f>
        <v>/apps/pcehr 30GB</v>
      </c>
      <c r="AN142" s="43" t="str" cm="1">
        <f t="array" ref="AN14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42" s="42"/>
      <c r="AP142" s="42" t="str">
        <f>VmSpecs[[#This Row],[Description]]</f>
        <v>OSB Log N03</v>
      </c>
      <c r="AQ142" s="43"/>
      <c r="AR142" s="43" t="s">
        <v>64</v>
      </c>
      <c r="AS142" s="43" t="s">
        <v>64</v>
      </c>
      <c r="AT142" s="43" t="s">
        <v>64</v>
      </c>
      <c r="AU142" s="43" t="s">
        <v>64</v>
      </c>
      <c r="AV142" s="42" t="s">
        <v>66</v>
      </c>
      <c r="AW142" s="42" t="s">
        <v>67</v>
      </c>
      <c r="AX142" s="42" t="s">
        <v>68</v>
      </c>
      <c r="AY142" s="42" t="s">
        <v>64</v>
      </c>
      <c r="AZ142" s="42" t="s">
        <v>64</v>
      </c>
      <c r="BA14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N03"
Application Service: "OLG"
Lifecycle: "PFB"</v>
      </c>
      <c r="BB142" s="42" t="s">
        <v>385</v>
      </c>
      <c r="BC142" s="83" t="str">
        <f>VLOOKUP(VmSpecs[[#This Row],[Original Hostname (CMO)]],'SSOT Data'!A:AJ,36,FALSE)</f>
        <v>OSB Log N03</v>
      </c>
      <c r="BD142" s="43"/>
    </row>
    <row r="143" spans="1:56" ht="43.5" x14ac:dyDescent="0.35">
      <c r="A143" s="42" t="s">
        <v>58</v>
      </c>
      <c r="B143" s="42" t="str">
        <f>_xlfn.XLOOKUP(VmSpecs[[#This Row],[Subnet]],NetworkReference[Subnet],NetworkReference[Subscription])</f>
        <v>NINP-PERF2</v>
      </c>
      <c r="C143" s="43" t="str">
        <f>_xlfn.XLOOKUP(VmSpecs[[#This Row],[Subnet]],NetworkReference[Subnet],NetworkReference[Virtual Network Resource Group])</f>
        <v>rg-pf2-network-aue-001</v>
      </c>
      <c r="D143" s="43" t="str">
        <f>_xlfn.XLOOKUP(VmSpecs[[#This Row],[Subnet]],NetworkReference[Subnet],NetworkReference[Virtual Network])</f>
        <v>vnet-pf2-workload-aue-001</v>
      </c>
      <c r="E143" s="132" t="s">
        <v>59</v>
      </c>
      <c r="F143" s="43" t="str">
        <f>_xlfn.XLOOKUP(VmSpecs[[#This Row],[Subnet]],NetworkReference[Subnet],NetworkReference[Virtual Network Peering])</f>
        <v>vnet-ninp-conn-pnp-hub-aue</v>
      </c>
      <c r="G143" s="43" t="str">
        <f>_xlfn.XLOOKUP(VmSpecs[[#This Row],[Subnet]],NetworkReference[Subnet],NetworkReference[Route Table])</f>
        <v>rt-sn-pfb-aue-pf2-app</v>
      </c>
      <c r="H143" s="43" t="str">
        <f>LOWER(VLOOKUP(VmSpecs[[#This Row],[Original Hostname (CMO)]],'SSOT Data'!A:K,10,FALSE))</f>
        <v>olg</v>
      </c>
      <c r="I14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43" s="44" t="s">
        <v>78</v>
      </c>
      <c r="K143" s="43" t="str">
        <f>_xlfn.CONCAT("vm",MID(VmSpecs[[#This Row],[Subnet]],4,3),VLOOKUP(VmSpecs[[#This Row],[Subscription]],NetworkReference[#All],2,FALSE),VmSpecs[[#This Row],[Service]],VmSpecs[[#This Row],[VM iteration (nn)]])</f>
        <v>vmpfbpf2olg04</v>
      </c>
      <c r="L143" s="45" t="s">
        <v>61</v>
      </c>
      <c r="M143" s="43" t="str">
        <f>VmSpecs[[#This Row],[VM Name]]&amp;".ninp.myhealthrecord.gov.au"</f>
        <v>vmpfbpf2olg04.ninp.myhealthrecord.gov.au</v>
      </c>
      <c r="N143" s="42" t="str">
        <f t="shared" si="2"/>
        <v>nic-001-vmpfbpf2olg04</v>
      </c>
      <c r="O143" s="94" t="s">
        <v>386</v>
      </c>
      <c r="P143" s="46" t="s">
        <v>63</v>
      </c>
      <c r="Q143" s="78" t="str">
        <f>VLOOKUP(VmSpecs[[#This Row],[Original Hostname (CMO)]],'SSOT Data'!A:E,5,FALSE)</f>
        <v>OEL7.9</v>
      </c>
      <c r="R143" s="42"/>
      <c r="S143" s="42" t="str">
        <f>_xlfn.CONCAT("avail-",LEFT(VmSpecs[[#This Row],[VM Name]],LEN(VmSpecs[[#This Row],[VM Name]])-2))</f>
        <v>avail-vmpfbpf2olg</v>
      </c>
      <c r="T143" s="42" t="str">
        <f>_xlfn.CONCAT("asg-",LEFT(VmSpecs[[#This Row],[VM Name]],LEN(VmSpecs[[#This Row],[VM Name]])-2))</f>
        <v>asg-vmpfbpf2olg</v>
      </c>
      <c r="U143" s="42" t="str">
        <f>_xlfn.CONCAT("nsg-",VmSpecs[[#This Row],[Subnet]])</f>
        <v>nsg-sn-pfb-aue-pf2-app</v>
      </c>
      <c r="V143" s="42" t="s">
        <v>64</v>
      </c>
      <c r="W143" s="43" t="str">
        <f>VLOOKUP(VmSpecs[[#This Row],[Original Hostname (CMO)]],'SSOT Data'!A:AX,50,FALSE)</f>
        <v>Standard_D8s_v4</v>
      </c>
      <c r="X143" s="43">
        <v>64</v>
      </c>
      <c r="Y143" s="43" t="s">
        <v>65</v>
      </c>
      <c r="Z143" s="43" t="str">
        <f>"osdisk-"&amp;VmSpecs[[#This Row],[VM Name]]</f>
        <v>osdisk-vmpfbpf2olg04</v>
      </c>
      <c r="AA143" s="47" t="s">
        <v>66</v>
      </c>
      <c r="AB143" s="73">
        <v>8</v>
      </c>
      <c r="AC143" s="74" t="s">
        <v>65</v>
      </c>
      <c r="AD143" s="75" t="str">
        <f>"disk-"&amp;VmSpecs[[#This Row],[VM Name]]&amp;"-001"</f>
        <v>disk-vmpfbpf2olg04-001</v>
      </c>
      <c r="AE143" s="73">
        <v>32</v>
      </c>
      <c r="AF143" s="74" t="s">
        <v>65</v>
      </c>
      <c r="AG143" s="43" t="str">
        <f>"disk-"&amp;VmSpecs[[#This Row],[VM Name]]&amp;"-002"</f>
        <v>disk-vmpfbpf2olg04-002</v>
      </c>
      <c r="AH143" s="59"/>
      <c r="AI143" s="42"/>
      <c r="AJ143" s="42"/>
      <c r="AK143" s="42"/>
      <c r="AL143" s="42" t="str">
        <f>MID(VmSpecs[[#This Row],[VM Name]],3,9)</f>
        <v>pfbpf2olg</v>
      </c>
      <c r="AM143" s="42" t="str" cm="1">
        <f t="array" ref="AM143">_xlfn.TEXTJOIN(CHAR(10), TRUE, IF(NfsExports[FMO Single VM IP]=VmSpecs[[#This Row],[IP]],NfsExports[FMO Export Summary],""))</f>
        <v>/apps/pcehr 30GB</v>
      </c>
      <c r="AN143" s="43" t="str" cm="1">
        <f t="array" ref="AN14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43" s="42"/>
      <c r="AP143" s="42" t="str">
        <f>VmSpecs[[#This Row],[Description]]</f>
        <v>OSB Log N04</v>
      </c>
      <c r="AQ143" s="43"/>
      <c r="AR143" s="43" t="s">
        <v>64</v>
      </c>
      <c r="AS143" s="43" t="s">
        <v>64</v>
      </c>
      <c r="AT143" s="43" t="s">
        <v>64</v>
      </c>
      <c r="AU143" s="43" t="s">
        <v>64</v>
      </c>
      <c r="AV143" s="42" t="s">
        <v>66</v>
      </c>
      <c r="AW143" s="42" t="s">
        <v>67</v>
      </c>
      <c r="AX143" s="42" t="s">
        <v>68</v>
      </c>
      <c r="AY143" s="42" t="s">
        <v>64</v>
      </c>
      <c r="AZ143" s="42" t="s">
        <v>64</v>
      </c>
      <c r="BA14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N04"
Application Service: "OLG"
Lifecycle: "PFB"</v>
      </c>
      <c r="BB143" s="42" t="s">
        <v>387</v>
      </c>
      <c r="BC143" s="83" t="str">
        <f>VLOOKUP(VmSpecs[[#This Row],[Original Hostname (CMO)]],'SSOT Data'!A:AJ,36,FALSE)</f>
        <v>OSB Log N04</v>
      </c>
      <c r="BD143" s="43"/>
    </row>
    <row r="144" spans="1:56" ht="43.5" x14ac:dyDescent="0.35">
      <c r="A144" s="42" t="s">
        <v>58</v>
      </c>
      <c r="B144" s="42" t="str">
        <f>_xlfn.XLOOKUP(VmSpecs[[#This Row],[Subnet]],NetworkReference[Subnet],NetworkReference[Subscription])</f>
        <v>NINP-PERF2</v>
      </c>
      <c r="C144" s="43" t="str">
        <f>_xlfn.XLOOKUP(VmSpecs[[#This Row],[Subnet]],NetworkReference[Subnet],NetworkReference[Virtual Network Resource Group])</f>
        <v>rg-pf2-network-aue-001</v>
      </c>
      <c r="D144" s="43" t="str">
        <f>_xlfn.XLOOKUP(VmSpecs[[#This Row],[Subnet]],NetworkReference[Subnet],NetworkReference[Virtual Network])</f>
        <v>vnet-pf2-workload-aue-001</v>
      </c>
      <c r="E144" s="132" t="s">
        <v>59</v>
      </c>
      <c r="F144" s="43" t="str">
        <f>_xlfn.XLOOKUP(VmSpecs[[#This Row],[Subnet]],NetworkReference[Subnet],NetworkReference[Virtual Network Peering])</f>
        <v>vnet-ninp-conn-pnp-hub-aue</v>
      </c>
      <c r="G144" s="43" t="str">
        <f>_xlfn.XLOOKUP(VmSpecs[[#This Row],[Subnet]],NetworkReference[Subnet],NetworkReference[Route Table])</f>
        <v>rt-sn-pfb-aue-pf2-app</v>
      </c>
      <c r="H144" s="43" t="str">
        <f>LOWER(VLOOKUP(VmSpecs[[#This Row],[Original Hostname (CMO)]],'SSOT Data'!A:K,10,FALSE))</f>
        <v>olg</v>
      </c>
      <c r="I14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44" s="44" t="s">
        <v>81</v>
      </c>
      <c r="K144" s="43" t="str">
        <f>_xlfn.CONCAT("vm",MID(VmSpecs[[#This Row],[Subnet]],4,3),VLOOKUP(VmSpecs[[#This Row],[Subscription]],NetworkReference[#All],2,FALSE),VmSpecs[[#This Row],[Service]],VmSpecs[[#This Row],[VM iteration (nn)]])</f>
        <v>vmpfbpf2olg05</v>
      </c>
      <c r="L144" s="45" t="s">
        <v>61</v>
      </c>
      <c r="M144" s="43" t="str">
        <f>VmSpecs[[#This Row],[VM Name]]&amp;".ninp.myhealthrecord.gov.au"</f>
        <v>vmpfbpf2olg05.ninp.myhealthrecord.gov.au</v>
      </c>
      <c r="N144" s="42" t="str">
        <f t="shared" si="2"/>
        <v>nic-001-vmpfbpf2olg05</v>
      </c>
      <c r="O144" s="94" t="s">
        <v>388</v>
      </c>
      <c r="P144" s="46" t="s">
        <v>63</v>
      </c>
      <c r="Q144" s="78" t="str">
        <f>VLOOKUP(VmSpecs[[#This Row],[Original Hostname (CMO)]],'SSOT Data'!A:E,5,FALSE)</f>
        <v>OEL7.9</v>
      </c>
      <c r="R144" s="42"/>
      <c r="S144" s="42" t="str">
        <f>_xlfn.CONCAT("avail-",LEFT(VmSpecs[[#This Row],[VM Name]],LEN(VmSpecs[[#This Row],[VM Name]])-2))</f>
        <v>avail-vmpfbpf2olg</v>
      </c>
      <c r="T144" s="42" t="str">
        <f>_xlfn.CONCAT("asg-",LEFT(VmSpecs[[#This Row],[VM Name]],LEN(VmSpecs[[#This Row],[VM Name]])-2))</f>
        <v>asg-vmpfbpf2olg</v>
      </c>
      <c r="U144" s="42" t="str">
        <f>_xlfn.CONCAT("nsg-",VmSpecs[[#This Row],[Subnet]])</f>
        <v>nsg-sn-pfb-aue-pf2-app</v>
      </c>
      <c r="V144" s="42" t="s">
        <v>64</v>
      </c>
      <c r="W144" s="43" t="str">
        <f>VLOOKUP(VmSpecs[[#This Row],[Original Hostname (CMO)]],'SSOT Data'!A:AX,50,FALSE)</f>
        <v>Standard_D8s_v4</v>
      </c>
      <c r="X144" s="43">
        <v>64</v>
      </c>
      <c r="Y144" s="43" t="s">
        <v>65</v>
      </c>
      <c r="Z144" s="43" t="str">
        <f>"osdisk-"&amp;VmSpecs[[#This Row],[VM Name]]</f>
        <v>osdisk-vmpfbpf2olg05</v>
      </c>
      <c r="AA144" s="47" t="s">
        <v>66</v>
      </c>
      <c r="AB144" s="73">
        <v>8</v>
      </c>
      <c r="AC144" s="74" t="s">
        <v>65</v>
      </c>
      <c r="AD144" s="75" t="str">
        <f>"disk-"&amp;VmSpecs[[#This Row],[VM Name]]&amp;"-001"</f>
        <v>disk-vmpfbpf2olg05-001</v>
      </c>
      <c r="AE144" s="73">
        <v>32</v>
      </c>
      <c r="AF144" s="74" t="s">
        <v>65</v>
      </c>
      <c r="AG144" s="43" t="str">
        <f>"disk-"&amp;VmSpecs[[#This Row],[VM Name]]&amp;"-002"</f>
        <v>disk-vmpfbpf2olg05-002</v>
      </c>
      <c r="AH144" s="59"/>
      <c r="AI144" s="42"/>
      <c r="AJ144" s="42"/>
      <c r="AK144" s="42"/>
      <c r="AL144" s="42" t="str">
        <f>MID(VmSpecs[[#This Row],[VM Name]],3,9)</f>
        <v>pfbpf2olg</v>
      </c>
      <c r="AM144" s="42" t="str" cm="1">
        <f t="array" ref="AM144">_xlfn.TEXTJOIN(CHAR(10), TRUE, IF(NfsExports[FMO Single VM IP]=VmSpecs[[#This Row],[IP]],NfsExports[FMO Export Summary],""))</f>
        <v>/apps/pcehr 30GB</v>
      </c>
      <c r="AN144" s="43" t="str" cm="1">
        <f t="array" ref="AN14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44" s="42"/>
      <c r="AP144" s="42" t="str">
        <f>VmSpecs[[#This Row],[Description]]</f>
        <v>OSB Log N05</v>
      </c>
      <c r="AQ144" s="43"/>
      <c r="AR144" s="43" t="s">
        <v>64</v>
      </c>
      <c r="AS144" s="43" t="s">
        <v>64</v>
      </c>
      <c r="AT144" s="43" t="s">
        <v>64</v>
      </c>
      <c r="AU144" s="43" t="s">
        <v>64</v>
      </c>
      <c r="AV144" s="42" t="s">
        <v>66</v>
      </c>
      <c r="AW144" s="42" t="s">
        <v>67</v>
      </c>
      <c r="AX144" s="42" t="s">
        <v>68</v>
      </c>
      <c r="AY144" s="42" t="s">
        <v>64</v>
      </c>
      <c r="AZ144" s="42" t="s">
        <v>64</v>
      </c>
      <c r="BA14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N05"
Application Service: "OLG"
Lifecycle: "PFB"</v>
      </c>
      <c r="BB144" s="42" t="s">
        <v>389</v>
      </c>
      <c r="BC144" s="83" t="str">
        <f>VLOOKUP(VmSpecs[[#This Row],[Original Hostname (CMO)]],'SSOT Data'!A:AJ,36,FALSE)</f>
        <v>OSB Log N05</v>
      </c>
      <c r="BD144" s="43"/>
    </row>
    <row r="145" spans="1:56" ht="43.5" x14ac:dyDescent="0.35">
      <c r="A145" s="42" t="s">
        <v>58</v>
      </c>
      <c r="B145" s="42" t="str">
        <f>_xlfn.XLOOKUP(VmSpecs[[#This Row],[Subnet]],NetworkReference[Subnet],NetworkReference[Subscription])</f>
        <v>NINP-PERF2</v>
      </c>
      <c r="C145" s="43" t="str">
        <f>_xlfn.XLOOKUP(VmSpecs[[#This Row],[Subnet]],NetworkReference[Subnet],NetworkReference[Virtual Network Resource Group])</f>
        <v>rg-pf2-network-aue-001</v>
      </c>
      <c r="D145" s="43" t="str">
        <f>_xlfn.XLOOKUP(VmSpecs[[#This Row],[Subnet]],NetworkReference[Subnet],NetworkReference[Virtual Network])</f>
        <v>vnet-pf2-workload-aue-001</v>
      </c>
      <c r="E145" s="132" t="s">
        <v>59</v>
      </c>
      <c r="F145" s="43" t="str">
        <f>_xlfn.XLOOKUP(VmSpecs[[#This Row],[Subnet]],NetworkReference[Subnet],NetworkReference[Virtual Network Peering])</f>
        <v>vnet-ninp-conn-pnp-hub-aue</v>
      </c>
      <c r="G145" s="43" t="str">
        <f>_xlfn.XLOOKUP(VmSpecs[[#This Row],[Subnet]],NetworkReference[Subnet],NetworkReference[Route Table])</f>
        <v>rt-sn-pfb-aue-pf2-app</v>
      </c>
      <c r="H145" s="43" t="str">
        <f>LOWER(VLOOKUP(VmSpecs[[#This Row],[Original Hostname (CMO)]],'SSOT Data'!A:K,10,FALSE))</f>
        <v>olg</v>
      </c>
      <c r="I14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45" s="44" t="s">
        <v>84</v>
      </c>
      <c r="K145" s="43" t="str">
        <f>_xlfn.CONCAT("vm",MID(VmSpecs[[#This Row],[Subnet]],4,3),VLOOKUP(VmSpecs[[#This Row],[Subscription]],NetworkReference[#All],2,FALSE),VmSpecs[[#This Row],[Service]],VmSpecs[[#This Row],[VM iteration (nn)]])</f>
        <v>vmpfbpf2olg06</v>
      </c>
      <c r="L145" s="45" t="s">
        <v>61</v>
      </c>
      <c r="M145" s="43" t="str">
        <f>VmSpecs[[#This Row],[VM Name]]&amp;".ninp.myhealthrecord.gov.au"</f>
        <v>vmpfbpf2olg06.ninp.myhealthrecord.gov.au</v>
      </c>
      <c r="N145" s="42" t="str">
        <f t="shared" si="2"/>
        <v>nic-001-vmpfbpf2olg06</v>
      </c>
      <c r="O145" s="94" t="s">
        <v>390</v>
      </c>
      <c r="P145" s="46" t="s">
        <v>63</v>
      </c>
      <c r="Q145" s="78" t="str">
        <f>VLOOKUP(VmSpecs[[#This Row],[Original Hostname (CMO)]],'SSOT Data'!A:E,5,FALSE)</f>
        <v>OEL7.9</v>
      </c>
      <c r="R145" s="42"/>
      <c r="S145" s="42" t="str">
        <f>_xlfn.CONCAT("avail-",LEFT(VmSpecs[[#This Row],[VM Name]],LEN(VmSpecs[[#This Row],[VM Name]])-2))</f>
        <v>avail-vmpfbpf2olg</v>
      </c>
      <c r="T145" s="42" t="str">
        <f>_xlfn.CONCAT("asg-",LEFT(VmSpecs[[#This Row],[VM Name]],LEN(VmSpecs[[#This Row],[VM Name]])-2))</f>
        <v>asg-vmpfbpf2olg</v>
      </c>
      <c r="U145" s="42" t="str">
        <f>_xlfn.CONCAT("nsg-",VmSpecs[[#This Row],[Subnet]])</f>
        <v>nsg-sn-pfb-aue-pf2-app</v>
      </c>
      <c r="V145" s="42" t="s">
        <v>64</v>
      </c>
      <c r="W145" s="43" t="str">
        <f>VLOOKUP(VmSpecs[[#This Row],[Original Hostname (CMO)]],'SSOT Data'!A:AX,50,FALSE)</f>
        <v>Standard_D8s_v4</v>
      </c>
      <c r="X145" s="43">
        <v>64</v>
      </c>
      <c r="Y145" s="43" t="s">
        <v>65</v>
      </c>
      <c r="Z145" s="43" t="str">
        <f>"osdisk-"&amp;VmSpecs[[#This Row],[VM Name]]</f>
        <v>osdisk-vmpfbpf2olg06</v>
      </c>
      <c r="AA145" s="47" t="s">
        <v>66</v>
      </c>
      <c r="AB145" s="73">
        <v>8</v>
      </c>
      <c r="AC145" s="74" t="s">
        <v>65</v>
      </c>
      <c r="AD145" s="75" t="str">
        <f>"disk-"&amp;VmSpecs[[#This Row],[VM Name]]&amp;"-001"</f>
        <v>disk-vmpfbpf2olg06-001</v>
      </c>
      <c r="AE145" s="73">
        <v>32</v>
      </c>
      <c r="AF145" s="74" t="s">
        <v>65</v>
      </c>
      <c r="AG145" s="43" t="str">
        <f>"disk-"&amp;VmSpecs[[#This Row],[VM Name]]&amp;"-002"</f>
        <v>disk-vmpfbpf2olg06-002</v>
      </c>
      <c r="AH145" s="59"/>
      <c r="AI145" s="42"/>
      <c r="AJ145" s="42"/>
      <c r="AK145" s="42"/>
      <c r="AL145" s="42" t="str">
        <f>MID(VmSpecs[[#This Row],[VM Name]],3,9)</f>
        <v>pfbpf2olg</v>
      </c>
      <c r="AM145" s="42" t="str" cm="1">
        <f t="array" ref="AM145">_xlfn.TEXTJOIN(CHAR(10), TRUE, IF(NfsExports[FMO Single VM IP]=VmSpecs[[#This Row],[IP]],NfsExports[FMO Export Summary],""))</f>
        <v>/apps/pcehr 30GB</v>
      </c>
      <c r="AN145" s="43" t="str" cm="1">
        <f t="array" ref="AN14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45" s="42"/>
      <c r="AP145" s="42" t="str">
        <f>VmSpecs[[#This Row],[Description]]</f>
        <v>OSB Log N06</v>
      </c>
      <c r="AQ145" s="43"/>
      <c r="AR145" s="43" t="s">
        <v>64</v>
      </c>
      <c r="AS145" s="43" t="s">
        <v>64</v>
      </c>
      <c r="AT145" s="43" t="s">
        <v>64</v>
      </c>
      <c r="AU145" s="43" t="s">
        <v>64</v>
      </c>
      <c r="AV145" s="42" t="s">
        <v>66</v>
      </c>
      <c r="AW145" s="42" t="s">
        <v>67</v>
      </c>
      <c r="AX145" s="42" t="s">
        <v>68</v>
      </c>
      <c r="AY145" s="42" t="s">
        <v>64</v>
      </c>
      <c r="AZ145" s="42" t="s">
        <v>64</v>
      </c>
      <c r="BA14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N06"
Application Service: "OLG"
Lifecycle: "PFB"</v>
      </c>
      <c r="BB145" s="78" t="s">
        <v>391</v>
      </c>
      <c r="BC145" s="42" t="str">
        <f>VLOOKUP(VmSpecs[[#This Row],[Original Hostname (CMO)]],'SSOT Data'!A:AJ,36,FALSE)</f>
        <v>OSB Log N06</v>
      </c>
      <c r="BD145" s="43"/>
    </row>
    <row r="146" spans="1:56" ht="43.5" x14ac:dyDescent="0.35">
      <c r="A146" s="42" t="s">
        <v>58</v>
      </c>
      <c r="B146" s="42" t="str">
        <f>_xlfn.XLOOKUP(VmSpecs[[#This Row],[Subnet]],NetworkReference[Subnet],NetworkReference[Subscription])</f>
        <v>NINP-PERF2</v>
      </c>
      <c r="C146" s="43" t="str">
        <f>_xlfn.XLOOKUP(VmSpecs[[#This Row],[Subnet]],NetworkReference[Subnet],NetworkReference[Virtual Network Resource Group])</f>
        <v>rg-pf2-network-aue-001</v>
      </c>
      <c r="D146" s="43" t="str">
        <f>_xlfn.XLOOKUP(VmSpecs[[#This Row],[Subnet]],NetworkReference[Subnet],NetworkReference[Virtual Network])</f>
        <v>vnet-pf2-workload-aue-001</v>
      </c>
      <c r="E146" s="132" t="s">
        <v>59</v>
      </c>
      <c r="F146" s="43" t="str">
        <f>_xlfn.XLOOKUP(VmSpecs[[#This Row],[Subnet]],NetworkReference[Subnet],NetworkReference[Virtual Network Peering])</f>
        <v>vnet-ninp-conn-pnp-hub-aue</v>
      </c>
      <c r="G146" s="43" t="str">
        <f>_xlfn.XLOOKUP(VmSpecs[[#This Row],[Subnet]],NetworkReference[Subnet],NetworkReference[Route Table])</f>
        <v>rt-sn-pfb-aue-pf2-app</v>
      </c>
      <c r="H146" s="43" t="str">
        <f>LOWER(VLOOKUP(VmSpecs[[#This Row],[Original Hostname (CMO)]],'SSOT Data'!A:K,10,FALSE))</f>
        <v>olg</v>
      </c>
      <c r="I14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46" s="44" t="s">
        <v>99</v>
      </c>
      <c r="K146" s="43" t="str">
        <f>_xlfn.CONCAT("vm",MID(VmSpecs[[#This Row],[Subnet]],4,3),VLOOKUP(VmSpecs[[#This Row],[Subscription]],NetworkReference[#All],2,FALSE),VmSpecs[[#This Row],[Service]],VmSpecs[[#This Row],[VM iteration (nn)]])</f>
        <v>vmpfbpf2olg07</v>
      </c>
      <c r="L146" s="45" t="s">
        <v>61</v>
      </c>
      <c r="M146" s="43" t="str">
        <f>VmSpecs[[#This Row],[VM Name]]&amp;".ninp.myhealthrecord.gov.au"</f>
        <v>vmpfbpf2olg07.ninp.myhealthrecord.gov.au</v>
      </c>
      <c r="N146" s="42" t="str">
        <f t="shared" si="2"/>
        <v>nic-001-vmpfbpf2olg07</v>
      </c>
      <c r="O146" s="94" t="s">
        <v>392</v>
      </c>
      <c r="P146" s="46" t="s">
        <v>63</v>
      </c>
      <c r="Q146" s="78" t="str">
        <f>VLOOKUP(VmSpecs[[#This Row],[Original Hostname (CMO)]],'SSOT Data'!A:E,5,FALSE)</f>
        <v>OEL7.9</v>
      </c>
      <c r="R146" s="42"/>
      <c r="S146" s="42" t="str">
        <f>_xlfn.CONCAT("avail-",LEFT(VmSpecs[[#This Row],[VM Name]],LEN(VmSpecs[[#This Row],[VM Name]])-2))</f>
        <v>avail-vmpfbpf2olg</v>
      </c>
      <c r="T146" s="42" t="str">
        <f>_xlfn.CONCAT("asg-",LEFT(VmSpecs[[#This Row],[VM Name]],LEN(VmSpecs[[#This Row],[VM Name]])-2))</f>
        <v>asg-vmpfbpf2olg</v>
      </c>
      <c r="U146" s="42" t="str">
        <f>_xlfn.CONCAT("nsg-",VmSpecs[[#This Row],[Subnet]])</f>
        <v>nsg-sn-pfb-aue-pf2-app</v>
      </c>
      <c r="V146" s="42" t="s">
        <v>64</v>
      </c>
      <c r="W146" s="43" t="str">
        <f>VLOOKUP(VmSpecs[[#This Row],[Original Hostname (CMO)]],'SSOT Data'!A:AX,50,FALSE)</f>
        <v>Standard_D8s_v4</v>
      </c>
      <c r="X146" s="43">
        <v>64</v>
      </c>
      <c r="Y146" s="43" t="s">
        <v>65</v>
      </c>
      <c r="Z146" s="43" t="str">
        <f>"osdisk-"&amp;VmSpecs[[#This Row],[VM Name]]</f>
        <v>osdisk-vmpfbpf2olg07</v>
      </c>
      <c r="AA146" s="47" t="s">
        <v>66</v>
      </c>
      <c r="AB146" s="73">
        <v>8</v>
      </c>
      <c r="AC146" s="74" t="s">
        <v>65</v>
      </c>
      <c r="AD146" s="75" t="str">
        <f>"disk-"&amp;VmSpecs[[#This Row],[VM Name]]&amp;"-001"</f>
        <v>disk-vmpfbpf2olg07-001</v>
      </c>
      <c r="AE146" s="73">
        <v>32</v>
      </c>
      <c r="AF146" s="74" t="s">
        <v>65</v>
      </c>
      <c r="AG146" s="43" t="str">
        <f>"disk-"&amp;VmSpecs[[#This Row],[VM Name]]&amp;"-002"</f>
        <v>disk-vmpfbpf2olg07-002</v>
      </c>
      <c r="AH146" s="59"/>
      <c r="AI146" s="42"/>
      <c r="AJ146" s="42"/>
      <c r="AK146" s="42"/>
      <c r="AL146" s="42" t="str">
        <f>MID(VmSpecs[[#This Row],[VM Name]],3,9)</f>
        <v>pfbpf2olg</v>
      </c>
      <c r="AM146" s="42" t="str" cm="1">
        <f t="array" ref="AM146">_xlfn.TEXTJOIN(CHAR(10), TRUE, IF(NfsExports[FMO Single VM IP]=VmSpecs[[#This Row],[IP]],NfsExports[FMO Export Summary],""))</f>
        <v>/apps/pcehr 30GB</v>
      </c>
      <c r="AN146" s="43" t="str" cm="1">
        <f t="array" ref="AN14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46" s="42"/>
      <c r="AP146" s="42" t="str">
        <f>VmSpecs[[#This Row],[Description]]</f>
        <v>OSB Log N07</v>
      </c>
      <c r="AQ146" s="43"/>
      <c r="AR146" s="43" t="s">
        <v>64</v>
      </c>
      <c r="AS146" s="43" t="s">
        <v>64</v>
      </c>
      <c r="AT146" s="43" t="s">
        <v>64</v>
      </c>
      <c r="AU146" s="43" t="s">
        <v>64</v>
      </c>
      <c r="AV146" s="42" t="s">
        <v>66</v>
      </c>
      <c r="AW146" s="42" t="s">
        <v>67</v>
      </c>
      <c r="AX146" s="42" t="s">
        <v>68</v>
      </c>
      <c r="AY146" s="42" t="s">
        <v>64</v>
      </c>
      <c r="AZ146" s="42" t="s">
        <v>64</v>
      </c>
      <c r="BA14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N07"
Application Service: "OLG"
Lifecycle: "PFB"</v>
      </c>
      <c r="BB146" s="78" t="s">
        <v>393</v>
      </c>
      <c r="BC146" s="42" t="str">
        <f>VLOOKUP(VmSpecs[[#This Row],[Original Hostname (CMO)]],'SSOT Data'!A:AJ,36,FALSE)</f>
        <v>OSB Log N07</v>
      </c>
      <c r="BD146" s="43"/>
    </row>
    <row r="147" spans="1:56" ht="43.5" x14ac:dyDescent="0.35">
      <c r="A147" s="42" t="s">
        <v>58</v>
      </c>
      <c r="B147" s="42" t="str">
        <f>_xlfn.XLOOKUP(VmSpecs[[#This Row],[Subnet]],NetworkReference[Subnet],NetworkReference[Subscription])</f>
        <v>NINP-PERF2</v>
      </c>
      <c r="C147" s="43" t="str">
        <f>_xlfn.XLOOKUP(VmSpecs[[#This Row],[Subnet]],NetworkReference[Subnet],NetworkReference[Virtual Network Resource Group])</f>
        <v>rg-pf2-network-aue-001</v>
      </c>
      <c r="D147" s="43" t="str">
        <f>_xlfn.XLOOKUP(VmSpecs[[#This Row],[Subnet]],NetworkReference[Subnet],NetworkReference[Virtual Network])</f>
        <v>vnet-pf2-workload-aue-001</v>
      </c>
      <c r="E147" s="132" t="s">
        <v>59</v>
      </c>
      <c r="F147" s="43" t="str">
        <f>_xlfn.XLOOKUP(VmSpecs[[#This Row],[Subnet]],NetworkReference[Subnet],NetworkReference[Virtual Network Peering])</f>
        <v>vnet-ninp-conn-pnp-hub-aue</v>
      </c>
      <c r="G147" s="43" t="str">
        <f>_xlfn.XLOOKUP(VmSpecs[[#This Row],[Subnet]],NetworkReference[Subnet],NetworkReference[Route Table])</f>
        <v>rt-sn-pfb-aue-pf2-app</v>
      </c>
      <c r="H147" s="43" t="str">
        <f>LOWER(VLOOKUP(VmSpecs[[#This Row],[Original Hostname (CMO)]],'SSOT Data'!A:K,10,FALSE))</f>
        <v>olg</v>
      </c>
      <c r="I14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47" s="44" t="s">
        <v>102</v>
      </c>
      <c r="K147" s="43" t="str">
        <f>_xlfn.CONCAT("vm",MID(VmSpecs[[#This Row],[Subnet]],4,3),VLOOKUP(VmSpecs[[#This Row],[Subscription]],NetworkReference[#All],2,FALSE),VmSpecs[[#This Row],[Service]],VmSpecs[[#This Row],[VM iteration (nn)]])</f>
        <v>vmpfbpf2olg08</v>
      </c>
      <c r="L147" s="45" t="s">
        <v>61</v>
      </c>
      <c r="M147" s="43" t="str">
        <f>VmSpecs[[#This Row],[VM Name]]&amp;".ninp.myhealthrecord.gov.au"</f>
        <v>vmpfbpf2olg08.ninp.myhealthrecord.gov.au</v>
      </c>
      <c r="N147" s="42" t="str">
        <f t="shared" si="2"/>
        <v>nic-001-vmpfbpf2olg08</v>
      </c>
      <c r="O147" s="94" t="s">
        <v>394</v>
      </c>
      <c r="P147" s="46" t="s">
        <v>63</v>
      </c>
      <c r="Q147" s="78" t="str">
        <f>VLOOKUP(VmSpecs[[#This Row],[Original Hostname (CMO)]],'SSOT Data'!A:E,5,FALSE)</f>
        <v>OEL7.9</v>
      </c>
      <c r="R147" s="42"/>
      <c r="S147" s="42" t="str">
        <f>_xlfn.CONCAT("avail-",LEFT(VmSpecs[[#This Row],[VM Name]],LEN(VmSpecs[[#This Row],[VM Name]])-2))</f>
        <v>avail-vmpfbpf2olg</v>
      </c>
      <c r="T147" s="42" t="str">
        <f>_xlfn.CONCAT("asg-",LEFT(VmSpecs[[#This Row],[VM Name]],LEN(VmSpecs[[#This Row],[VM Name]])-2))</f>
        <v>asg-vmpfbpf2olg</v>
      </c>
      <c r="U147" s="42" t="str">
        <f>_xlfn.CONCAT("nsg-",VmSpecs[[#This Row],[Subnet]])</f>
        <v>nsg-sn-pfb-aue-pf2-app</v>
      </c>
      <c r="V147" s="42" t="s">
        <v>64</v>
      </c>
      <c r="W147" s="43" t="str">
        <f>VLOOKUP(VmSpecs[[#This Row],[Original Hostname (CMO)]],'SSOT Data'!A:AX,50,FALSE)</f>
        <v>Standard_D8s_v4</v>
      </c>
      <c r="X147" s="43">
        <v>64</v>
      </c>
      <c r="Y147" s="43" t="s">
        <v>65</v>
      </c>
      <c r="Z147" s="43" t="str">
        <f>"osdisk-"&amp;VmSpecs[[#This Row],[VM Name]]</f>
        <v>osdisk-vmpfbpf2olg08</v>
      </c>
      <c r="AA147" s="47" t="s">
        <v>66</v>
      </c>
      <c r="AB147" s="73">
        <v>8</v>
      </c>
      <c r="AC147" s="74" t="s">
        <v>65</v>
      </c>
      <c r="AD147" s="75" t="str">
        <f>"disk-"&amp;VmSpecs[[#This Row],[VM Name]]&amp;"-001"</f>
        <v>disk-vmpfbpf2olg08-001</v>
      </c>
      <c r="AE147" s="73">
        <v>32</v>
      </c>
      <c r="AF147" s="74" t="s">
        <v>65</v>
      </c>
      <c r="AG147" s="43" t="str">
        <f>"disk-"&amp;VmSpecs[[#This Row],[VM Name]]&amp;"-002"</f>
        <v>disk-vmpfbpf2olg08-002</v>
      </c>
      <c r="AH147" s="59"/>
      <c r="AI147" s="42"/>
      <c r="AJ147" s="42"/>
      <c r="AK147" s="42"/>
      <c r="AL147" s="42" t="str">
        <f>MID(VmSpecs[[#This Row],[VM Name]],3,9)</f>
        <v>pfbpf2olg</v>
      </c>
      <c r="AM147" s="42" t="str" cm="1">
        <f t="array" ref="AM147">_xlfn.TEXTJOIN(CHAR(10), TRUE, IF(NfsExports[FMO Single VM IP]=VmSpecs[[#This Row],[IP]],NfsExports[FMO Export Summary],""))</f>
        <v>/apps/pcehr 30GB</v>
      </c>
      <c r="AN147" s="43" t="str" cm="1">
        <f t="array" ref="AN14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47" s="42"/>
      <c r="AP147" s="42" t="str">
        <f>VmSpecs[[#This Row],[Description]]</f>
        <v>OSB Log N08</v>
      </c>
      <c r="AQ147" s="43"/>
      <c r="AR147" s="43" t="s">
        <v>64</v>
      </c>
      <c r="AS147" s="43" t="s">
        <v>64</v>
      </c>
      <c r="AT147" s="43" t="s">
        <v>64</v>
      </c>
      <c r="AU147" s="43" t="s">
        <v>64</v>
      </c>
      <c r="AV147" s="42" t="s">
        <v>66</v>
      </c>
      <c r="AW147" s="42" t="s">
        <v>67</v>
      </c>
      <c r="AX147" s="42" t="s">
        <v>68</v>
      </c>
      <c r="AY147" s="42" t="s">
        <v>64</v>
      </c>
      <c r="AZ147" s="42" t="s">
        <v>64</v>
      </c>
      <c r="BA14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N08"
Application Service: "OLG"
Lifecycle: "PFB"</v>
      </c>
      <c r="BB147" s="78" t="s">
        <v>395</v>
      </c>
      <c r="BC147" s="42" t="str">
        <f>VLOOKUP(VmSpecs[[#This Row],[Original Hostname (CMO)]],'SSOT Data'!A:AJ,36,FALSE)</f>
        <v>OSB Log N08</v>
      </c>
      <c r="BD147" s="87"/>
    </row>
    <row r="148" spans="1:56" ht="43.5" x14ac:dyDescent="0.35">
      <c r="A148" s="42" t="s">
        <v>58</v>
      </c>
      <c r="B148" s="42" t="str">
        <f>_xlfn.XLOOKUP(VmSpecs[[#This Row],[Subnet]],NetworkReference[Subnet],NetworkReference[Subscription])</f>
        <v>NINP-PERF2</v>
      </c>
      <c r="C148" s="87" t="str">
        <f>_xlfn.XLOOKUP(VmSpecs[[#This Row],[Subnet]],NetworkReference[Subnet],NetworkReference[Virtual Network Resource Group])</f>
        <v>rg-pf2-network-aue-001</v>
      </c>
      <c r="D148" s="87" t="str">
        <f>_xlfn.XLOOKUP(VmSpecs[[#This Row],[Subnet]],NetworkReference[Subnet],NetworkReference[Virtual Network])</f>
        <v>vnet-pf2-workload-aue-001</v>
      </c>
      <c r="E148" s="132" t="s">
        <v>59</v>
      </c>
      <c r="F148" s="87" t="str">
        <f>_xlfn.XLOOKUP(VmSpecs[[#This Row],[Subnet]],NetworkReference[Subnet],NetworkReference[Virtual Network Peering])</f>
        <v>vnet-ninp-conn-pnp-hub-aue</v>
      </c>
      <c r="G148" s="43" t="str">
        <f>_xlfn.XLOOKUP(VmSpecs[[#This Row],[Subnet]],NetworkReference[Subnet],NetworkReference[Route Table])</f>
        <v>rt-sn-pfb-aue-pf2-app</v>
      </c>
      <c r="H148" s="43" t="str">
        <f>LOWER(VLOOKUP(VmSpecs[[#This Row],[Original Hostname (CMO)]],'SSOT Data'!A:K,10,FALSE))</f>
        <v>olg</v>
      </c>
      <c r="I148" s="87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48" s="88" t="s">
        <v>129</v>
      </c>
      <c r="K148" s="87" t="str">
        <f>_xlfn.CONCAT("vm",MID(VmSpecs[[#This Row],[Subnet]],4,3),VLOOKUP(VmSpecs[[#This Row],[Subscription]],NetworkReference[#All],2,FALSE),VmSpecs[[#This Row],[Service]],VmSpecs[[#This Row],[VM iteration (nn)]])</f>
        <v>vmpfbpf2olg09</v>
      </c>
      <c r="L148" s="45" t="s">
        <v>61</v>
      </c>
      <c r="M148" s="87" t="str">
        <f>VmSpecs[[#This Row],[VM Name]]&amp;".ninp.myhealthrecord.gov.au"</f>
        <v>vmpfbpf2olg09.ninp.myhealthrecord.gov.au</v>
      </c>
      <c r="N148" s="86" t="str">
        <f t="shared" si="2"/>
        <v>nic-001-vmpfbpf2olg09</v>
      </c>
      <c r="O148" s="94" t="s">
        <v>396</v>
      </c>
      <c r="P148" s="46" t="s">
        <v>63</v>
      </c>
      <c r="Q148" s="78" t="str">
        <f>VLOOKUP(VmSpecs[[#This Row],[Original Hostname (CMO)]],'SSOT Data'!A:E,5,FALSE)</f>
        <v>OEL7.9</v>
      </c>
      <c r="R148" s="86"/>
      <c r="S148" s="42" t="str">
        <f>_xlfn.CONCAT("avail-",LEFT(VmSpecs[[#This Row],[VM Name]],LEN(VmSpecs[[#This Row],[VM Name]])-2))</f>
        <v>avail-vmpfbpf2olg</v>
      </c>
      <c r="T148" s="86" t="str">
        <f>_xlfn.CONCAT("asg-",LEFT(VmSpecs[[#This Row],[VM Name]],LEN(VmSpecs[[#This Row],[VM Name]])-2))</f>
        <v>asg-vmpfbpf2olg</v>
      </c>
      <c r="U148" s="86" t="str">
        <f>_xlfn.CONCAT("nsg-",VmSpecs[[#This Row],[Subnet]])</f>
        <v>nsg-sn-pfb-aue-pf2-app</v>
      </c>
      <c r="V148" s="86" t="s">
        <v>64</v>
      </c>
      <c r="W148" s="87" t="str">
        <f>VLOOKUP(VmSpecs[[#This Row],[Original Hostname (CMO)]],'SSOT Data'!A:AX,50,FALSE)</f>
        <v>Standard_D8s_v4</v>
      </c>
      <c r="X148" s="43">
        <v>64</v>
      </c>
      <c r="Y148" s="43" t="s">
        <v>65</v>
      </c>
      <c r="Z148" s="43" t="str">
        <f>"osdisk-"&amp;VmSpecs[[#This Row],[VM Name]]</f>
        <v>osdisk-vmpfbpf2olg09</v>
      </c>
      <c r="AA148" s="47" t="s">
        <v>66</v>
      </c>
      <c r="AB148" s="73">
        <v>8</v>
      </c>
      <c r="AC148" s="74" t="s">
        <v>65</v>
      </c>
      <c r="AD148" s="89" t="str">
        <f>"disk-"&amp;VmSpecs[[#This Row],[VM Name]]&amp;"-001"</f>
        <v>disk-vmpfbpf2olg09-001</v>
      </c>
      <c r="AE148" s="73">
        <v>32</v>
      </c>
      <c r="AF148" s="74" t="s">
        <v>65</v>
      </c>
      <c r="AG148" s="90" t="str">
        <f>"disk-"&amp;VmSpecs[[#This Row],[VM Name]]&amp;"-002"</f>
        <v>disk-vmpfbpf2olg09-002</v>
      </c>
      <c r="AH148" s="91"/>
      <c r="AI148" s="86"/>
      <c r="AJ148" s="86"/>
      <c r="AK148" s="86"/>
      <c r="AL148" s="86" t="str">
        <f>MID(VmSpecs[[#This Row],[VM Name]],3,9)</f>
        <v>pfbpf2olg</v>
      </c>
      <c r="AM148" s="86" t="str" cm="1">
        <f t="array" ref="AM148">_xlfn.TEXTJOIN(CHAR(10), TRUE, IF(NfsExports[FMO Single VM IP]=VmSpecs[[#This Row],[IP]],NfsExports[FMO Export Summary],""))</f>
        <v>/apps/pcehr 30GB</v>
      </c>
      <c r="AN148" s="87" t="str" cm="1">
        <f t="array" ref="AN14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48" s="86"/>
      <c r="AP148" s="86" t="str">
        <f>VmSpecs[[#This Row],[Description]]</f>
        <v>OSB Log N09</v>
      </c>
      <c r="AQ148" s="87"/>
      <c r="AR148" s="87" t="s">
        <v>64</v>
      </c>
      <c r="AS148" s="87" t="s">
        <v>64</v>
      </c>
      <c r="AT148" s="87" t="s">
        <v>64</v>
      </c>
      <c r="AU148" s="87" t="s">
        <v>64</v>
      </c>
      <c r="AV148" s="86" t="s">
        <v>66</v>
      </c>
      <c r="AW148" s="86" t="s">
        <v>67</v>
      </c>
      <c r="AX148" s="86" t="s">
        <v>68</v>
      </c>
      <c r="AY148" s="86" t="s">
        <v>64</v>
      </c>
      <c r="AZ148" s="86" t="s">
        <v>64</v>
      </c>
      <c r="BA14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N09"
Application Service: "OLG"
Lifecycle: "PFB"</v>
      </c>
      <c r="BB148" s="86" t="s">
        <v>397</v>
      </c>
      <c r="BC148" s="86" t="str">
        <f>VLOOKUP(VmSpecs[[#This Row],[Original Hostname (CMO)]],'SSOT Data'!A:AJ,36,FALSE)</f>
        <v>OSB Log N09</v>
      </c>
      <c r="BD148" s="87"/>
    </row>
    <row r="149" spans="1:56" ht="43.5" x14ac:dyDescent="0.35">
      <c r="A149" s="42" t="s">
        <v>58</v>
      </c>
      <c r="B149" s="42" t="str">
        <f>_xlfn.XLOOKUP(VmSpecs[[#This Row],[Subnet]],NetworkReference[Subnet],NetworkReference[Subscription])</f>
        <v>NINP-PERF2</v>
      </c>
      <c r="C149" s="43" t="str">
        <f>_xlfn.XLOOKUP(VmSpecs[[#This Row],[Subnet]],NetworkReference[Subnet],NetworkReference[Virtual Network Resource Group])</f>
        <v>rg-pf2-network-aue-001</v>
      </c>
      <c r="D149" s="43" t="str">
        <f>_xlfn.XLOOKUP(VmSpecs[[#This Row],[Subnet]],NetworkReference[Subnet],NetworkReference[Virtual Network])</f>
        <v>vnet-pf2-workload-aue-001</v>
      </c>
      <c r="E149" s="132" t="s">
        <v>59</v>
      </c>
      <c r="F149" s="43" t="str">
        <f>_xlfn.XLOOKUP(VmSpecs[[#This Row],[Subnet]],NetworkReference[Subnet],NetworkReference[Virtual Network Peering])</f>
        <v>vnet-ninp-conn-pnp-hub-aue</v>
      </c>
      <c r="G149" s="43" t="str">
        <f>_xlfn.XLOOKUP(VmSpecs[[#This Row],[Subnet]],NetworkReference[Subnet],NetworkReference[Route Table])</f>
        <v>rt-sn-pfb-aue-pf2-app</v>
      </c>
      <c r="H149" s="43" t="str">
        <f>LOWER(VLOOKUP(VmSpecs[[#This Row],[Original Hostname (CMO)]],'SSOT Data'!A:K,10,FALSE))</f>
        <v>olg</v>
      </c>
      <c r="I14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49" s="44" t="s">
        <v>132</v>
      </c>
      <c r="K149" s="43" t="str">
        <f>_xlfn.CONCAT("vm",MID(VmSpecs[[#This Row],[Subnet]],4,3),VLOOKUP(VmSpecs[[#This Row],[Subscription]],NetworkReference[#All],2,FALSE),VmSpecs[[#This Row],[Service]],VmSpecs[[#This Row],[VM iteration (nn)]])</f>
        <v>vmpfbpf2olg10</v>
      </c>
      <c r="L149" s="45" t="s">
        <v>61</v>
      </c>
      <c r="M149" s="43" t="str">
        <f>VmSpecs[[#This Row],[VM Name]]&amp;".ninp.myhealthrecord.gov.au"</f>
        <v>vmpfbpf2olg10.ninp.myhealthrecord.gov.au</v>
      </c>
      <c r="N149" s="42" t="str">
        <f t="shared" si="2"/>
        <v>nic-001-vmpfbpf2olg10</v>
      </c>
      <c r="O149" s="94" t="s">
        <v>398</v>
      </c>
      <c r="P149" s="93" t="s">
        <v>63</v>
      </c>
      <c r="Q149" s="42" t="str">
        <f>VLOOKUP(VmSpecs[[#This Row],[Original Hostname (CMO)]],'SSOT Data'!A:E,5,FALSE)</f>
        <v>OEL7.9</v>
      </c>
      <c r="R149" s="83"/>
      <c r="S149" s="42" t="str">
        <f>_xlfn.CONCAT("avail-",LEFT(VmSpecs[[#This Row],[VM Name]],LEN(VmSpecs[[#This Row],[VM Name]])-2))</f>
        <v>avail-vmpfbpf2olg</v>
      </c>
      <c r="T149" s="42" t="str">
        <f>_xlfn.CONCAT("asg-",LEFT(VmSpecs[[#This Row],[VM Name]],LEN(VmSpecs[[#This Row],[VM Name]])-2))</f>
        <v>asg-vmpfbpf2olg</v>
      </c>
      <c r="U149" s="42" t="str">
        <f>_xlfn.CONCAT("nsg-",VmSpecs[[#This Row],[Subnet]])</f>
        <v>nsg-sn-pfb-aue-pf2-app</v>
      </c>
      <c r="V149" s="42" t="s">
        <v>64</v>
      </c>
      <c r="W149" s="43" t="str">
        <f>VLOOKUP(VmSpecs[[#This Row],[Original Hostname (CMO)]],'SSOT Data'!A:AX,50,FALSE)</f>
        <v>Standard_D8s_v4</v>
      </c>
      <c r="X149" s="43">
        <v>64</v>
      </c>
      <c r="Y149" s="43" t="s">
        <v>65</v>
      </c>
      <c r="Z149" s="43" t="str">
        <f>"osdisk-"&amp;VmSpecs[[#This Row],[VM Name]]</f>
        <v>osdisk-vmpfbpf2olg10</v>
      </c>
      <c r="AA149" s="47" t="s">
        <v>66</v>
      </c>
      <c r="AB149" s="73">
        <v>8</v>
      </c>
      <c r="AC149" s="74" t="s">
        <v>65</v>
      </c>
      <c r="AD149" s="84" t="str">
        <f>"disk-"&amp;VmSpecs[[#This Row],[VM Name]]&amp;"-001"</f>
        <v>disk-vmpfbpf2olg10-001</v>
      </c>
      <c r="AE149" s="73">
        <v>32</v>
      </c>
      <c r="AF149" s="74" t="s">
        <v>65</v>
      </c>
      <c r="AG149" s="85" t="str">
        <f>"disk-"&amp;VmSpecs[[#This Row],[VM Name]]&amp;"-002"</f>
        <v>disk-vmpfbpf2olg10-002</v>
      </c>
      <c r="AH149" s="59"/>
      <c r="AI149" s="42"/>
      <c r="AJ149" s="42"/>
      <c r="AK149" s="42"/>
      <c r="AL149" s="42" t="str">
        <f>MID(VmSpecs[[#This Row],[VM Name]],3,9)</f>
        <v>pfbpf2olg</v>
      </c>
      <c r="AM149" s="42" t="str" cm="1">
        <f t="array" ref="AM149">_xlfn.TEXTJOIN(CHAR(10), TRUE, IF(NfsExports[FMO Single VM IP]=VmSpecs[[#This Row],[IP]],NfsExports[FMO Export Summary],""))</f>
        <v>/apps/pcehr 30GB</v>
      </c>
      <c r="AN149" s="43" t="str" cm="1">
        <f t="array" ref="AN14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49" s="42"/>
      <c r="AP149" s="42" t="str">
        <f>VmSpecs[[#This Row],[Description]]</f>
        <v>OSB Log N10</v>
      </c>
      <c r="AQ149" s="43"/>
      <c r="AR149" s="43" t="s">
        <v>64</v>
      </c>
      <c r="AS149" s="43" t="s">
        <v>64</v>
      </c>
      <c r="AT149" s="43" t="s">
        <v>64</v>
      </c>
      <c r="AU149" s="43" t="s">
        <v>64</v>
      </c>
      <c r="AV149" s="42" t="s">
        <v>66</v>
      </c>
      <c r="AW149" s="42" t="s">
        <v>67</v>
      </c>
      <c r="AX149" s="42" t="s">
        <v>68</v>
      </c>
      <c r="AY149" s="42" t="s">
        <v>64</v>
      </c>
      <c r="AZ149" s="42" t="s">
        <v>64</v>
      </c>
      <c r="BA14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N10"
Application Service: "OLG"
Lifecycle: "PFB"</v>
      </c>
      <c r="BB149" s="42" t="s">
        <v>399</v>
      </c>
      <c r="BC149" s="42" t="str">
        <f>VLOOKUP(VmSpecs[[#This Row],[Original Hostname (CMO)]],'SSOT Data'!A:AJ,36,FALSE)</f>
        <v>OSB Log N10</v>
      </c>
      <c r="BD149" s="87"/>
    </row>
    <row r="150" spans="1:56" ht="43.5" x14ac:dyDescent="0.35">
      <c r="A150" s="42"/>
      <c r="B150" s="42" t="str">
        <f>_xlfn.XLOOKUP(VmSpecs[[#This Row],[Subnet]],NetworkReference[Subnet],NetworkReference[Subscription])</f>
        <v>NINP-PERF2</v>
      </c>
      <c r="C150" s="43" t="str">
        <f>_xlfn.XLOOKUP(VmSpecs[[#This Row],[Subnet]],NetworkReference[Subnet],NetworkReference[Virtual Network Resource Group])</f>
        <v>rg-pf2-network-aue-001</v>
      </c>
      <c r="D150" s="43" t="str">
        <f>_xlfn.XLOOKUP(VmSpecs[[#This Row],[Subnet]],NetworkReference[Subnet],NetworkReference[Virtual Network])</f>
        <v>vnet-pf2-workload-aue-001</v>
      </c>
      <c r="E150" s="132" t="s">
        <v>59</v>
      </c>
      <c r="F150" s="43" t="str">
        <f>_xlfn.XLOOKUP(VmSpecs[[#This Row],[Subnet]],NetworkReference[Subnet],NetworkReference[Virtual Network Peering])</f>
        <v>vnet-ninp-conn-pnp-hub-aue</v>
      </c>
      <c r="G150" s="43" t="str">
        <f>_xlfn.XLOOKUP(VmSpecs[[#This Row],[Subnet]],NetworkReference[Subnet],NetworkReference[Route Table])</f>
        <v>rt-sn-pfb-aue-pf2-app</v>
      </c>
      <c r="H150" s="43" t="str">
        <f>LOWER(VLOOKUP(VmSpecs[[#This Row],[Original Hostname (CMO)]],'SSOT Data'!A:K,10,FALSE))</f>
        <v>olg</v>
      </c>
      <c r="I15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50" s="44" t="s">
        <v>135</v>
      </c>
      <c r="K150" s="43" t="str">
        <f>_xlfn.CONCAT("vm",MID(VmSpecs[[#This Row],[Subnet]],4,3),VLOOKUP(VmSpecs[[#This Row],[Subscription]],NetworkReference[#All],2,FALSE),VmSpecs[[#This Row],[Service]],VmSpecs[[#This Row],[VM iteration (nn)]])</f>
        <v>vmpfbpf2olg11</v>
      </c>
      <c r="L150" s="45" t="s">
        <v>61</v>
      </c>
      <c r="M150" s="43" t="str">
        <f>VmSpecs[[#This Row],[VM Name]]&amp;".ninp.myhealthrecord.gov.au"</f>
        <v>vmpfbpf2olg11.ninp.myhealthrecord.gov.au</v>
      </c>
      <c r="N150" s="42" t="str">
        <f t="shared" si="2"/>
        <v>nic-001-vmpfbpf2olg11</v>
      </c>
      <c r="O150" s="94" t="s">
        <v>400</v>
      </c>
      <c r="P150" s="46" t="s">
        <v>63</v>
      </c>
      <c r="Q150" s="42" t="str">
        <f>VLOOKUP(VmSpecs[[#This Row],[Original Hostname (CMO)]],'SSOT Data'!A:E,5,FALSE)</f>
        <v>OEL7.9</v>
      </c>
      <c r="R150" s="42"/>
      <c r="S150" s="42" t="str">
        <f>_xlfn.CONCAT("avail-",LEFT(VmSpecs[[#This Row],[VM Name]],LEN(VmSpecs[[#This Row],[VM Name]])-2))</f>
        <v>avail-vmpfbpf2olg</v>
      </c>
      <c r="T150" s="42" t="str">
        <f>_xlfn.CONCAT("asg-",LEFT(VmSpecs[[#This Row],[VM Name]],LEN(VmSpecs[[#This Row],[VM Name]])-2))</f>
        <v>asg-vmpfbpf2olg</v>
      </c>
      <c r="U150" s="42" t="str">
        <f>_xlfn.CONCAT("nsg-",VmSpecs[[#This Row],[Subnet]])</f>
        <v>nsg-sn-pfb-aue-pf2-app</v>
      </c>
      <c r="V150" s="42"/>
      <c r="W150" s="43" t="str">
        <f>VLOOKUP(VmSpecs[[#This Row],[Original Hostname (CMO)]],'SSOT Data'!A:AX,50,FALSE)</f>
        <v>Standard_D8s_v4</v>
      </c>
      <c r="X150" s="43">
        <v>64</v>
      </c>
      <c r="Y150" s="43" t="s">
        <v>65</v>
      </c>
      <c r="Z150" s="43" t="str">
        <f>"osdisk-"&amp;VmSpecs[[#This Row],[VM Name]]</f>
        <v>osdisk-vmpfbpf2olg11</v>
      </c>
      <c r="AA150" s="47" t="s">
        <v>66</v>
      </c>
      <c r="AB150" s="73">
        <v>8</v>
      </c>
      <c r="AC150" s="74" t="s">
        <v>65</v>
      </c>
      <c r="AD150" s="84" t="str">
        <f>"disk-"&amp;VmSpecs[[#This Row],[VM Name]]&amp;"-001"</f>
        <v>disk-vmpfbpf2olg11-001</v>
      </c>
      <c r="AE150" s="73">
        <v>32</v>
      </c>
      <c r="AF150" s="74" t="s">
        <v>65</v>
      </c>
      <c r="AG150" s="85" t="str">
        <f>"disk-"&amp;VmSpecs[[#This Row],[VM Name]]&amp;"-002"</f>
        <v>disk-vmpfbpf2olg11-002</v>
      </c>
      <c r="AH150" s="59"/>
      <c r="AI150" s="42"/>
      <c r="AJ150" s="42"/>
      <c r="AK150" s="42"/>
      <c r="AL150" s="42" t="str">
        <f>MID(VmSpecs[[#This Row],[VM Name]],3,9)</f>
        <v>pfbpf2olg</v>
      </c>
      <c r="AM150" s="42" t="str" cm="1">
        <f t="array" ref="AM150">_xlfn.TEXTJOIN(CHAR(10), TRUE, IF(NfsExports[FMO Single VM IP]=VmSpecs[[#This Row],[IP]],NfsExports[FMO Export Summary],""))</f>
        <v>/apps/pcehr 30GB</v>
      </c>
      <c r="AN150" s="43" t="str" cm="1">
        <f t="array" ref="AN15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50" s="42"/>
      <c r="AP150" s="42" t="str">
        <f>VmSpecs[[#This Row],[Description]]</f>
        <v>OSB Log N11</v>
      </c>
      <c r="AQ150" s="43"/>
      <c r="AR150" s="43"/>
      <c r="AS150" s="43"/>
      <c r="AT150" s="43"/>
      <c r="AU150" s="43"/>
      <c r="AV150" s="42"/>
      <c r="AW150" s="42"/>
      <c r="AX150" s="42"/>
      <c r="AY150" s="42"/>
      <c r="AZ150" s="42"/>
      <c r="BA150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N11"
Application Service: "OLG"
Lifecycle: "PFB"</v>
      </c>
      <c r="BB150" s="42" t="s">
        <v>401</v>
      </c>
      <c r="BC150" s="42" t="str">
        <f>VLOOKUP(VmSpecs[[#This Row],[Original Hostname (CMO)]],'SSOT Data'!A:AJ,36,FALSE)</f>
        <v>OSB Log N11</v>
      </c>
      <c r="BD150" s="133">
        <f>VLOOKUP(VmSpecs[[#This Row],[Original Hostname (CMO)]],'SSOT Data'!A:AQ,43,FALSE)</f>
        <v>2</v>
      </c>
    </row>
    <row r="151" spans="1:56" ht="43.5" x14ac:dyDescent="0.35">
      <c r="A151" s="42"/>
      <c r="B151" s="42" t="str">
        <f>_xlfn.XLOOKUP(VmSpecs[[#This Row],[Subnet]],NetworkReference[Subnet],NetworkReference[Subscription])</f>
        <v>NINP-PERF2</v>
      </c>
      <c r="C151" s="43" t="str">
        <f>_xlfn.XLOOKUP(VmSpecs[[#This Row],[Subnet]],NetworkReference[Subnet],NetworkReference[Virtual Network Resource Group])</f>
        <v>rg-pf2-network-aue-001</v>
      </c>
      <c r="D151" s="43" t="str">
        <f>_xlfn.XLOOKUP(VmSpecs[[#This Row],[Subnet]],NetworkReference[Subnet],NetworkReference[Virtual Network])</f>
        <v>vnet-pf2-workload-aue-001</v>
      </c>
      <c r="E151" s="132" t="s">
        <v>59</v>
      </c>
      <c r="F151" s="43" t="str">
        <f>_xlfn.XLOOKUP(VmSpecs[[#This Row],[Subnet]],NetworkReference[Subnet],NetworkReference[Virtual Network Peering])</f>
        <v>vnet-ninp-conn-pnp-hub-aue</v>
      </c>
      <c r="G151" s="43" t="str">
        <f>_xlfn.XLOOKUP(VmSpecs[[#This Row],[Subnet]],NetworkReference[Subnet],NetworkReference[Route Table])</f>
        <v>rt-sn-pfb-aue-pf2-app</v>
      </c>
      <c r="H151" s="43" t="str">
        <f>LOWER(VLOOKUP(VmSpecs[[#This Row],[Original Hostname (CMO)]],'SSOT Data'!A:K,10,FALSE))</f>
        <v>olg</v>
      </c>
      <c r="I15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51" s="44" t="s">
        <v>138</v>
      </c>
      <c r="K151" s="43" t="str">
        <f>_xlfn.CONCAT("vm",MID(VmSpecs[[#This Row],[Subnet]],4,3),VLOOKUP(VmSpecs[[#This Row],[Subscription]],NetworkReference[#All],2,FALSE),VmSpecs[[#This Row],[Service]],VmSpecs[[#This Row],[VM iteration (nn)]])</f>
        <v>vmpfbpf2olg12</v>
      </c>
      <c r="L151" s="45" t="s">
        <v>61</v>
      </c>
      <c r="M151" s="43" t="str">
        <f>VmSpecs[[#This Row],[VM Name]]&amp;".ninp.myhealthrecord.gov.au"</f>
        <v>vmpfbpf2olg12.ninp.myhealthrecord.gov.au</v>
      </c>
      <c r="N151" s="42" t="str">
        <f t="shared" si="2"/>
        <v>nic-001-vmpfbpf2olg12</v>
      </c>
      <c r="O151" s="94" t="s">
        <v>402</v>
      </c>
      <c r="P151" s="46" t="s">
        <v>63</v>
      </c>
      <c r="Q151" s="42" t="str">
        <f>VLOOKUP(VmSpecs[[#This Row],[Original Hostname (CMO)]],'SSOT Data'!A:E,5,FALSE)</f>
        <v>OEL7.9</v>
      </c>
      <c r="R151" s="42"/>
      <c r="S151" s="42" t="str">
        <f>_xlfn.CONCAT("avail-",LEFT(VmSpecs[[#This Row],[VM Name]],LEN(VmSpecs[[#This Row],[VM Name]])-2))</f>
        <v>avail-vmpfbpf2olg</v>
      </c>
      <c r="T151" s="42" t="str">
        <f>_xlfn.CONCAT("asg-",LEFT(VmSpecs[[#This Row],[VM Name]],LEN(VmSpecs[[#This Row],[VM Name]])-2))</f>
        <v>asg-vmpfbpf2olg</v>
      </c>
      <c r="U151" s="42" t="str">
        <f>_xlfn.CONCAT("nsg-",VmSpecs[[#This Row],[Subnet]])</f>
        <v>nsg-sn-pfb-aue-pf2-app</v>
      </c>
      <c r="V151" s="42"/>
      <c r="W151" s="43" t="str">
        <f>VLOOKUP(VmSpecs[[#This Row],[Original Hostname (CMO)]],'SSOT Data'!A:AX,50,FALSE)</f>
        <v>Standard_D8s_v4</v>
      </c>
      <c r="X151" s="43">
        <v>64</v>
      </c>
      <c r="Y151" s="43" t="s">
        <v>65</v>
      </c>
      <c r="Z151" s="43" t="str">
        <f>"osdisk-"&amp;VmSpecs[[#This Row],[VM Name]]</f>
        <v>osdisk-vmpfbpf2olg12</v>
      </c>
      <c r="AA151" s="47" t="s">
        <v>66</v>
      </c>
      <c r="AB151" s="73">
        <v>8</v>
      </c>
      <c r="AC151" s="74" t="s">
        <v>65</v>
      </c>
      <c r="AD151" s="84" t="str">
        <f>"disk-"&amp;VmSpecs[[#This Row],[VM Name]]&amp;"-001"</f>
        <v>disk-vmpfbpf2olg12-001</v>
      </c>
      <c r="AE151" s="73">
        <v>32</v>
      </c>
      <c r="AF151" s="74" t="s">
        <v>65</v>
      </c>
      <c r="AG151" s="85" t="str">
        <f>"disk-"&amp;VmSpecs[[#This Row],[VM Name]]&amp;"-002"</f>
        <v>disk-vmpfbpf2olg12-002</v>
      </c>
      <c r="AH151" s="59"/>
      <c r="AI151" s="42"/>
      <c r="AJ151" s="42"/>
      <c r="AK151" s="42"/>
      <c r="AL151" s="42" t="str">
        <f>MID(VmSpecs[[#This Row],[VM Name]],3,9)</f>
        <v>pfbpf2olg</v>
      </c>
      <c r="AM151" s="42" t="str" cm="1">
        <f t="array" ref="AM151">_xlfn.TEXTJOIN(CHAR(10), TRUE, IF(NfsExports[FMO Single VM IP]=VmSpecs[[#This Row],[IP]],NfsExports[FMO Export Summary],""))</f>
        <v>/apps/pcehr 30GB</v>
      </c>
      <c r="AN151" s="43" t="str" cm="1">
        <f t="array" ref="AN15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51" s="42"/>
      <c r="AP151" s="42" t="str">
        <f>VmSpecs[[#This Row],[Description]]</f>
        <v>OSB Log N12</v>
      </c>
      <c r="AQ151" s="43"/>
      <c r="AR151" s="43"/>
      <c r="AS151" s="43"/>
      <c r="AT151" s="43"/>
      <c r="AU151" s="43"/>
      <c r="AV151" s="42"/>
      <c r="AW151" s="42"/>
      <c r="AX151" s="42"/>
      <c r="AY151" s="42"/>
      <c r="AZ151" s="42"/>
      <c r="BA151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N12"
Application Service: "OLG"
Lifecycle: "PFB"</v>
      </c>
      <c r="BB151" s="42" t="s">
        <v>403</v>
      </c>
      <c r="BC151" s="42" t="str">
        <f>VLOOKUP(VmSpecs[[#This Row],[Original Hostname (CMO)]],'SSOT Data'!A:AJ,36,FALSE)</f>
        <v>OSB Log N12</v>
      </c>
      <c r="BD151" s="133">
        <f>VLOOKUP(VmSpecs[[#This Row],[Original Hostname (CMO)]],'SSOT Data'!A:AQ,43,FALSE)</f>
        <v>2</v>
      </c>
    </row>
    <row r="152" spans="1:56" ht="43.5" x14ac:dyDescent="0.35">
      <c r="A152" s="42"/>
      <c r="B152" s="42" t="str">
        <f>_xlfn.XLOOKUP(VmSpecs[[#This Row],[Subnet]],NetworkReference[Subnet],NetworkReference[Subscription])</f>
        <v>NINP-PERF2</v>
      </c>
      <c r="C152" s="43" t="str">
        <f>_xlfn.XLOOKUP(VmSpecs[[#This Row],[Subnet]],NetworkReference[Subnet],NetworkReference[Virtual Network Resource Group])</f>
        <v>rg-pf2-network-aue-001</v>
      </c>
      <c r="D152" s="43" t="str">
        <f>_xlfn.XLOOKUP(VmSpecs[[#This Row],[Subnet]],NetworkReference[Subnet],NetworkReference[Virtual Network])</f>
        <v>vnet-pf2-workload-aue-001</v>
      </c>
      <c r="E152" s="132" t="s">
        <v>59</v>
      </c>
      <c r="F152" s="43" t="str">
        <f>_xlfn.XLOOKUP(VmSpecs[[#This Row],[Subnet]],NetworkReference[Subnet],NetworkReference[Virtual Network Peering])</f>
        <v>vnet-ninp-conn-pnp-hub-aue</v>
      </c>
      <c r="G152" s="43" t="str">
        <f>_xlfn.XLOOKUP(VmSpecs[[#This Row],[Subnet]],NetworkReference[Subnet],NetworkReference[Route Table])</f>
        <v>rt-sn-pfb-aue-pf2-app</v>
      </c>
      <c r="H152" s="43" t="str">
        <f>LOWER(VLOOKUP(VmSpecs[[#This Row],[Original Hostname (CMO)]],'SSOT Data'!A:K,10,FALSE))</f>
        <v>olg</v>
      </c>
      <c r="I15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52" s="44" t="s">
        <v>141</v>
      </c>
      <c r="K152" s="43" t="str">
        <f>_xlfn.CONCAT("vm",MID(VmSpecs[[#This Row],[Subnet]],4,3),VLOOKUP(VmSpecs[[#This Row],[Subscription]],NetworkReference[#All],2,FALSE),VmSpecs[[#This Row],[Service]],VmSpecs[[#This Row],[VM iteration (nn)]])</f>
        <v>vmpfbpf2olg13</v>
      </c>
      <c r="L152" s="45" t="s">
        <v>61</v>
      </c>
      <c r="M152" s="43" t="str">
        <f>VmSpecs[[#This Row],[VM Name]]&amp;".ninp.myhealthrecord.gov.au"</f>
        <v>vmpfbpf2olg13.ninp.myhealthrecord.gov.au</v>
      </c>
      <c r="N152" s="42" t="str">
        <f t="shared" si="2"/>
        <v>nic-001-vmpfbpf2olg13</v>
      </c>
      <c r="O152" s="94" t="s">
        <v>404</v>
      </c>
      <c r="P152" s="46" t="s">
        <v>63</v>
      </c>
      <c r="Q152" s="42" t="str">
        <f>VLOOKUP(VmSpecs[[#This Row],[Original Hostname (CMO)]],'SSOT Data'!A:E,5,FALSE)</f>
        <v>OEL7.9</v>
      </c>
      <c r="R152" s="42"/>
      <c r="S152" s="42" t="str">
        <f>_xlfn.CONCAT("avail-",LEFT(VmSpecs[[#This Row],[VM Name]],LEN(VmSpecs[[#This Row],[VM Name]])-2))</f>
        <v>avail-vmpfbpf2olg</v>
      </c>
      <c r="T152" s="42" t="str">
        <f>_xlfn.CONCAT("asg-",LEFT(VmSpecs[[#This Row],[VM Name]],LEN(VmSpecs[[#This Row],[VM Name]])-2))</f>
        <v>asg-vmpfbpf2olg</v>
      </c>
      <c r="U152" s="42" t="str">
        <f>_xlfn.CONCAT("nsg-",VmSpecs[[#This Row],[Subnet]])</f>
        <v>nsg-sn-pfb-aue-pf2-app</v>
      </c>
      <c r="V152" s="42"/>
      <c r="W152" s="43" t="str">
        <f>VLOOKUP(VmSpecs[[#This Row],[Original Hostname (CMO)]],'SSOT Data'!A:AX,50,FALSE)</f>
        <v>Standard_D8s_v4</v>
      </c>
      <c r="X152" s="43">
        <v>64</v>
      </c>
      <c r="Y152" s="43" t="s">
        <v>65</v>
      </c>
      <c r="Z152" s="43" t="str">
        <f>"osdisk-"&amp;VmSpecs[[#This Row],[VM Name]]</f>
        <v>osdisk-vmpfbpf2olg13</v>
      </c>
      <c r="AA152" s="47" t="s">
        <v>66</v>
      </c>
      <c r="AB152" s="73">
        <v>8</v>
      </c>
      <c r="AC152" s="74" t="s">
        <v>65</v>
      </c>
      <c r="AD152" s="84" t="str">
        <f>"disk-"&amp;VmSpecs[[#This Row],[VM Name]]&amp;"-001"</f>
        <v>disk-vmpfbpf2olg13-001</v>
      </c>
      <c r="AE152" s="73">
        <v>32</v>
      </c>
      <c r="AF152" s="74" t="s">
        <v>65</v>
      </c>
      <c r="AG152" s="85" t="str">
        <f>"disk-"&amp;VmSpecs[[#This Row],[VM Name]]&amp;"-002"</f>
        <v>disk-vmpfbpf2olg13-002</v>
      </c>
      <c r="AH152" s="59"/>
      <c r="AI152" s="42"/>
      <c r="AJ152" s="42"/>
      <c r="AK152" s="42"/>
      <c r="AL152" s="42" t="str">
        <f>MID(VmSpecs[[#This Row],[VM Name]],3,9)</f>
        <v>pfbpf2olg</v>
      </c>
      <c r="AM152" s="42" t="str" cm="1">
        <f t="array" ref="AM152">_xlfn.TEXTJOIN(CHAR(10), TRUE, IF(NfsExports[FMO Single VM IP]=VmSpecs[[#This Row],[IP]],NfsExports[FMO Export Summary],""))</f>
        <v>/apps/pcehr 30GB</v>
      </c>
      <c r="AN152" s="43" t="str" cm="1">
        <f t="array" ref="AN15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52" s="42"/>
      <c r="AP152" s="42" t="str">
        <f>VmSpecs[[#This Row],[Description]]</f>
        <v>OSB Log N13</v>
      </c>
      <c r="AQ152" s="43"/>
      <c r="AR152" s="43"/>
      <c r="AS152" s="43"/>
      <c r="AT152" s="43"/>
      <c r="AU152" s="43"/>
      <c r="AV152" s="42"/>
      <c r="AW152" s="42"/>
      <c r="AX152" s="42"/>
      <c r="AY152" s="42"/>
      <c r="AZ152" s="42"/>
      <c r="BA152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N13"
Application Service: "OLG"
Lifecycle: "PFB"</v>
      </c>
      <c r="BB152" s="42" t="s">
        <v>405</v>
      </c>
      <c r="BC152" s="42" t="str">
        <f>VLOOKUP(VmSpecs[[#This Row],[Original Hostname (CMO)]],'SSOT Data'!A:AJ,36,FALSE)</f>
        <v>OSB Log N13</v>
      </c>
      <c r="BD152" s="133">
        <f>VLOOKUP(VmSpecs[[#This Row],[Original Hostname (CMO)]],'SSOT Data'!A:AQ,43,FALSE)</f>
        <v>2</v>
      </c>
    </row>
    <row r="153" spans="1:56" ht="43.5" x14ac:dyDescent="0.35">
      <c r="A153" s="42"/>
      <c r="B153" s="42" t="str">
        <f>_xlfn.XLOOKUP(VmSpecs[[#This Row],[Subnet]],NetworkReference[Subnet],NetworkReference[Subscription])</f>
        <v>NINP-PERF2</v>
      </c>
      <c r="C153" s="43" t="str">
        <f>_xlfn.XLOOKUP(VmSpecs[[#This Row],[Subnet]],NetworkReference[Subnet],NetworkReference[Virtual Network Resource Group])</f>
        <v>rg-pf2-network-aue-001</v>
      </c>
      <c r="D153" s="43" t="str">
        <f>_xlfn.XLOOKUP(VmSpecs[[#This Row],[Subnet]],NetworkReference[Subnet],NetworkReference[Virtual Network])</f>
        <v>vnet-pf2-workload-aue-001</v>
      </c>
      <c r="E153" s="132" t="s">
        <v>59</v>
      </c>
      <c r="F153" s="43" t="str">
        <f>_xlfn.XLOOKUP(VmSpecs[[#This Row],[Subnet]],NetworkReference[Subnet],NetworkReference[Virtual Network Peering])</f>
        <v>vnet-ninp-conn-pnp-hub-aue</v>
      </c>
      <c r="G153" s="43" t="str">
        <f>_xlfn.XLOOKUP(VmSpecs[[#This Row],[Subnet]],NetworkReference[Subnet],NetworkReference[Route Table])</f>
        <v>rt-sn-pfb-aue-pf2-app</v>
      </c>
      <c r="H153" s="43" t="str">
        <f>LOWER(VLOOKUP(VmSpecs[[#This Row],[Original Hostname (CMO)]],'SSOT Data'!A:K,10,FALSE))</f>
        <v>olg</v>
      </c>
      <c r="I15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53" s="44" t="s">
        <v>144</v>
      </c>
      <c r="K153" s="43" t="str">
        <f>_xlfn.CONCAT("vm",MID(VmSpecs[[#This Row],[Subnet]],4,3),VLOOKUP(VmSpecs[[#This Row],[Subscription]],NetworkReference[#All],2,FALSE),VmSpecs[[#This Row],[Service]],VmSpecs[[#This Row],[VM iteration (nn)]])</f>
        <v>vmpfbpf2olg14</v>
      </c>
      <c r="L153" s="45" t="s">
        <v>61</v>
      </c>
      <c r="M153" s="43" t="str">
        <f>VmSpecs[[#This Row],[VM Name]]&amp;".ninp.myhealthrecord.gov.au"</f>
        <v>vmpfbpf2olg14.ninp.myhealthrecord.gov.au</v>
      </c>
      <c r="N153" s="42" t="str">
        <f t="shared" si="2"/>
        <v>nic-001-vmpfbpf2olg14</v>
      </c>
      <c r="O153" s="94" t="s">
        <v>406</v>
      </c>
      <c r="P153" s="46" t="s">
        <v>63</v>
      </c>
      <c r="Q153" s="42" t="str">
        <f>VLOOKUP(VmSpecs[[#This Row],[Original Hostname (CMO)]],'SSOT Data'!A:E,5,FALSE)</f>
        <v>OEL7.9</v>
      </c>
      <c r="R153" s="42"/>
      <c r="S153" s="42" t="str">
        <f>_xlfn.CONCAT("avail-",LEFT(VmSpecs[[#This Row],[VM Name]],LEN(VmSpecs[[#This Row],[VM Name]])-2))</f>
        <v>avail-vmpfbpf2olg</v>
      </c>
      <c r="T153" s="42" t="str">
        <f>_xlfn.CONCAT("asg-",LEFT(VmSpecs[[#This Row],[VM Name]],LEN(VmSpecs[[#This Row],[VM Name]])-2))</f>
        <v>asg-vmpfbpf2olg</v>
      </c>
      <c r="U153" s="42" t="str">
        <f>_xlfn.CONCAT("nsg-",VmSpecs[[#This Row],[Subnet]])</f>
        <v>nsg-sn-pfb-aue-pf2-app</v>
      </c>
      <c r="V153" s="42"/>
      <c r="W153" s="43" t="str">
        <f>VLOOKUP(VmSpecs[[#This Row],[Original Hostname (CMO)]],'SSOT Data'!A:AX,50,FALSE)</f>
        <v>Standard_D8s_v4</v>
      </c>
      <c r="X153" s="43">
        <v>64</v>
      </c>
      <c r="Y153" s="43" t="s">
        <v>65</v>
      </c>
      <c r="Z153" s="43" t="str">
        <f>"osdisk-"&amp;VmSpecs[[#This Row],[VM Name]]</f>
        <v>osdisk-vmpfbpf2olg14</v>
      </c>
      <c r="AA153" s="47" t="s">
        <v>66</v>
      </c>
      <c r="AB153" s="73">
        <v>8</v>
      </c>
      <c r="AC153" s="74" t="s">
        <v>65</v>
      </c>
      <c r="AD153" s="84" t="str">
        <f>"disk-"&amp;VmSpecs[[#This Row],[VM Name]]&amp;"-001"</f>
        <v>disk-vmpfbpf2olg14-001</v>
      </c>
      <c r="AE153" s="73">
        <v>32</v>
      </c>
      <c r="AF153" s="74" t="s">
        <v>65</v>
      </c>
      <c r="AG153" s="85" t="str">
        <f>"disk-"&amp;VmSpecs[[#This Row],[VM Name]]&amp;"-002"</f>
        <v>disk-vmpfbpf2olg14-002</v>
      </c>
      <c r="AH153" s="59"/>
      <c r="AI153" s="42"/>
      <c r="AJ153" s="42"/>
      <c r="AK153" s="42"/>
      <c r="AL153" s="42" t="str">
        <f>MID(VmSpecs[[#This Row],[VM Name]],3,9)</f>
        <v>pfbpf2olg</v>
      </c>
      <c r="AM153" s="42" t="str" cm="1">
        <f t="array" ref="AM153">_xlfn.TEXTJOIN(CHAR(10), TRUE, IF(NfsExports[FMO Single VM IP]=VmSpecs[[#This Row],[IP]],NfsExports[FMO Export Summary],""))</f>
        <v>/apps/pcehr 30GB</v>
      </c>
      <c r="AN153" s="43" t="str" cm="1">
        <f t="array" ref="AN15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53" s="42"/>
      <c r="AP153" s="42" t="str">
        <f>VmSpecs[[#This Row],[Description]]</f>
        <v>OSB Log N14</v>
      </c>
      <c r="AQ153" s="43"/>
      <c r="AR153" s="43"/>
      <c r="AS153" s="43"/>
      <c r="AT153" s="43"/>
      <c r="AU153" s="43"/>
      <c r="AV153" s="42"/>
      <c r="AW153" s="42"/>
      <c r="AX153" s="42"/>
      <c r="AY153" s="42"/>
      <c r="AZ153" s="42"/>
      <c r="BA153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N14"
Application Service: "OLG"
Lifecycle: "PFB"</v>
      </c>
      <c r="BB153" s="42" t="s">
        <v>407</v>
      </c>
      <c r="BC153" s="42" t="str">
        <f>VLOOKUP(VmSpecs[[#This Row],[Original Hostname (CMO)]],'SSOT Data'!A:AJ,36,FALSE)</f>
        <v>OSB Log N14</v>
      </c>
      <c r="BD153" s="133">
        <f>VLOOKUP(VmSpecs[[#This Row],[Original Hostname (CMO)]],'SSOT Data'!A:AQ,43,FALSE)</f>
        <v>2</v>
      </c>
    </row>
    <row r="154" spans="1:56" ht="43.5" x14ac:dyDescent="0.35">
      <c r="A154" s="42"/>
      <c r="B154" s="42" t="str">
        <f>_xlfn.XLOOKUP(VmSpecs[[#This Row],[Subnet]],NetworkReference[Subnet],NetworkReference[Subscription])</f>
        <v>NINP-PERF2</v>
      </c>
      <c r="C154" s="43" t="str">
        <f>_xlfn.XLOOKUP(VmSpecs[[#This Row],[Subnet]],NetworkReference[Subnet],NetworkReference[Virtual Network Resource Group])</f>
        <v>rg-pf2-network-aue-001</v>
      </c>
      <c r="D154" s="43" t="str">
        <f>_xlfn.XLOOKUP(VmSpecs[[#This Row],[Subnet]],NetworkReference[Subnet],NetworkReference[Virtual Network])</f>
        <v>vnet-pf2-workload-aue-001</v>
      </c>
      <c r="E154" s="132" t="s">
        <v>59</v>
      </c>
      <c r="F154" s="43" t="str">
        <f>_xlfn.XLOOKUP(VmSpecs[[#This Row],[Subnet]],NetworkReference[Subnet],NetworkReference[Virtual Network Peering])</f>
        <v>vnet-ninp-conn-pnp-hub-aue</v>
      </c>
      <c r="G154" s="43" t="str">
        <f>_xlfn.XLOOKUP(VmSpecs[[#This Row],[Subnet]],NetworkReference[Subnet],NetworkReference[Route Table])</f>
        <v>rt-sn-pfb-aue-pf2-app</v>
      </c>
      <c r="H154" s="43" t="str">
        <f>LOWER(VLOOKUP(VmSpecs[[#This Row],[Original Hostname (CMO)]],'SSOT Data'!A:K,10,FALSE))</f>
        <v>olg</v>
      </c>
      <c r="I15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54" s="44" t="s">
        <v>147</v>
      </c>
      <c r="K154" s="43" t="str">
        <f>_xlfn.CONCAT("vm",MID(VmSpecs[[#This Row],[Subnet]],4,3),VLOOKUP(VmSpecs[[#This Row],[Subscription]],NetworkReference[#All],2,FALSE),VmSpecs[[#This Row],[Service]],VmSpecs[[#This Row],[VM iteration (nn)]])</f>
        <v>vmpfbpf2olg15</v>
      </c>
      <c r="L154" s="45" t="s">
        <v>61</v>
      </c>
      <c r="M154" s="43" t="str">
        <f>VmSpecs[[#This Row],[VM Name]]&amp;".ninp.myhealthrecord.gov.au"</f>
        <v>vmpfbpf2olg15.ninp.myhealthrecord.gov.au</v>
      </c>
      <c r="N154" s="42" t="str">
        <f t="shared" si="2"/>
        <v>nic-001-vmpfbpf2olg15</v>
      </c>
      <c r="O154" s="94" t="s">
        <v>408</v>
      </c>
      <c r="P154" s="46" t="s">
        <v>63</v>
      </c>
      <c r="Q154" s="42" t="str">
        <f>VLOOKUP(VmSpecs[[#This Row],[Original Hostname (CMO)]],'SSOT Data'!A:E,5,FALSE)</f>
        <v>OEL7.9</v>
      </c>
      <c r="R154" s="42"/>
      <c r="S154" s="42" t="str">
        <f>_xlfn.CONCAT("avail-",LEFT(VmSpecs[[#This Row],[VM Name]],LEN(VmSpecs[[#This Row],[VM Name]])-2))</f>
        <v>avail-vmpfbpf2olg</v>
      </c>
      <c r="T154" s="42" t="str">
        <f>_xlfn.CONCAT("asg-",LEFT(VmSpecs[[#This Row],[VM Name]],LEN(VmSpecs[[#This Row],[VM Name]])-2))</f>
        <v>asg-vmpfbpf2olg</v>
      </c>
      <c r="U154" s="42" t="str">
        <f>_xlfn.CONCAT("nsg-",VmSpecs[[#This Row],[Subnet]])</f>
        <v>nsg-sn-pfb-aue-pf2-app</v>
      </c>
      <c r="V154" s="42"/>
      <c r="W154" s="43" t="str">
        <f>VLOOKUP(VmSpecs[[#This Row],[Original Hostname (CMO)]],'SSOT Data'!A:AX,50,FALSE)</f>
        <v>Standard_D8s_v4</v>
      </c>
      <c r="X154" s="43">
        <v>64</v>
      </c>
      <c r="Y154" s="43" t="s">
        <v>65</v>
      </c>
      <c r="Z154" s="43" t="str">
        <f>"osdisk-"&amp;VmSpecs[[#This Row],[VM Name]]</f>
        <v>osdisk-vmpfbpf2olg15</v>
      </c>
      <c r="AA154" s="47" t="s">
        <v>66</v>
      </c>
      <c r="AB154" s="73">
        <v>8</v>
      </c>
      <c r="AC154" s="74" t="s">
        <v>65</v>
      </c>
      <c r="AD154" s="84" t="str">
        <f>"disk-"&amp;VmSpecs[[#This Row],[VM Name]]&amp;"-001"</f>
        <v>disk-vmpfbpf2olg15-001</v>
      </c>
      <c r="AE154" s="73">
        <v>32</v>
      </c>
      <c r="AF154" s="74" t="s">
        <v>65</v>
      </c>
      <c r="AG154" s="85" t="str">
        <f>"disk-"&amp;VmSpecs[[#This Row],[VM Name]]&amp;"-002"</f>
        <v>disk-vmpfbpf2olg15-002</v>
      </c>
      <c r="AH154" s="59"/>
      <c r="AI154" s="42"/>
      <c r="AJ154" s="42"/>
      <c r="AK154" s="42"/>
      <c r="AL154" s="42" t="str">
        <f>MID(VmSpecs[[#This Row],[VM Name]],3,9)</f>
        <v>pfbpf2olg</v>
      </c>
      <c r="AM154" s="42" t="str" cm="1">
        <f t="array" ref="AM154">_xlfn.TEXTJOIN(CHAR(10), TRUE, IF(NfsExports[FMO Single VM IP]=VmSpecs[[#This Row],[IP]],NfsExports[FMO Export Summary],""))</f>
        <v>/apps/pcehr 30GB</v>
      </c>
      <c r="AN154" s="43" t="str" cm="1">
        <f t="array" ref="AN15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54" s="42"/>
      <c r="AP154" s="42" t="str">
        <f>VmSpecs[[#This Row],[Description]]</f>
        <v>OSB Log N15</v>
      </c>
      <c r="AQ154" s="43"/>
      <c r="AR154" s="43"/>
      <c r="AS154" s="43"/>
      <c r="AT154" s="43"/>
      <c r="AU154" s="43"/>
      <c r="AV154" s="42"/>
      <c r="AW154" s="42"/>
      <c r="AX154" s="42"/>
      <c r="AY154" s="42"/>
      <c r="AZ154" s="42"/>
      <c r="BA154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N15"
Application Service: "OLG"
Lifecycle: "PFB"</v>
      </c>
      <c r="BB154" s="42" t="s">
        <v>409</v>
      </c>
      <c r="BC154" s="42" t="str">
        <f>VLOOKUP(VmSpecs[[#This Row],[Original Hostname (CMO)]],'SSOT Data'!A:AJ,36,FALSE)</f>
        <v>OSB Log N15</v>
      </c>
      <c r="BD154" s="133">
        <f>VLOOKUP(VmSpecs[[#This Row],[Original Hostname (CMO)]],'SSOT Data'!A:AQ,43,FALSE)</f>
        <v>2</v>
      </c>
    </row>
    <row r="155" spans="1:56" ht="43.5" x14ac:dyDescent="0.35">
      <c r="A155" s="42"/>
      <c r="B155" s="42" t="str">
        <f>_xlfn.XLOOKUP(VmSpecs[[#This Row],[Subnet]],NetworkReference[Subnet],NetworkReference[Subscription])</f>
        <v>NINP-PERF2</v>
      </c>
      <c r="C155" s="43" t="str">
        <f>_xlfn.XLOOKUP(VmSpecs[[#This Row],[Subnet]],NetworkReference[Subnet],NetworkReference[Virtual Network Resource Group])</f>
        <v>rg-pf2-network-aue-001</v>
      </c>
      <c r="D155" s="43" t="str">
        <f>_xlfn.XLOOKUP(VmSpecs[[#This Row],[Subnet]],NetworkReference[Subnet],NetworkReference[Virtual Network])</f>
        <v>vnet-pf2-workload-aue-001</v>
      </c>
      <c r="E155" s="132" t="s">
        <v>59</v>
      </c>
      <c r="F155" s="43" t="str">
        <f>_xlfn.XLOOKUP(VmSpecs[[#This Row],[Subnet]],NetworkReference[Subnet],NetworkReference[Virtual Network Peering])</f>
        <v>vnet-ninp-conn-pnp-hub-aue</v>
      </c>
      <c r="G155" s="43" t="str">
        <f>_xlfn.XLOOKUP(VmSpecs[[#This Row],[Subnet]],NetworkReference[Subnet],NetworkReference[Route Table])</f>
        <v>rt-sn-pfb-aue-pf2-app</v>
      </c>
      <c r="H155" s="43" t="str">
        <f>LOWER(VLOOKUP(VmSpecs[[#This Row],[Original Hostname (CMO)]],'SSOT Data'!A:K,10,FALSE))</f>
        <v>olg</v>
      </c>
      <c r="I15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55" s="44" t="s">
        <v>150</v>
      </c>
      <c r="K155" s="43" t="str">
        <f>_xlfn.CONCAT("vm",MID(VmSpecs[[#This Row],[Subnet]],4,3),VLOOKUP(VmSpecs[[#This Row],[Subscription]],NetworkReference[#All],2,FALSE),VmSpecs[[#This Row],[Service]],VmSpecs[[#This Row],[VM iteration (nn)]])</f>
        <v>vmpfbpf2olg16</v>
      </c>
      <c r="L155" s="45" t="s">
        <v>61</v>
      </c>
      <c r="M155" s="43" t="str">
        <f>VmSpecs[[#This Row],[VM Name]]&amp;".ninp.myhealthrecord.gov.au"</f>
        <v>vmpfbpf2olg16.ninp.myhealthrecord.gov.au</v>
      </c>
      <c r="N155" s="42" t="str">
        <f t="shared" si="2"/>
        <v>nic-001-vmpfbpf2olg16</v>
      </c>
      <c r="O155" s="94" t="s">
        <v>410</v>
      </c>
      <c r="P155" s="46" t="s">
        <v>63</v>
      </c>
      <c r="Q155" s="42" t="str">
        <f>VLOOKUP(VmSpecs[[#This Row],[Original Hostname (CMO)]],'SSOT Data'!A:E,5,FALSE)</f>
        <v>OEL7.9</v>
      </c>
      <c r="R155" s="42"/>
      <c r="S155" s="42" t="str">
        <f>_xlfn.CONCAT("avail-",LEFT(VmSpecs[[#This Row],[VM Name]],LEN(VmSpecs[[#This Row],[VM Name]])-2))</f>
        <v>avail-vmpfbpf2olg</v>
      </c>
      <c r="T155" s="42" t="str">
        <f>_xlfn.CONCAT("asg-",LEFT(VmSpecs[[#This Row],[VM Name]],LEN(VmSpecs[[#This Row],[VM Name]])-2))</f>
        <v>asg-vmpfbpf2olg</v>
      </c>
      <c r="U155" s="42" t="str">
        <f>_xlfn.CONCAT("nsg-",VmSpecs[[#This Row],[Subnet]])</f>
        <v>nsg-sn-pfb-aue-pf2-app</v>
      </c>
      <c r="V155" s="42"/>
      <c r="W155" s="43" t="str">
        <f>VLOOKUP(VmSpecs[[#This Row],[Original Hostname (CMO)]],'SSOT Data'!A:AX,50,FALSE)</f>
        <v>Standard_D8s_v4</v>
      </c>
      <c r="X155" s="43">
        <v>64</v>
      </c>
      <c r="Y155" s="43" t="s">
        <v>65</v>
      </c>
      <c r="Z155" s="43" t="str">
        <f>"osdisk-"&amp;VmSpecs[[#This Row],[VM Name]]</f>
        <v>osdisk-vmpfbpf2olg16</v>
      </c>
      <c r="AA155" s="47" t="s">
        <v>66</v>
      </c>
      <c r="AB155" s="73">
        <v>8</v>
      </c>
      <c r="AC155" s="74" t="s">
        <v>65</v>
      </c>
      <c r="AD155" s="84" t="str">
        <f>"disk-"&amp;VmSpecs[[#This Row],[VM Name]]&amp;"-001"</f>
        <v>disk-vmpfbpf2olg16-001</v>
      </c>
      <c r="AE155" s="73">
        <v>32</v>
      </c>
      <c r="AF155" s="74" t="s">
        <v>65</v>
      </c>
      <c r="AG155" s="85" t="str">
        <f>"disk-"&amp;VmSpecs[[#This Row],[VM Name]]&amp;"-002"</f>
        <v>disk-vmpfbpf2olg16-002</v>
      </c>
      <c r="AH155" s="59"/>
      <c r="AI155" s="42"/>
      <c r="AJ155" s="42"/>
      <c r="AK155" s="42"/>
      <c r="AL155" s="42" t="str">
        <f>MID(VmSpecs[[#This Row],[VM Name]],3,9)</f>
        <v>pfbpf2olg</v>
      </c>
      <c r="AM155" s="42" t="str" cm="1">
        <f t="array" ref="AM155">_xlfn.TEXTJOIN(CHAR(10), TRUE, IF(NfsExports[FMO Single VM IP]=VmSpecs[[#This Row],[IP]],NfsExports[FMO Export Summary],""))</f>
        <v>/apps/pcehr 30GB</v>
      </c>
      <c r="AN155" s="43" t="str" cm="1">
        <f t="array" ref="AN15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55" s="42"/>
      <c r="AP155" s="42" t="str">
        <f>VmSpecs[[#This Row],[Description]]</f>
        <v>OSB Log N16</v>
      </c>
      <c r="AQ155" s="43"/>
      <c r="AR155" s="43"/>
      <c r="AS155" s="43"/>
      <c r="AT155" s="43"/>
      <c r="AU155" s="43"/>
      <c r="AV155" s="42"/>
      <c r="AW155" s="42"/>
      <c r="AX155" s="42"/>
      <c r="AY155" s="42"/>
      <c r="AZ155" s="42"/>
      <c r="BA155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N16"
Application Service: "OLG"
Lifecycle: "PFB"</v>
      </c>
      <c r="BB155" s="42" t="s">
        <v>411</v>
      </c>
      <c r="BC155" s="42" t="str">
        <f>VLOOKUP(VmSpecs[[#This Row],[Original Hostname (CMO)]],'SSOT Data'!A:AJ,36,FALSE)</f>
        <v>OSB Log N16</v>
      </c>
      <c r="BD155" s="133">
        <f>VLOOKUP(VmSpecs[[#This Row],[Original Hostname (CMO)]],'SSOT Data'!A:AQ,43,FALSE)</f>
        <v>2</v>
      </c>
    </row>
    <row r="156" spans="1:56" ht="43.5" x14ac:dyDescent="0.35">
      <c r="A156" s="42"/>
      <c r="B156" s="42" t="str">
        <f>_xlfn.XLOOKUP(VmSpecs[[#This Row],[Subnet]],NetworkReference[Subnet],NetworkReference[Subscription])</f>
        <v>NINP-PERF2</v>
      </c>
      <c r="C156" s="43" t="str">
        <f>_xlfn.XLOOKUP(VmSpecs[[#This Row],[Subnet]],NetworkReference[Subnet],NetworkReference[Virtual Network Resource Group])</f>
        <v>rg-pf2-network-aue-001</v>
      </c>
      <c r="D156" s="43" t="str">
        <f>_xlfn.XLOOKUP(VmSpecs[[#This Row],[Subnet]],NetworkReference[Subnet],NetworkReference[Virtual Network])</f>
        <v>vnet-pf2-workload-aue-001</v>
      </c>
      <c r="E156" s="132" t="s">
        <v>59</v>
      </c>
      <c r="F156" s="43" t="str">
        <f>_xlfn.XLOOKUP(VmSpecs[[#This Row],[Subnet]],NetworkReference[Subnet],NetworkReference[Virtual Network Peering])</f>
        <v>vnet-ninp-conn-pnp-hub-aue</v>
      </c>
      <c r="G156" s="43" t="str">
        <f>_xlfn.XLOOKUP(VmSpecs[[#This Row],[Subnet]],NetworkReference[Subnet],NetworkReference[Route Table])</f>
        <v>rt-sn-pfb-aue-pf2-app</v>
      </c>
      <c r="H156" s="43" t="str">
        <f>LOWER(VLOOKUP(VmSpecs[[#This Row],[Original Hostname (CMO)]],'SSOT Data'!A:K,10,FALSE))</f>
        <v>olg</v>
      </c>
      <c r="I15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56" s="44" t="s">
        <v>153</v>
      </c>
      <c r="K156" s="43" t="str">
        <f>_xlfn.CONCAT("vm",MID(VmSpecs[[#This Row],[Subnet]],4,3),VLOOKUP(VmSpecs[[#This Row],[Subscription]],NetworkReference[#All],2,FALSE),VmSpecs[[#This Row],[Service]],VmSpecs[[#This Row],[VM iteration (nn)]])</f>
        <v>vmpfbpf2olg17</v>
      </c>
      <c r="L156" s="45" t="s">
        <v>61</v>
      </c>
      <c r="M156" s="43" t="str">
        <f>VmSpecs[[#This Row],[VM Name]]&amp;".ninp.myhealthrecord.gov.au"</f>
        <v>vmpfbpf2olg17.ninp.myhealthrecord.gov.au</v>
      </c>
      <c r="N156" s="42" t="str">
        <f t="shared" si="2"/>
        <v>nic-001-vmpfbpf2olg17</v>
      </c>
      <c r="O156" s="94" t="s">
        <v>412</v>
      </c>
      <c r="P156" s="46" t="s">
        <v>63</v>
      </c>
      <c r="Q156" s="42" t="str">
        <f>VLOOKUP(VmSpecs[[#This Row],[Original Hostname (CMO)]],'SSOT Data'!A:E,5,FALSE)</f>
        <v>OEL7.9</v>
      </c>
      <c r="R156" s="42"/>
      <c r="S156" s="42" t="str">
        <f>_xlfn.CONCAT("avail-",LEFT(VmSpecs[[#This Row],[VM Name]],LEN(VmSpecs[[#This Row],[VM Name]])-2))</f>
        <v>avail-vmpfbpf2olg</v>
      </c>
      <c r="T156" s="42" t="str">
        <f>_xlfn.CONCAT("asg-",LEFT(VmSpecs[[#This Row],[VM Name]],LEN(VmSpecs[[#This Row],[VM Name]])-2))</f>
        <v>asg-vmpfbpf2olg</v>
      </c>
      <c r="U156" s="42" t="str">
        <f>_xlfn.CONCAT("nsg-",VmSpecs[[#This Row],[Subnet]])</f>
        <v>nsg-sn-pfb-aue-pf2-app</v>
      </c>
      <c r="V156" s="42"/>
      <c r="W156" s="43" t="str">
        <f>VLOOKUP(VmSpecs[[#This Row],[Original Hostname (CMO)]],'SSOT Data'!A:AX,50,FALSE)</f>
        <v>Standard_D8s_v4</v>
      </c>
      <c r="X156" s="43">
        <v>64</v>
      </c>
      <c r="Y156" s="43" t="s">
        <v>65</v>
      </c>
      <c r="Z156" s="43" t="str">
        <f>"osdisk-"&amp;VmSpecs[[#This Row],[VM Name]]</f>
        <v>osdisk-vmpfbpf2olg17</v>
      </c>
      <c r="AA156" s="47" t="s">
        <v>66</v>
      </c>
      <c r="AB156" s="73">
        <v>8</v>
      </c>
      <c r="AC156" s="74" t="s">
        <v>65</v>
      </c>
      <c r="AD156" s="84" t="str">
        <f>"disk-"&amp;VmSpecs[[#This Row],[VM Name]]&amp;"-001"</f>
        <v>disk-vmpfbpf2olg17-001</v>
      </c>
      <c r="AE156" s="73">
        <v>32</v>
      </c>
      <c r="AF156" s="74" t="s">
        <v>65</v>
      </c>
      <c r="AG156" s="85" t="str">
        <f>"disk-"&amp;VmSpecs[[#This Row],[VM Name]]&amp;"-002"</f>
        <v>disk-vmpfbpf2olg17-002</v>
      </c>
      <c r="AH156" s="59"/>
      <c r="AI156" s="42"/>
      <c r="AJ156" s="42"/>
      <c r="AK156" s="42"/>
      <c r="AL156" s="42" t="str">
        <f>MID(VmSpecs[[#This Row],[VM Name]],3,9)</f>
        <v>pfbpf2olg</v>
      </c>
      <c r="AM156" s="42" t="str" cm="1">
        <f t="array" ref="AM156">_xlfn.TEXTJOIN(CHAR(10), TRUE, IF(NfsExports[FMO Single VM IP]=VmSpecs[[#This Row],[IP]],NfsExports[FMO Export Summary],""))</f>
        <v>/apps/pcehr 30GB</v>
      </c>
      <c r="AN156" s="43" t="str" cm="1">
        <f t="array" ref="AN15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56" s="42"/>
      <c r="AP156" s="42" t="str">
        <f>VmSpecs[[#This Row],[Description]]</f>
        <v>OSB Log N17</v>
      </c>
      <c r="AQ156" s="43"/>
      <c r="AR156" s="43"/>
      <c r="AS156" s="43"/>
      <c r="AT156" s="43"/>
      <c r="AU156" s="43"/>
      <c r="AV156" s="42"/>
      <c r="AW156" s="42"/>
      <c r="AX156" s="42"/>
      <c r="AY156" s="42"/>
      <c r="AZ156" s="42"/>
      <c r="BA156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N17"
Application Service: "OLG"
Lifecycle: "PFB"</v>
      </c>
      <c r="BB156" s="42" t="s">
        <v>413</v>
      </c>
      <c r="BC156" s="42" t="str">
        <f>VLOOKUP(VmSpecs[[#This Row],[Original Hostname (CMO)]],'SSOT Data'!A:AJ,36,FALSE)</f>
        <v>OSB Log N17</v>
      </c>
      <c r="BD156" s="133">
        <f>VLOOKUP(VmSpecs[[#This Row],[Original Hostname (CMO)]],'SSOT Data'!A:AQ,43,FALSE)</f>
        <v>2</v>
      </c>
    </row>
    <row r="157" spans="1:56" ht="43.5" x14ac:dyDescent="0.35">
      <c r="A157" s="42"/>
      <c r="B157" s="42" t="str">
        <f>_xlfn.XLOOKUP(VmSpecs[[#This Row],[Subnet]],NetworkReference[Subnet],NetworkReference[Subscription])</f>
        <v>NINP-PERF2</v>
      </c>
      <c r="C157" s="43" t="str">
        <f>_xlfn.XLOOKUP(VmSpecs[[#This Row],[Subnet]],NetworkReference[Subnet],NetworkReference[Virtual Network Resource Group])</f>
        <v>rg-pf2-network-aue-001</v>
      </c>
      <c r="D157" s="43" t="str">
        <f>_xlfn.XLOOKUP(VmSpecs[[#This Row],[Subnet]],NetworkReference[Subnet],NetworkReference[Virtual Network])</f>
        <v>vnet-pf2-workload-aue-001</v>
      </c>
      <c r="E157" s="132" t="s">
        <v>59</v>
      </c>
      <c r="F157" s="43" t="str">
        <f>_xlfn.XLOOKUP(VmSpecs[[#This Row],[Subnet]],NetworkReference[Subnet],NetworkReference[Virtual Network Peering])</f>
        <v>vnet-ninp-conn-pnp-hub-aue</v>
      </c>
      <c r="G157" s="43" t="str">
        <f>_xlfn.XLOOKUP(VmSpecs[[#This Row],[Subnet]],NetworkReference[Subnet],NetworkReference[Route Table])</f>
        <v>rt-sn-pfb-aue-pf2-app</v>
      </c>
      <c r="H157" s="43" t="str">
        <f>LOWER(VLOOKUP(VmSpecs[[#This Row],[Original Hostname (CMO)]],'SSOT Data'!A:K,10,FALSE))</f>
        <v>olg</v>
      </c>
      <c r="I15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57" s="44" t="s">
        <v>156</v>
      </c>
      <c r="K157" s="43" t="str">
        <f>_xlfn.CONCAT("vm",MID(VmSpecs[[#This Row],[Subnet]],4,3),VLOOKUP(VmSpecs[[#This Row],[Subscription]],NetworkReference[#All],2,FALSE),VmSpecs[[#This Row],[Service]],VmSpecs[[#This Row],[VM iteration (nn)]])</f>
        <v>vmpfbpf2olg18</v>
      </c>
      <c r="L157" s="45" t="s">
        <v>61</v>
      </c>
      <c r="M157" s="43" t="str">
        <f>VmSpecs[[#This Row],[VM Name]]&amp;".ninp.myhealthrecord.gov.au"</f>
        <v>vmpfbpf2olg18.ninp.myhealthrecord.gov.au</v>
      </c>
      <c r="N157" s="42" t="str">
        <f t="shared" si="2"/>
        <v>nic-001-vmpfbpf2olg18</v>
      </c>
      <c r="O157" s="94" t="s">
        <v>414</v>
      </c>
      <c r="P157" s="46" t="s">
        <v>63</v>
      </c>
      <c r="Q157" s="42" t="str">
        <f>VLOOKUP(VmSpecs[[#This Row],[Original Hostname (CMO)]],'SSOT Data'!A:E,5,FALSE)</f>
        <v>OEL7.9</v>
      </c>
      <c r="R157" s="42"/>
      <c r="S157" s="42" t="str">
        <f>_xlfn.CONCAT("avail-",LEFT(VmSpecs[[#This Row],[VM Name]],LEN(VmSpecs[[#This Row],[VM Name]])-2))</f>
        <v>avail-vmpfbpf2olg</v>
      </c>
      <c r="T157" s="42" t="str">
        <f>_xlfn.CONCAT("asg-",LEFT(VmSpecs[[#This Row],[VM Name]],LEN(VmSpecs[[#This Row],[VM Name]])-2))</f>
        <v>asg-vmpfbpf2olg</v>
      </c>
      <c r="U157" s="42" t="str">
        <f>_xlfn.CONCAT("nsg-",VmSpecs[[#This Row],[Subnet]])</f>
        <v>nsg-sn-pfb-aue-pf2-app</v>
      </c>
      <c r="V157" s="42"/>
      <c r="W157" s="43" t="str">
        <f>VLOOKUP(VmSpecs[[#This Row],[Original Hostname (CMO)]],'SSOT Data'!A:AX,50,FALSE)</f>
        <v>Standard_D8s_v4</v>
      </c>
      <c r="X157" s="43">
        <v>64</v>
      </c>
      <c r="Y157" s="43" t="s">
        <v>65</v>
      </c>
      <c r="Z157" s="43" t="str">
        <f>"osdisk-"&amp;VmSpecs[[#This Row],[VM Name]]</f>
        <v>osdisk-vmpfbpf2olg18</v>
      </c>
      <c r="AA157" s="47" t="s">
        <v>66</v>
      </c>
      <c r="AB157" s="73">
        <v>8</v>
      </c>
      <c r="AC157" s="74" t="s">
        <v>65</v>
      </c>
      <c r="AD157" s="84" t="str">
        <f>"disk-"&amp;VmSpecs[[#This Row],[VM Name]]&amp;"-001"</f>
        <v>disk-vmpfbpf2olg18-001</v>
      </c>
      <c r="AE157" s="73">
        <v>32</v>
      </c>
      <c r="AF157" s="74" t="s">
        <v>65</v>
      </c>
      <c r="AG157" s="85" t="str">
        <f>"disk-"&amp;VmSpecs[[#This Row],[VM Name]]&amp;"-002"</f>
        <v>disk-vmpfbpf2olg18-002</v>
      </c>
      <c r="AH157" s="59"/>
      <c r="AI157" s="42"/>
      <c r="AJ157" s="42"/>
      <c r="AK157" s="42"/>
      <c r="AL157" s="42" t="str">
        <f>MID(VmSpecs[[#This Row],[VM Name]],3,9)</f>
        <v>pfbpf2olg</v>
      </c>
      <c r="AM157" s="42" t="str" cm="1">
        <f t="array" ref="AM157">_xlfn.TEXTJOIN(CHAR(10), TRUE, IF(NfsExports[FMO Single VM IP]=VmSpecs[[#This Row],[IP]],NfsExports[FMO Export Summary],""))</f>
        <v>/apps/pcehr 30GB</v>
      </c>
      <c r="AN157" s="43" t="str" cm="1">
        <f t="array" ref="AN15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57" s="42"/>
      <c r="AP157" s="42" t="str">
        <f>VmSpecs[[#This Row],[Description]]</f>
        <v>OSB Log N18</v>
      </c>
      <c r="AQ157" s="43"/>
      <c r="AR157" s="43"/>
      <c r="AS157" s="43"/>
      <c r="AT157" s="43"/>
      <c r="AU157" s="43"/>
      <c r="AV157" s="42"/>
      <c r="AW157" s="42"/>
      <c r="AX157" s="42"/>
      <c r="AY157" s="42"/>
      <c r="AZ157" s="42"/>
      <c r="BA157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N18"
Application Service: "OLG"
Lifecycle: "PFB"</v>
      </c>
      <c r="BB157" s="42" t="s">
        <v>415</v>
      </c>
      <c r="BC157" s="42" t="str">
        <f>VLOOKUP(VmSpecs[[#This Row],[Original Hostname (CMO)]],'SSOT Data'!A:AJ,36,FALSE)</f>
        <v>OSB Log N18</v>
      </c>
      <c r="BD157" s="133">
        <f>VLOOKUP(VmSpecs[[#This Row],[Original Hostname (CMO)]],'SSOT Data'!A:AQ,43,FALSE)</f>
        <v>2</v>
      </c>
    </row>
    <row r="158" spans="1:56" ht="43.5" x14ac:dyDescent="0.35">
      <c r="A158" s="42"/>
      <c r="B158" s="42" t="str">
        <f>_xlfn.XLOOKUP(VmSpecs[[#This Row],[Subnet]],NetworkReference[Subnet],NetworkReference[Subscription])</f>
        <v>NINP-PERF2</v>
      </c>
      <c r="C158" s="43" t="str">
        <f>_xlfn.XLOOKUP(VmSpecs[[#This Row],[Subnet]],NetworkReference[Subnet],NetworkReference[Virtual Network Resource Group])</f>
        <v>rg-pf2-network-aue-001</v>
      </c>
      <c r="D158" s="43" t="str">
        <f>_xlfn.XLOOKUP(VmSpecs[[#This Row],[Subnet]],NetworkReference[Subnet],NetworkReference[Virtual Network])</f>
        <v>vnet-pf2-workload-aue-001</v>
      </c>
      <c r="E158" s="132" t="s">
        <v>59</v>
      </c>
      <c r="F158" s="43" t="str">
        <f>_xlfn.XLOOKUP(VmSpecs[[#This Row],[Subnet]],NetworkReference[Subnet],NetworkReference[Virtual Network Peering])</f>
        <v>vnet-ninp-conn-pnp-hub-aue</v>
      </c>
      <c r="G158" s="43" t="str">
        <f>_xlfn.XLOOKUP(VmSpecs[[#This Row],[Subnet]],NetworkReference[Subnet],NetworkReference[Route Table])</f>
        <v>rt-sn-pfb-aue-pf2-app</v>
      </c>
      <c r="H158" s="43" t="str">
        <f>LOWER(VLOOKUP(VmSpecs[[#This Row],[Original Hostname (CMO)]],'SSOT Data'!A:K,10,FALSE))</f>
        <v>olg</v>
      </c>
      <c r="I15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58" s="44" t="s">
        <v>159</v>
      </c>
      <c r="K158" s="43" t="str">
        <f>_xlfn.CONCAT("vm",MID(VmSpecs[[#This Row],[Subnet]],4,3),VLOOKUP(VmSpecs[[#This Row],[Subscription]],NetworkReference[#All],2,FALSE),VmSpecs[[#This Row],[Service]],VmSpecs[[#This Row],[VM iteration (nn)]])</f>
        <v>vmpfbpf2olg19</v>
      </c>
      <c r="L158" s="45" t="s">
        <v>61</v>
      </c>
      <c r="M158" s="43" t="str">
        <f>VmSpecs[[#This Row],[VM Name]]&amp;".ninp.myhealthrecord.gov.au"</f>
        <v>vmpfbpf2olg19.ninp.myhealthrecord.gov.au</v>
      </c>
      <c r="N158" s="42" t="str">
        <f t="shared" si="2"/>
        <v>nic-001-vmpfbpf2olg19</v>
      </c>
      <c r="O158" s="94" t="s">
        <v>416</v>
      </c>
      <c r="P158" s="46" t="s">
        <v>63</v>
      </c>
      <c r="Q158" s="42" t="str">
        <f>VLOOKUP(VmSpecs[[#This Row],[Original Hostname (CMO)]],'SSOT Data'!A:E,5,FALSE)</f>
        <v>OEL7.9</v>
      </c>
      <c r="R158" s="42"/>
      <c r="S158" s="42" t="str">
        <f>_xlfn.CONCAT("avail-",LEFT(VmSpecs[[#This Row],[VM Name]],LEN(VmSpecs[[#This Row],[VM Name]])-2))</f>
        <v>avail-vmpfbpf2olg</v>
      </c>
      <c r="T158" s="42" t="str">
        <f>_xlfn.CONCAT("asg-",LEFT(VmSpecs[[#This Row],[VM Name]],LEN(VmSpecs[[#This Row],[VM Name]])-2))</f>
        <v>asg-vmpfbpf2olg</v>
      </c>
      <c r="U158" s="42" t="str">
        <f>_xlfn.CONCAT("nsg-",VmSpecs[[#This Row],[Subnet]])</f>
        <v>nsg-sn-pfb-aue-pf2-app</v>
      </c>
      <c r="V158" s="42"/>
      <c r="W158" s="43" t="str">
        <f>VLOOKUP(VmSpecs[[#This Row],[Original Hostname (CMO)]],'SSOT Data'!A:AX,50,FALSE)</f>
        <v>Standard_D8s_v4</v>
      </c>
      <c r="X158" s="43">
        <v>64</v>
      </c>
      <c r="Y158" s="43" t="s">
        <v>65</v>
      </c>
      <c r="Z158" s="43" t="str">
        <f>"osdisk-"&amp;VmSpecs[[#This Row],[VM Name]]</f>
        <v>osdisk-vmpfbpf2olg19</v>
      </c>
      <c r="AA158" s="47" t="s">
        <v>66</v>
      </c>
      <c r="AB158" s="73">
        <v>8</v>
      </c>
      <c r="AC158" s="74" t="s">
        <v>65</v>
      </c>
      <c r="AD158" s="84" t="str">
        <f>"disk-"&amp;VmSpecs[[#This Row],[VM Name]]&amp;"-001"</f>
        <v>disk-vmpfbpf2olg19-001</v>
      </c>
      <c r="AE158" s="73">
        <v>32</v>
      </c>
      <c r="AF158" s="74" t="s">
        <v>65</v>
      </c>
      <c r="AG158" s="85" t="str">
        <f>"disk-"&amp;VmSpecs[[#This Row],[VM Name]]&amp;"-002"</f>
        <v>disk-vmpfbpf2olg19-002</v>
      </c>
      <c r="AH158" s="59"/>
      <c r="AI158" s="42"/>
      <c r="AJ158" s="42"/>
      <c r="AK158" s="42"/>
      <c r="AL158" s="42" t="str">
        <f>MID(VmSpecs[[#This Row],[VM Name]],3,9)</f>
        <v>pfbpf2olg</v>
      </c>
      <c r="AM158" s="42" t="str" cm="1">
        <f t="array" ref="AM158">_xlfn.TEXTJOIN(CHAR(10), TRUE, IF(NfsExports[FMO Single VM IP]=VmSpecs[[#This Row],[IP]],NfsExports[FMO Export Summary],""))</f>
        <v>/apps/pcehr 30GB</v>
      </c>
      <c r="AN158" s="43" t="str" cm="1">
        <f t="array" ref="AN15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58" s="42"/>
      <c r="AP158" s="42" t="str">
        <f>VmSpecs[[#This Row],[Description]]</f>
        <v>OSB Log N19</v>
      </c>
      <c r="AQ158" s="43"/>
      <c r="AR158" s="43"/>
      <c r="AS158" s="43"/>
      <c r="AT158" s="43"/>
      <c r="AU158" s="43"/>
      <c r="AV158" s="42"/>
      <c r="AW158" s="42"/>
      <c r="AX158" s="42"/>
      <c r="AY158" s="42"/>
      <c r="AZ158" s="42"/>
      <c r="BA158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N19"
Application Service: "OLG"
Lifecycle: "PFB"</v>
      </c>
      <c r="BB158" s="42" t="s">
        <v>417</v>
      </c>
      <c r="BC158" s="42" t="str">
        <f>VLOOKUP(VmSpecs[[#This Row],[Original Hostname (CMO)]],'SSOT Data'!A:AJ,36,FALSE)</f>
        <v>OSB Log N19</v>
      </c>
      <c r="BD158" s="133">
        <f>VLOOKUP(VmSpecs[[#This Row],[Original Hostname (CMO)]],'SSOT Data'!A:AQ,43,FALSE)</f>
        <v>2</v>
      </c>
    </row>
    <row r="159" spans="1:56" ht="43.5" x14ac:dyDescent="0.35">
      <c r="A159" s="42"/>
      <c r="B159" s="42" t="str">
        <f>_xlfn.XLOOKUP(VmSpecs[[#This Row],[Subnet]],NetworkReference[Subnet],NetworkReference[Subscription])</f>
        <v>NINP-PERF2</v>
      </c>
      <c r="C159" s="43" t="str">
        <f>_xlfn.XLOOKUP(VmSpecs[[#This Row],[Subnet]],NetworkReference[Subnet],NetworkReference[Virtual Network Resource Group])</f>
        <v>rg-pf2-network-aue-001</v>
      </c>
      <c r="D159" s="43" t="str">
        <f>_xlfn.XLOOKUP(VmSpecs[[#This Row],[Subnet]],NetworkReference[Subnet],NetworkReference[Virtual Network])</f>
        <v>vnet-pf2-workload-aue-001</v>
      </c>
      <c r="E159" s="132" t="s">
        <v>59</v>
      </c>
      <c r="F159" s="43" t="str">
        <f>_xlfn.XLOOKUP(VmSpecs[[#This Row],[Subnet]],NetworkReference[Subnet],NetworkReference[Virtual Network Peering])</f>
        <v>vnet-ninp-conn-pnp-hub-aue</v>
      </c>
      <c r="G159" s="43" t="str">
        <f>_xlfn.XLOOKUP(VmSpecs[[#This Row],[Subnet]],NetworkReference[Subnet],NetworkReference[Route Table])</f>
        <v>rt-sn-pfb-aue-pf2-app</v>
      </c>
      <c r="H159" s="43" t="str">
        <f>LOWER(VLOOKUP(VmSpecs[[#This Row],[Original Hostname (CMO)]],'SSOT Data'!A:K,10,FALSE))</f>
        <v>olg</v>
      </c>
      <c r="I15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59" s="44" t="s">
        <v>162</v>
      </c>
      <c r="K159" s="43" t="str">
        <f>_xlfn.CONCAT("vm",MID(VmSpecs[[#This Row],[Subnet]],4,3),VLOOKUP(VmSpecs[[#This Row],[Subscription]],NetworkReference[#All],2,FALSE),VmSpecs[[#This Row],[Service]],VmSpecs[[#This Row],[VM iteration (nn)]])</f>
        <v>vmpfbpf2olg20</v>
      </c>
      <c r="L159" s="45" t="s">
        <v>61</v>
      </c>
      <c r="M159" s="43" t="str">
        <f>VmSpecs[[#This Row],[VM Name]]&amp;".ninp.myhealthrecord.gov.au"</f>
        <v>vmpfbpf2olg20.ninp.myhealthrecord.gov.au</v>
      </c>
      <c r="N159" s="42" t="str">
        <f t="shared" si="2"/>
        <v>nic-001-vmpfbpf2olg20</v>
      </c>
      <c r="O159" s="94" t="s">
        <v>418</v>
      </c>
      <c r="P159" s="46" t="s">
        <v>63</v>
      </c>
      <c r="Q159" s="42" t="str">
        <f>VLOOKUP(VmSpecs[[#This Row],[Original Hostname (CMO)]],'SSOT Data'!A:E,5,FALSE)</f>
        <v>OEL7.9</v>
      </c>
      <c r="R159" s="42"/>
      <c r="S159" s="42" t="str">
        <f>_xlfn.CONCAT("avail-",LEFT(VmSpecs[[#This Row],[VM Name]],LEN(VmSpecs[[#This Row],[VM Name]])-2))</f>
        <v>avail-vmpfbpf2olg</v>
      </c>
      <c r="T159" s="42" t="str">
        <f>_xlfn.CONCAT("asg-",LEFT(VmSpecs[[#This Row],[VM Name]],LEN(VmSpecs[[#This Row],[VM Name]])-2))</f>
        <v>asg-vmpfbpf2olg</v>
      </c>
      <c r="U159" s="42" t="str">
        <f>_xlfn.CONCAT("nsg-",VmSpecs[[#This Row],[Subnet]])</f>
        <v>nsg-sn-pfb-aue-pf2-app</v>
      </c>
      <c r="V159" s="42"/>
      <c r="W159" s="43" t="str">
        <f>VLOOKUP(VmSpecs[[#This Row],[Original Hostname (CMO)]],'SSOT Data'!A:AX,50,FALSE)</f>
        <v>Standard_D8s_v4</v>
      </c>
      <c r="X159" s="43">
        <v>64</v>
      </c>
      <c r="Y159" s="43" t="s">
        <v>65</v>
      </c>
      <c r="Z159" s="43" t="str">
        <f>"osdisk-"&amp;VmSpecs[[#This Row],[VM Name]]</f>
        <v>osdisk-vmpfbpf2olg20</v>
      </c>
      <c r="AA159" s="47" t="s">
        <v>66</v>
      </c>
      <c r="AB159" s="73">
        <v>8</v>
      </c>
      <c r="AC159" s="74" t="s">
        <v>65</v>
      </c>
      <c r="AD159" s="84" t="str">
        <f>"disk-"&amp;VmSpecs[[#This Row],[VM Name]]&amp;"-001"</f>
        <v>disk-vmpfbpf2olg20-001</v>
      </c>
      <c r="AE159" s="73">
        <v>32</v>
      </c>
      <c r="AF159" s="74" t="s">
        <v>65</v>
      </c>
      <c r="AG159" s="85" t="str">
        <f>"disk-"&amp;VmSpecs[[#This Row],[VM Name]]&amp;"-002"</f>
        <v>disk-vmpfbpf2olg20-002</v>
      </c>
      <c r="AH159" s="59"/>
      <c r="AI159" s="42"/>
      <c r="AJ159" s="42"/>
      <c r="AK159" s="42"/>
      <c r="AL159" s="42" t="str">
        <f>MID(VmSpecs[[#This Row],[VM Name]],3,9)</f>
        <v>pfbpf2olg</v>
      </c>
      <c r="AM159" s="42" t="str" cm="1">
        <f t="array" ref="AM159">_xlfn.TEXTJOIN(CHAR(10), TRUE, IF(NfsExports[FMO Single VM IP]=VmSpecs[[#This Row],[IP]],NfsExports[FMO Export Summary],""))</f>
        <v>/apps/pcehr 30GB</v>
      </c>
      <c r="AN159" s="43" t="str" cm="1">
        <f t="array" ref="AN15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59" s="42"/>
      <c r="AP159" s="42" t="str">
        <f>VmSpecs[[#This Row],[Description]]</f>
        <v>OSB Log N20</v>
      </c>
      <c r="AQ159" s="43"/>
      <c r="AR159" s="43"/>
      <c r="AS159" s="43"/>
      <c r="AT159" s="43"/>
      <c r="AU159" s="43"/>
      <c r="AV159" s="42"/>
      <c r="AW159" s="42"/>
      <c r="AX159" s="42"/>
      <c r="AY159" s="42"/>
      <c r="AZ159" s="42"/>
      <c r="BA159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N20"
Application Service: "OLG"
Lifecycle: "PFB"</v>
      </c>
      <c r="BB159" s="42" t="s">
        <v>419</v>
      </c>
      <c r="BC159" s="42" t="str">
        <f>VLOOKUP(VmSpecs[[#This Row],[Original Hostname (CMO)]],'SSOT Data'!A:AJ,36,FALSE)</f>
        <v>OSB Log N20</v>
      </c>
      <c r="BD159" s="133">
        <f>VLOOKUP(VmSpecs[[#This Row],[Original Hostname (CMO)]],'SSOT Data'!A:AQ,43,FALSE)</f>
        <v>2</v>
      </c>
    </row>
    <row r="160" spans="1:56" ht="43.5" x14ac:dyDescent="0.35">
      <c r="A160" s="42"/>
      <c r="B160" s="42" t="str">
        <f>_xlfn.XLOOKUP(VmSpecs[[#This Row],[Subnet]],NetworkReference[Subnet],NetworkReference[Subscription])</f>
        <v>NINP-PERF2</v>
      </c>
      <c r="C160" s="43" t="str">
        <f>_xlfn.XLOOKUP(VmSpecs[[#This Row],[Subnet]],NetworkReference[Subnet],NetworkReference[Virtual Network Resource Group])</f>
        <v>rg-pf2-network-aue-001</v>
      </c>
      <c r="D160" s="43" t="str">
        <f>_xlfn.XLOOKUP(VmSpecs[[#This Row],[Subnet]],NetworkReference[Subnet],NetworkReference[Virtual Network])</f>
        <v>vnet-pf2-workload-aue-001</v>
      </c>
      <c r="E160" s="132" t="s">
        <v>59</v>
      </c>
      <c r="F160" s="43" t="str">
        <f>_xlfn.XLOOKUP(VmSpecs[[#This Row],[Subnet]],NetworkReference[Subnet],NetworkReference[Virtual Network Peering])</f>
        <v>vnet-ninp-conn-pnp-hub-aue</v>
      </c>
      <c r="G160" s="43" t="str">
        <f>_xlfn.XLOOKUP(VmSpecs[[#This Row],[Subnet]],NetworkReference[Subnet],NetworkReference[Route Table])</f>
        <v>rt-sn-pfb-aue-pf2-app</v>
      </c>
      <c r="H160" s="43" t="str">
        <f>LOWER(VLOOKUP(VmSpecs[[#This Row],[Original Hostname (CMO)]],'SSOT Data'!A:K,10,FALSE))</f>
        <v>olg</v>
      </c>
      <c r="I16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60" s="44" t="s">
        <v>165</v>
      </c>
      <c r="K160" s="43" t="str">
        <f>_xlfn.CONCAT("vm",MID(VmSpecs[[#This Row],[Subnet]],4,3),VLOOKUP(VmSpecs[[#This Row],[Subscription]],NetworkReference[#All],2,FALSE),VmSpecs[[#This Row],[Service]],VmSpecs[[#This Row],[VM iteration (nn)]])</f>
        <v>vmpfbpf2olg21</v>
      </c>
      <c r="L160" s="45" t="s">
        <v>61</v>
      </c>
      <c r="M160" s="43" t="str">
        <f>VmSpecs[[#This Row],[VM Name]]&amp;".ninp.myhealthrecord.gov.au"</f>
        <v>vmpfbpf2olg21.ninp.myhealthrecord.gov.au</v>
      </c>
      <c r="N160" s="42" t="str">
        <f t="shared" si="2"/>
        <v>nic-001-vmpfbpf2olg21</v>
      </c>
      <c r="O160" s="94" t="s">
        <v>420</v>
      </c>
      <c r="P160" s="46" t="s">
        <v>63</v>
      </c>
      <c r="Q160" s="42" t="str">
        <f>VLOOKUP(VmSpecs[[#This Row],[Original Hostname (CMO)]],'SSOT Data'!A:E,5,FALSE)</f>
        <v>OEL7.9</v>
      </c>
      <c r="R160" s="42"/>
      <c r="S160" s="42" t="str">
        <f>_xlfn.CONCAT("avail-",LEFT(VmSpecs[[#This Row],[VM Name]],LEN(VmSpecs[[#This Row],[VM Name]])-2))</f>
        <v>avail-vmpfbpf2olg</v>
      </c>
      <c r="T160" s="42" t="str">
        <f>_xlfn.CONCAT("asg-",LEFT(VmSpecs[[#This Row],[VM Name]],LEN(VmSpecs[[#This Row],[VM Name]])-2))</f>
        <v>asg-vmpfbpf2olg</v>
      </c>
      <c r="U160" s="42" t="str">
        <f>_xlfn.CONCAT("nsg-",VmSpecs[[#This Row],[Subnet]])</f>
        <v>nsg-sn-pfb-aue-pf2-app</v>
      </c>
      <c r="V160" s="42"/>
      <c r="W160" s="43" t="str">
        <f>VLOOKUP(VmSpecs[[#This Row],[Original Hostname (CMO)]],'SSOT Data'!A:AX,50,FALSE)</f>
        <v>Standard_D8s_v4</v>
      </c>
      <c r="X160" s="43">
        <v>64</v>
      </c>
      <c r="Y160" s="43" t="s">
        <v>65</v>
      </c>
      <c r="Z160" s="43" t="str">
        <f>"osdisk-"&amp;VmSpecs[[#This Row],[VM Name]]</f>
        <v>osdisk-vmpfbpf2olg21</v>
      </c>
      <c r="AA160" s="47" t="s">
        <v>66</v>
      </c>
      <c r="AB160" s="73">
        <v>8</v>
      </c>
      <c r="AC160" s="74" t="s">
        <v>65</v>
      </c>
      <c r="AD160" s="84" t="str">
        <f>"disk-"&amp;VmSpecs[[#This Row],[VM Name]]&amp;"-001"</f>
        <v>disk-vmpfbpf2olg21-001</v>
      </c>
      <c r="AE160" s="73">
        <v>32</v>
      </c>
      <c r="AF160" s="74" t="s">
        <v>65</v>
      </c>
      <c r="AG160" s="85" t="str">
        <f>"disk-"&amp;VmSpecs[[#This Row],[VM Name]]&amp;"-002"</f>
        <v>disk-vmpfbpf2olg21-002</v>
      </c>
      <c r="AH160" s="59"/>
      <c r="AI160" s="42"/>
      <c r="AJ160" s="42"/>
      <c r="AK160" s="42"/>
      <c r="AL160" s="42" t="str">
        <f>MID(VmSpecs[[#This Row],[VM Name]],3,9)</f>
        <v>pfbpf2olg</v>
      </c>
      <c r="AM160" s="42" t="str" cm="1">
        <f t="array" ref="AM160">_xlfn.TEXTJOIN(CHAR(10), TRUE, IF(NfsExports[FMO Single VM IP]=VmSpecs[[#This Row],[IP]],NfsExports[FMO Export Summary],""))</f>
        <v>/apps/pcehr 30GB</v>
      </c>
      <c r="AN160" s="43" t="str" cm="1">
        <f t="array" ref="AN16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60" s="42"/>
      <c r="AP160" s="42" t="str">
        <f>VmSpecs[[#This Row],[Description]]</f>
        <v>OSB Log N21</v>
      </c>
      <c r="AQ160" s="43"/>
      <c r="AR160" s="43"/>
      <c r="AS160" s="43"/>
      <c r="AT160" s="43"/>
      <c r="AU160" s="43"/>
      <c r="AV160" s="42"/>
      <c r="AW160" s="42"/>
      <c r="AX160" s="42"/>
      <c r="AY160" s="42"/>
      <c r="AZ160" s="42"/>
      <c r="BA160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N21"
Application Service: "OLG"
Lifecycle: "PFB"</v>
      </c>
      <c r="BB160" s="42" t="s">
        <v>421</v>
      </c>
      <c r="BC160" s="42" t="str">
        <f>VLOOKUP(VmSpecs[[#This Row],[Original Hostname (CMO)]],'SSOT Data'!A:AJ,36,FALSE)</f>
        <v>OSB Log N21</v>
      </c>
      <c r="BD160" s="133">
        <f>VLOOKUP(VmSpecs[[#This Row],[Original Hostname (CMO)]],'SSOT Data'!A:AQ,43,FALSE)</f>
        <v>2</v>
      </c>
    </row>
    <row r="161" spans="1:56" ht="43.5" x14ac:dyDescent="0.35">
      <c r="A161" s="42"/>
      <c r="B161" s="42" t="str">
        <f>_xlfn.XLOOKUP(VmSpecs[[#This Row],[Subnet]],NetworkReference[Subnet],NetworkReference[Subscription])</f>
        <v>NINP-PERF2</v>
      </c>
      <c r="C161" s="43" t="str">
        <f>_xlfn.XLOOKUP(VmSpecs[[#This Row],[Subnet]],NetworkReference[Subnet],NetworkReference[Virtual Network Resource Group])</f>
        <v>rg-pf2-network-aue-001</v>
      </c>
      <c r="D161" s="43" t="str">
        <f>_xlfn.XLOOKUP(VmSpecs[[#This Row],[Subnet]],NetworkReference[Subnet],NetworkReference[Virtual Network])</f>
        <v>vnet-pf2-workload-aue-001</v>
      </c>
      <c r="E161" s="132" t="s">
        <v>59</v>
      </c>
      <c r="F161" s="43" t="str">
        <f>_xlfn.XLOOKUP(VmSpecs[[#This Row],[Subnet]],NetworkReference[Subnet],NetworkReference[Virtual Network Peering])</f>
        <v>vnet-ninp-conn-pnp-hub-aue</v>
      </c>
      <c r="G161" s="43" t="str">
        <f>_xlfn.XLOOKUP(VmSpecs[[#This Row],[Subnet]],NetworkReference[Subnet],NetworkReference[Route Table])</f>
        <v>rt-sn-pfb-aue-pf2-app</v>
      </c>
      <c r="H161" s="43" t="str">
        <f>LOWER(VLOOKUP(VmSpecs[[#This Row],[Original Hostname (CMO)]],'SSOT Data'!A:K,10,FALSE))</f>
        <v>olg</v>
      </c>
      <c r="I16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61" s="44" t="s">
        <v>168</v>
      </c>
      <c r="K161" s="43" t="str">
        <f>_xlfn.CONCAT("vm",MID(VmSpecs[[#This Row],[Subnet]],4,3),VLOOKUP(VmSpecs[[#This Row],[Subscription]],NetworkReference[#All],2,FALSE),VmSpecs[[#This Row],[Service]],VmSpecs[[#This Row],[VM iteration (nn)]])</f>
        <v>vmpfbpf2olg22</v>
      </c>
      <c r="L161" s="45" t="s">
        <v>61</v>
      </c>
      <c r="M161" s="43" t="str">
        <f>VmSpecs[[#This Row],[VM Name]]&amp;".ninp.myhealthrecord.gov.au"</f>
        <v>vmpfbpf2olg22.ninp.myhealthrecord.gov.au</v>
      </c>
      <c r="N161" s="42" t="str">
        <f t="shared" si="2"/>
        <v>nic-001-vmpfbpf2olg22</v>
      </c>
      <c r="O161" s="94" t="s">
        <v>422</v>
      </c>
      <c r="P161" s="46" t="s">
        <v>63</v>
      </c>
      <c r="Q161" s="42" t="str">
        <f>VLOOKUP(VmSpecs[[#This Row],[Original Hostname (CMO)]],'SSOT Data'!A:E,5,FALSE)</f>
        <v>OEL7.9</v>
      </c>
      <c r="R161" s="42"/>
      <c r="S161" s="42" t="str">
        <f>_xlfn.CONCAT("avail-",LEFT(VmSpecs[[#This Row],[VM Name]],LEN(VmSpecs[[#This Row],[VM Name]])-2))</f>
        <v>avail-vmpfbpf2olg</v>
      </c>
      <c r="T161" s="42" t="str">
        <f>_xlfn.CONCAT("asg-",LEFT(VmSpecs[[#This Row],[VM Name]],LEN(VmSpecs[[#This Row],[VM Name]])-2))</f>
        <v>asg-vmpfbpf2olg</v>
      </c>
      <c r="U161" s="42" t="str">
        <f>_xlfn.CONCAT("nsg-",VmSpecs[[#This Row],[Subnet]])</f>
        <v>nsg-sn-pfb-aue-pf2-app</v>
      </c>
      <c r="V161" s="42"/>
      <c r="W161" s="43" t="str">
        <f>VLOOKUP(VmSpecs[[#This Row],[Original Hostname (CMO)]],'SSOT Data'!A:AX,50,FALSE)</f>
        <v>Standard_D8s_v4</v>
      </c>
      <c r="X161" s="43">
        <v>64</v>
      </c>
      <c r="Y161" s="43" t="s">
        <v>65</v>
      </c>
      <c r="Z161" s="43" t="str">
        <f>"osdisk-"&amp;VmSpecs[[#This Row],[VM Name]]</f>
        <v>osdisk-vmpfbpf2olg22</v>
      </c>
      <c r="AA161" s="47" t="s">
        <v>66</v>
      </c>
      <c r="AB161" s="73">
        <v>8</v>
      </c>
      <c r="AC161" s="74" t="s">
        <v>65</v>
      </c>
      <c r="AD161" s="84" t="str">
        <f>"disk-"&amp;VmSpecs[[#This Row],[VM Name]]&amp;"-001"</f>
        <v>disk-vmpfbpf2olg22-001</v>
      </c>
      <c r="AE161" s="73">
        <v>32</v>
      </c>
      <c r="AF161" s="74" t="s">
        <v>65</v>
      </c>
      <c r="AG161" s="85" t="str">
        <f>"disk-"&amp;VmSpecs[[#This Row],[VM Name]]&amp;"-002"</f>
        <v>disk-vmpfbpf2olg22-002</v>
      </c>
      <c r="AH161" s="59"/>
      <c r="AI161" s="42"/>
      <c r="AJ161" s="42"/>
      <c r="AK161" s="42"/>
      <c r="AL161" s="42" t="str">
        <f>MID(VmSpecs[[#This Row],[VM Name]],3,9)</f>
        <v>pfbpf2olg</v>
      </c>
      <c r="AM161" s="42" t="str" cm="1">
        <f t="array" ref="AM161">_xlfn.TEXTJOIN(CHAR(10), TRUE, IF(NfsExports[FMO Single VM IP]=VmSpecs[[#This Row],[IP]],NfsExports[FMO Export Summary],""))</f>
        <v>/apps/pcehr 30GB</v>
      </c>
      <c r="AN161" s="43" t="str" cm="1">
        <f t="array" ref="AN16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61" s="42"/>
      <c r="AP161" s="42" t="str">
        <f>VmSpecs[[#This Row],[Description]]</f>
        <v>OSB Log N22</v>
      </c>
      <c r="AQ161" s="43"/>
      <c r="AR161" s="43"/>
      <c r="AS161" s="43"/>
      <c r="AT161" s="43"/>
      <c r="AU161" s="43"/>
      <c r="AV161" s="42"/>
      <c r="AW161" s="42"/>
      <c r="AX161" s="42"/>
      <c r="AY161" s="42"/>
      <c r="AZ161" s="42"/>
      <c r="BA161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N22"
Application Service: "OLG"
Lifecycle: "PFB"</v>
      </c>
      <c r="BB161" s="42" t="s">
        <v>423</v>
      </c>
      <c r="BC161" s="42" t="str">
        <f>VLOOKUP(VmSpecs[[#This Row],[Original Hostname (CMO)]],'SSOT Data'!A:AJ,36,FALSE)</f>
        <v>OSB Log N22</v>
      </c>
      <c r="BD161" s="133">
        <f>VLOOKUP(VmSpecs[[#This Row],[Original Hostname (CMO)]],'SSOT Data'!A:AQ,43,FALSE)</f>
        <v>2</v>
      </c>
    </row>
    <row r="162" spans="1:56" ht="43.5" x14ac:dyDescent="0.35">
      <c r="A162" s="42"/>
      <c r="B162" s="42" t="str">
        <f>_xlfn.XLOOKUP(VmSpecs[[#This Row],[Subnet]],NetworkReference[Subnet],NetworkReference[Subscription])</f>
        <v>NINP-PERF2</v>
      </c>
      <c r="C162" s="87" t="str">
        <f>_xlfn.XLOOKUP(VmSpecs[[#This Row],[Subnet]],NetworkReference[Subnet],NetworkReference[Virtual Network Resource Group])</f>
        <v>rg-pf2-network-aue-001</v>
      </c>
      <c r="D162" s="87" t="str">
        <f>_xlfn.XLOOKUP(VmSpecs[[#This Row],[Subnet]],NetworkReference[Subnet],NetworkReference[Virtual Network])</f>
        <v>vnet-pf2-workload-aue-001</v>
      </c>
      <c r="E162" s="132" t="s">
        <v>59</v>
      </c>
      <c r="F162" s="87" t="str">
        <f>_xlfn.XLOOKUP(VmSpecs[[#This Row],[Subnet]],NetworkReference[Subnet],NetworkReference[Virtual Network Peering])</f>
        <v>vnet-ninp-conn-pnp-hub-aue</v>
      </c>
      <c r="G162" s="43" t="str">
        <f>_xlfn.XLOOKUP(VmSpecs[[#This Row],[Subnet]],NetworkReference[Subnet],NetworkReference[Route Table])</f>
        <v>rt-sn-pfb-aue-pf2-app</v>
      </c>
      <c r="H162" s="43" t="str">
        <f>LOWER(VLOOKUP(VmSpecs[[#This Row],[Original Hostname (CMO)]],'SSOT Data'!A:K,10,FALSE))</f>
        <v>olg</v>
      </c>
      <c r="I162" s="87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62" s="88" t="s">
        <v>171</v>
      </c>
      <c r="K162" s="87" t="str">
        <f>_xlfn.CONCAT("vm",MID(VmSpecs[[#This Row],[Subnet]],4,3),VLOOKUP(VmSpecs[[#This Row],[Subscription]],NetworkReference[#All],2,FALSE),VmSpecs[[#This Row],[Service]],VmSpecs[[#This Row],[VM iteration (nn)]])</f>
        <v>vmpfbpf2olg23</v>
      </c>
      <c r="L162" s="45" t="s">
        <v>61</v>
      </c>
      <c r="M162" s="87" t="str">
        <f>VmSpecs[[#This Row],[VM Name]]&amp;".ninp.myhealthrecord.gov.au"</f>
        <v>vmpfbpf2olg23.ninp.myhealthrecord.gov.au</v>
      </c>
      <c r="N162" s="86" t="str">
        <f t="shared" si="2"/>
        <v>nic-001-vmpfbpf2olg23</v>
      </c>
      <c r="O162" s="94" t="s">
        <v>424</v>
      </c>
      <c r="P162" s="46" t="s">
        <v>63</v>
      </c>
      <c r="Q162" s="42" t="str">
        <f>VLOOKUP(VmSpecs[[#This Row],[Original Hostname (CMO)]],'SSOT Data'!A:E,5,FALSE)</f>
        <v>OEL7.9</v>
      </c>
      <c r="R162" s="86"/>
      <c r="S162" s="42" t="str">
        <f>_xlfn.CONCAT("avail-",LEFT(VmSpecs[[#This Row],[VM Name]],LEN(VmSpecs[[#This Row],[VM Name]])-2))</f>
        <v>avail-vmpfbpf2olg</v>
      </c>
      <c r="T162" s="86" t="str">
        <f>_xlfn.CONCAT("asg-",LEFT(VmSpecs[[#This Row],[VM Name]],LEN(VmSpecs[[#This Row],[VM Name]])-2))</f>
        <v>asg-vmpfbpf2olg</v>
      </c>
      <c r="U162" s="86" t="str">
        <f>_xlfn.CONCAT("nsg-",VmSpecs[[#This Row],[Subnet]])</f>
        <v>nsg-sn-pfb-aue-pf2-app</v>
      </c>
      <c r="V162" s="86"/>
      <c r="W162" s="87" t="str">
        <f>VLOOKUP(VmSpecs[[#This Row],[Original Hostname (CMO)]],'SSOT Data'!A:AX,50,FALSE)</f>
        <v>Standard_D8s_v4</v>
      </c>
      <c r="X162" s="43">
        <v>64</v>
      </c>
      <c r="Y162" s="43" t="s">
        <v>65</v>
      </c>
      <c r="Z162" s="43" t="str">
        <f>"osdisk-"&amp;VmSpecs[[#This Row],[VM Name]]</f>
        <v>osdisk-vmpfbpf2olg23</v>
      </c>
      <c r="AA162" s="47" t="s">
        <v>66</v>
      </c>
      <c r="AB162" s="73">
        <v>8</v>
      </c>
      <c r="AC162" s="74" t="s">
        <v>65</v>
      </c>
      <c r="AD162" s="89" t="str">
        <f>"disk-"&amp;VmSpecs[[#This Row],[VM Name]]&amp;"-001"</f>
        <v>disk-vmpfbpf2olg23-001</v>
      </c>
      <c r="AE162" s="73">
        <v>32</v>
      </c>
      <c r="AF162" s="74" t="s">
        <v>65</v>
      </c>
      <c r="AG162" s="90" t="str">
        <f>"disk-"&amp;VmSpecs[[#This Row],[VM Name]]&amp;"-002"</f>
        <v>disk-vmpfbpf2olg23-002</v>
      </c>
      <c r="AH162" s="91"/>
      <c r="AI162" s="86"/>
      <c r="AJ162" s="86"/>
      <c r="AK162" s="86"/>
      <c r="AL162" s="86" t="str">
        <f>MID(VmSpecs[[#This Row],[VM Name]],3,9)</f>
        <v>pfbpf2olg</v>
      </c>
      <c r="AM162" s="86" t="str" cm="1">
        <f t="array" ref="AM162">_xlfn.TEXTJOIN(CHAR(10), TRUE, IF(NfsExports[FMO Single VM IP]=VmSpecs[[#This Row],[IP]],NfsExports[FMO Export Summary],""))</f>
        <v>/apps/pcehr 30GB</v>
      </c>
      <c r="AN162" s="87" t="str" cm="1">
        <f t="array" ref="AN16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62" s="86"/>
      <c r="AP162" s="86" t="str">
        <f>VmSpecs[[#This Row],[Description]]</f>
        <v>OSB Log N23</v>
      </c>
      <c r="AQ162" s="87"/>
      <c r="AR162" s="87"/>
      <c r="AS162" s="87"/>
      <c r="AT162" s="87"/>
      <c r="AU162" s="87"/>
      <c r="AV162" s="86"/>
      <c r="AW162" s="86"/>
      <c r="AX162" s="86"/>
      <c r="AY162" s="86"/>
      <c r="AZ162" s="86"/>
      <c r="BA162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N23"
Application Service: "OLG"
Lifecycle: "PFB"</v>
      </c>
      <c r="BB162" s="86" t="s">
        <v>425</v>
      </c>
      <c r="BC162" s="86" t="str">
        <f>VLOOKUP(VmSpecs[[#This Row],[Original Hostname (CMO)]],'SSOT Data'!A:AJ,36,FALSE)</f>
        <v>OSB Log N23</v>
      </c>
      <c r="BD162" s="133">
        <f>VLOOKUP(VmSpecs[[#This Row],[Original Hostname (CMO)]],'SSOT Data'!A:AQ,43,FALSE)</f>
        <v>2</v>
      </c>
    </row>
    <row r="163" spans="1:56" ht="43.5" x14ac:dyDescent="0.35">
      <c r="A163" s="42"/>
      <c r="B163" s="42" t="str">
        <f>_xlfn.XLOOKUP(VmSpecs[[#This Row],[Subnet]],NetworkReference[Subnet],NetworkReference[Subscription])</f>
        <v>NINP-PERF2</v>
      </c>
      <c r="C163" s="43" t="str">
        <f>_xlfn.XLOOKUP(VmSpecs[[#This Row],[Subnet]],NetworkReference[Subnet],NetworkReference[Virtual Network Resource Group])</f>
        <v>rg-pf2-network-aue-001</v>
      </c>
      <c r="D163" s="43" t="str">
        <f>_xlfn.XLOOKUP(VmSpecs[[#This Row],[Subnet]],NetworkReference[Subnet],NetworkReference[Virtual Network])</f>
        <v>vnet-pf2-workload-aue-001</v>
      </c>
      <c r="E163" s="132" t="s">
        <v>59</v>
      </c>
      <c r="F163" s="43" t="str">
        <f>_xlfn.XLOOKUP(VmSpecs[[#This Row],[Subnet]],NetworkReference[Subnet],NetworkReference[Virtual Network Peering])</f>
        <v>vnet-ninp-conn-pnp-hub-aue</v>
      </c>
      <c r="G163" s="43" t="str">
        <f>_xlfn.XLOOKUP(VmSpecs[[#This Row],[Subnet]],NetworkReference[Subnet],NetworkReference[Route Table])</f>
        <v>rt-sn-pfb-aue-pf2-app</v>
      </c>
      <c r="H163" s="43" t="str">
        <f>LOWER(VLOOKUP(VmSpecs[[#This Row],[Original Hostname (CMO)]],'SSOT Data'!A:K,10,FALSE))</f>
        <v>olg</v>
      </c>
      <c r="I16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63" s="44" t="s">
        <v>174</v>
      </c>
      <c r="K163" s="43" t="str">
        <f>_xlfn.CONCAT("vm",MID(VmSpecs[[#This Row],[Subnet]],4,3),VLOOKUP(VmSpecs[[#This Row],[Subscription]],NetworkReference[#All],2,FALSE),VmSpecs[[#This Row],[Service]],VmSpecs[[#This Row],[VM iteration (nn)]])</f>
        <v>vmpfbpf2olg24</v>
      </c>
      <c r="L163" s="45" t="s">
        <v>61</v>
      </c>
      <c r="M163" s="43" t="str">
        <f>VmSpecs[[#This Row],[VM Name]]&amp;".ninp.myhealthrecord.gov.au"</f>
        <v>vmpfbpf2olg24.ninp.myhealthrecord.gov.au</v>
      </c>
      <c r="N163" s="42" t="str">
        <f t="shared" si="2"/>
        <v>nic-001-vmpfbpf2olg24</v>
      </c>
      <c r="O163" s="94" t="s">
        <v>426</v>
      </c>
      <c r="P163" s="46" t="s">
        <v>63</v>
      </c>
      <c r="Q163" s="42" t="str">
        <f>VLOOKUP(VmSpecs[[#This Row],[Original Hostname (CMO)]],'SSOT Data'!A:E,5,FALSE)</f>
        <v>OEL7.9</v>
      </c>
      <c r="R163" s="42"/>
      <c r="S163" s="42" t="str">
        <f>_xlfn.CONCAT("avail-",LEFT(VmSpecs[[#This Row],[VM Name]],LEN(VmSpecs[[#This Row],[VM Name]])-2))</f>
        <v>avail-vmpfbpf2olg</v>
      </c>
      <c r="T163" s="42" t="str">
        <f>_xlfn.CONCAT("asg-",LEFT(VmSpecs[[#This Row],[VM Name]],LEN(VmSpecs[[#This Row],[VM Name]])-2))</f>
        <v>asg-vmpfbpf2olg</v>
      </c>
      <c r="U163" s="42" t="str">
        <f>_xlfn.CONCAT("nsg-",VmSpecs[[#This Row],[Subnet]])</f>
        <v>nsg-sn-pfb-aue-pf2-app</v>
      </c>
      <c r="V163" s="42"/>
      <c r="W163" s="43" t="str">
        <f>VLOOKUP(VmSpecs[[#This Row],[Original Hostname (CMO)]],'SSOT Data'!A:AX,50,FALSE)</f>
        <v>Standard_D8s_v4</v>
      </c>
      <c r="X163" s="43">
        <v>64</v>
      </c>
      <c r="Y163" s="43" t="s">
        <v>65</v>
      </c>
      <c r="Z163" s="43" t="str">
        <f>"osdisk-"&amp;VmSpecs[[#This Row],[VM Name]]</f>
        <v>osdisk-vmpfbpf2olg24</v>
      </c>
      <c r="AA163" s="47" t="s">
        <v>66</v>
      </c>
      <c r="AB163" s="73">
        <v>8</v>
      </c>
      <c r="AC163" s="74" t="s">
        <v>65</v>
      </c>
      <c r="AD163" s="84" t="str">
        <f>"disk-"&amp;VmSpecs[[#This Row],[VM Name]]&amp;"-001"</f>
        <v>disk-vmpfbpf2olg24-001</v>
      </c>
      <c r="AE163" s="73">
        <v>32</v>
      </c>
      <c r="AF163" s="74" t="s">
        <v>65</v>
      </c>
      <c r="AG163" s="85" t="str">
        <f>"disk-"&amp;VmSpecs[[#This Row],[VM Name]]&amp;"-002"</f>
        <v>disk-vmpfbpf2olg24-002</v>
      </c>
      <c r="AH163" s="59"/>
      <c r="AI163" s="42"/>
      <c r="AJ163" s="42"/>
      <c r="AK163" s="42"/>
      <c r="AL163" s="42" t="str">
        <f>MID(VmSpecs[[#This Row],[VM Name]],3,9)</f>
        <v>pfbpf2olg</v>
      </c>
      <c r="AM163" s="42" t="str" cm="1">
        <f t="array" ref="AM163">_xlfn.TEXTJOIN(CHAR(10), TRUE, IF(NfsExports[FMO Single VM IP]=VmSpecs[[#This Row],[IP]],NfsExports[FMO Export Summary],""))</f>
        <v>/apps/pcehr 30GB</v>
      </c>
      <c r="AN163" s="43" t="str" cm="1">
        <f t="array" ref="AN16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63" s="42"/>
      <c r="AP163" s="42" t="str">
        <f>VmSpecs[[#This Row],[Description]]</f>
        <v>OSB Log N24</v>
      </c>
      <c r="AQ163" s="43"/>
      <c r="AR163" s="43"/>
      <c r="AS163" s="43"/>
      <c r="AT163" s="43"/>
      <c r="AU163" s="43"/>
      <c r="AV163" s="42"/>
      <c r="AW163" s="42"/>
      <c r="AX163" s="42"/>
      <c r="AY163" s="42"/>
      <c r="AZ163" s="42"/>
      <c r="BA163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N24"
Application Service: "OLG"
Lifecycle: "PFB"</v>
      </c>
      <c r="BB163" s="42" t="s">
        <v>427</v>
      </c>
      <c r="BC163" s="42" t="str">
        <f>VLOOKUP(VmSpecs[[#This Row],[Original Hostname (CMO)]],'SSOT Data'!A:AJ,36,FALSE)</f>
        <v>OSB Log N24</v>
      </c>
      <c r="BD163" s="133">
        <f>VLOOKUP(VmSpecs[[#This Row],[Original Hostname (CMO)]],'SSOT Data'!A:AQ,43,FALSE)</f>
        <v>2</v>
      </c>
    </row>
    <row r="164" spans="1:56" ht="43.5" x14ac:dyDescent="0.35">
      <c r="A164" s="42"/>
      <c r="B164" s="42" t="str">
        <f>_xlfn.XLOOKUP(VmSpecs[[#This Row],[Subnet]],NetworkReference[Subnet],NetworkReference[Subscription])</f>
        <v>NINP-PERF2</v>
      </c>
      <c r="C164" s="43" t="str">
        <f>_xlfn.XLOOKUP(VmSpecs[[#This Row],[Subnet]],NetworkReference[Subnet],NetworkReference[Virtual Network Resource Group])</f>
        <v>rg-pf2-network-aue-001</v>
      </c>
      <c r="D164" s="43" t="str">
        <f>_xlfn.XLOOKUP(VmSpecs[[#This Row],[Subnet]],NetworkReference[Subnet],NetworkReference[Virtual Network])</f>
        <v>vnet-pf2-workload-aue-001</v>
      </c>
      <c r="E164" s="132" t="s">
        <v>59</v>
      </c>
      <c r="F164" s="43" t="str">
        <f>_xlfn.XLOOKUP(VmSpecs[[#This Row],[Subnet]],NetworkReference[Subnet],NetworkReference[Virtual Network Peering])</f>
        <v>vnet-ninp-conn-pnp-hub-aue</v>
      </c>
      <c r="G164" s="43" t="str">
        <f>_xlfn.XLOOKUP(VmSpecs[[#This Row],[Subnet]],NetworkReference[Subnet],NetworkReference[Route Table])</f>
        <v>rt-sn-pfb-aue-pf2-app</v>
      </c>
      <c r="H164" s="43" t="str">
        <f>LOWER(VLOOKUP(VmSpecs[[#This Row],[Original Hostname (CMO)]],'SSOT Data'!A:K,10,FALSE))</f>
        <v>olg</v>
      </c>
      <c r="I16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64" s="44" t="s">
        <v>227</v>
      </c>
      <c r="K164" s="43" t="str">
        <f>_xlfn.CONCAT("vm",MID(VmSpecs[[#This Row],[Subnet]],4,3),VLOOKUP(VmSpecs[[#This Row],[Subscription]],NetworkReference[#All],2,FALSE),VmSpecs[[#This Row],[Service]],VmSpecs[[#This Row],[VM iteration (nn)]])</f>
        <v>vmpfbpf2olg25</v>
      </c>
      <c r="L164" s="45" t="s">
        <v>61</v>
      </c>
      <c r="M164" s="43" t="str">
        <f>VmSpecs[[#This Row],[VM Name]]&amp;".ninp.myhealthrecord.gov.au"</f>
        <v>vmpfbpf2olg25.ninp.myhealthrecord.gov.au</v>
      </c>
      <c r="N164" s="42" t="str">
        <f t="shared" si="2"/>
        <v>nic-001-vmpfbpf2olg25</v>
      </c>
      <c r="O164" s="94" t="s">
        <v>428</v>
      </c>
      <c r="P164" s="46" t="s">
        <v>63</v>
      </c>
      <c r="Q164" s="42" t="str">
        <f>VLOOKUP(VmSpecs[[#This Row],[Original Hostname (CMO)]],'SSOT Data'!A:E,5,FALSE)</f>
        <v>OEL7.9</v>
      </c>
      <c r="R164" s="42"/>
      <c r="S164" s="42" t="str">
        <f>_xlfn.CONCAT("avail-",LEFT(VmSpecs[[#This Row],[VM Name]],LEN(VmSpecs[[#This Row],[VM Name]])-2))</f>
        <v>avail-vmpfbpf2olg</v>
      </c>
      <c r="T164" s="42" t="str">
        <f>_xlfn.CONCAT("asg-",LEFT(VmSpecs[[#This Row],[VM Name]],LEN(VmSpecs[[#This Row],[VM Name]])-2))</f>
        <v>asg-vmpfbpf2olg</v>
      </c>
      <c r="U164" s="42" t="str">
        <f>_xlfn.CONCAT("nsg-",VmSpecs[[#This Row],[Subnet]])</f>
        <v>nsg-sn-pfb-aue-pf2-app</v>
      </c>
      <c r="V164" s="42"/>
      <c r="W164" s="43" t="str">
        <f>VLOOKUP(VmSpecs[[#This Row],[Original Hostname (CMO)]],'SSOT Data'!A:AX,50,FALSE)</f>
        <v>Standard_D8s_v4</v>
      </c>
      <c r="X164" s="43">
        <v>64</v>
      </c>
      <c r="Y164" s="43" t="s">
        <v>65</v>
      </c>
      <c r="Z164" s="43" t="str">
        <f>"osdisk-"&amp;VmSpecs[[#This Row],[VM Name]]</f>
        <v>osdisk-vmpfbpf2olg25</v>
      </c>
      <c r="AA164" s="47" t="s">
        <v>66</v>
      </c>
      <c r="AB164" s="73">
        <v>8</v>
      </c>
      <c r="AC164" s="74" t="s">
        <v>65</v>
      </c>
      <c r="AD164" s="84" t="str">
        <f>"disk-"&amp;VmSpecs[[#This Row],[VM Name]]&amp;"-001"</f>
        <v>disk-vmpfbpf2olg25-001</v>
      </c>
      <c r="AE164" s="73">
        <v>32</v>
      </c>
      <c r="AF164" s="74" t="s">
        <v>65</v>
      </c>
      <c r="AG164" s="85" t="str">
        <f>"disk-"&amp;VmSpecs[[#This Row],[VM Name]]&amp;"-002"</f>
        <v>disk-vmpfbpf2olg25-002</v>
      </c>
      <c r="AH164" s="59"/>
      <c r="AI164" s="42"/>
      <c r="AJ164" s="42"/>
      <c r="AK164" s="42"/>
      <c r="AL164" s="42" t="str">
        <f>MID(VmSpecs[[#This Row],[VM Name]],3,9)</f>
        <v>pfbpf2olg</v>
      </c>
      <c r="AM164" s="42" t="str" cm="1">
        <f t="array" ref="AM164">_xlfn.TEXTJOIN(CHAR(10), TRUE, IF(NfsExports[FMO Single VM IP]=VmSpecs[[#This Row],[IP]],NfsExports[FMO Export Summary],""))</f>
        <v>/apps/pcehr 30GB</v>
      </c>
      <c r="AN164" s="43" t="str" cm="1">
        <f t="array" ref="AN16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64" s="42"/>
      <c r="AP164" s="42" t="str">
        <f>VmSpecs[[#This Row],[Description]]</f>
        <v>OSB Log N25</v>
      </c>
      <c r="AQ164" s="43"/>
      <c r="AR164" s="43"/>
      <c r="AS164" s="43"/>
      <c r="AT164" s="43"/>
      <c r="AU164" s="43"/>
      <c r="AV164" s="42"/>
      <c r="AW164" s="42"/>
      <c r="AX164" s="42"/>
      <c r="AY164" s="42"/>
      <c r="AZ164" s="42"/>
      <c r="BA164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N25"
Application Service: "OLG"
Lifecycle: "PFB"</v>
      </c>
      <c r="BB164" s="42" t="s">
        <v>429</v>
      </c>
      <c r="BC164" s="42" t="str">
        <f>VLOOKUP(VmSpecs[[#This Row],[Original Hostname (CMO)]],'SSOT Data'!A:AJ,36,FALSE)</f>
        <v>OSB Log N25</v>
      </c>
      <c r="BD164" s="133">
        <f>VLOOKUP(VmSpecs[[#This Row],[Original Hostname (CMO)]],'SSOT Data'!A:AQ,43,FALSE)</f>
        <v>2</v>
      </c>
    </row>
    <row r="165" spans="1:56" ht="43.5" x14ac:dyDescent="0.35">
      <c r="A165" s="42"/>
      <c r="B165" s="42" t="str">
        <f>_xlfn.XLOOKUP(VmSpecs[[#This Row],[Subnet]],NetworkReference[Subnet],NetworkReference[Subscription])</f>
        <v>NINP-PERF2</v>
      </c>
      <c r="C165" s="43" t="str">
        <f>_xlfn.XLOOKUP(VmSpecs[[#This Row],[Subnet]],NetworkReference[Subnet],NetworkReference[Virtual Network Resource Group])</f>
        <v>rg-pf2-network-aue-001</v>
      </c>
      <c r="D165" s="43" t="str">
        <f>_xlfn.XLOOKUP(VmSpecs[[#This Row],[Subnet]],NetworkReference[Subnet],NetworkReference[Virtual Network])</f>
        <v>vnet-pf2-workload-aue-001</v>
      </c>
      <c r="E165" s="132" t="s">
        <v>59</v>
      </c>
      <c r="F165" s="43" t="str">
        <f>_xlfn.XLOOKUP(VmSpecs[[#This Row],[Subnet]],NetworkReference[Subnet],NetworkReference[Virtual Network Peering])</f>
        <v>vnet-ninp-conn-pnp-hub-aue</v>
      </c>
      <c r="G165" s="43" t="str">
        <f>_xlfn.XLOOKUP(VmSpecs[[#This Row],[Subnet]],NetworkReference[Subnet],NetworkReference[Route Table])</f>
        <v>rt-sn-pfb-aue-pf2-app</v>
      </c>
      <c r="H165" s="43" t="str">
        <f>LOWER(VLOOKUP(VmSpecs[[#This Row],[Original Hostname (CMO)]],'SSOT Data'!A:K,10,FALSE))</f>
        <v>olg</v>
      </c>
      <c r="I16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65" s="44" t="s">
        <v>230</v>
      </c>
      <c r="K165" s="43" t="str">
        <f>_xlfn.CONCAT("vm",MID(VmSpecs[[#This Row],[Subnet]],4,3),VLOOKUP(VmSpecs[[#This Row],[Subscription]],NetworkReference[#All],2,FALSE),VmSpecs[[#This Row],[Service]],VmSpecs[[#This Row],[VM iteration (nn)]])</f>
        <v>vmpfbpf2olg26</v>
      </c>
      <c r="L165" s="45" t="s">
        <v>61</v>
      </c>
      <c r="M165" s="43" t="str">
        <f>VmSpecs[[#This Row],[VM Name]]&amp;".ninp.myhealthrecord.gov.au"</f>
        <v>vmpfbpf2olg26.ninp.myhealthrecord.gov.au</v>
      </c>
      <c r="N165" s="42" t="str">
        <f t="shared" si="2"/>
        <v>nic-001-vmpfbpf2olg26</v>
      </c>
      <c r="O165" s="94" t="s">
        <v>430</v>
      </c>
      <c r="P165" s="46" t="s">
        <v>63</v>
      </c>
      <c r="Q165" s="42" t="str">
        <f>VLOOKUP(VmSpecs[[#This Row],[Original Hostname (CMO)]],'SSOT Data'!A:E,5,FALSE)</f>
        <v>OEL7.9</v>
      </c>
      <c r="R165" s="42"/>
      <c r="S165" s="42" t="str">
        <f>_xlfn.CONCAT("avail-",LEFT(VmSpecs[[#This Row],[VM Name]],LEN(VmSpecs[[#This Row],[VM Name]])-2))</f>
        <v>avail-vmpfbpf2olg</v>
      </c>
      <c r="T165" s="42" t="str">
        <f>_xlfn.CONCAT("asg-",LEFT(VmSpecs[[#This Row],[VM Name]],LEN(VmSpecs[[#This Row],[VM Name]])-2))</f>
        <v>asg-vmpfbpf2olg</v>
      </c>
      <c r="U165" s="42" t="str">
        <f>_xlfn.CONCAT("nsg-",VmSpecs[[#This Row],[Subnet]])</f>
        <v>nsg-sn-pfb-aue-pf2-app</v>
      </c>
      <c r="V165" s="42"/>
      <c r="W165" s="43" t="str">
        <f>VLOOKUP(VmSpecs[[#This Row],[Original Hostname (CMO)]],'SSOT Data'!A:AX,50,FALSE)</f>
        <v>Standard_D8s_v4</v>
      </c>
      <c r="X165" s="43">
        <v>64</v>
      </c>
      <c r="Y165" s="43" t="s">
        <v>65</v>
      </c>
      <c r="Z165" s="43" t="str">
        <f>"osdisk-"&amp;VmSpecs[[#This Row],[VM Name]]</f>
        <v>osdisk-vmpfbpf2olg26</v>
      </c>
      <c r="AA165" s="47" t="s">
        <v>66</v>
      </c>
      <c r="AB165" s="73">
        <v>8</v>
      </c>
      <c r="AC165" s="74" t="s">
        <v>65</v>
      </c>
      <c r="AD165" s="84" t="str">
        <f>"disk-"&amp;VmSpecs[[#This Row],[VM Name]]&amp;"-001"</f>
        <v>disk-vmpfbpf2olg26-001</v>
      </c>
      <c r="AE165" s="73">
        <v>32</v>
      </c>
      <c r="AF165" s="74" t="s">
        <v>65</v>
      </c>
      <c r="AG165" s="85" t="str">
        <f>"disk-"&amp;VmSpecs[[#This Row],[VM Name]]&amp;"-002"</f>
        <v>disk-vmpfbpf2olg26-002</v>
      </c>
      <c r="AH165" s="59"/>
      <c r="AI165" s="42"/>
      <c r="AJ165" s="42"/>
      <c r="AK165" s="42"/>
      <c r="AL165" s="42" t="str">
        <f>MID(VmSpecs[[#This Row],[VM Name]],3,9)</f>
        <v>pfbpf2olg</v>
      </c>
      <c r="AM165" s="42" t="str" cm="1">
        <f t="array" ref="AM165">_xlfn.TEXTJOIN(CHAR(10), TRUE, IF(NfsExports[FMO Single VM IP]=VmSpecs[[#This Row],[IP]],NfsExports[FMO Export Summary],""))</f>
        <v>/apps/pcehr 30GB</v>
      </c>
      <c r="AN165" s="43" t="str" cm="1">
        <f t="array" ref="AN16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65" s="42"/>
      <c r="AP165" s="42" t="str">
        <f>VmSpecs[[#This Row],[Description]]</f>
        <v>OSB Log N26</v>
      </c>
      <c r="AQ165" s="43"/>
      <c r="AR165" s="43"/>
      <c r="AS165" s="43"/>
      <c r="AT165" s="43"/>
      <c r="AU165" s="43"/>
      <c r="AV165" s="42"/>
      <c r="AW165" s="42"/>
      <c r="AX165" s="42"/>
      <c r="AY165" s="42"/>
      <c r="AZ165" s="42"/>
      <c r="BA165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N26"
Application Service: "OLG"
Lifecycle: "PFB"</v>
      </c>
      <c r="BB165" s="42" t="s">
        <v>431</v>
      </c>
      <c r="BC165" s="42" t="str">
        <f>VLOOKUP(VmSpecs[[#This Row],[Original Hostname (CMO)]],'SSOT Data'!A:AJ,36,FALSE)</f>
        <v>OSB Log N26</v>
      </c>
      <c r="BD165" s="133">
        <f>VLOOKUP(VmSpecs[[#This Row],[Original Hostname (CMO)]],'SSOT Data'!A:AQ,43,FALSE)</f>
        <v>2</v>
      </c>
    </row>
    <row r="166" spans="1:56" ht="43.5" x14ac:dyDescent="0.35">
      <c r="A166" s="42"/>
      <c r="B166" s="42" t="str">
        <f>_xlfn.XLOOKUP(VmSpecs[[#This Row],[Subnet]],NetworkReference[Subnet],NetworkReference[Subscription])</f>
        <v>NINP-PERF2</v>
      </c>
      <c r="C166" s="43" t="str">
        <f>_xlfn.XLOOKUP(VmSpecs[[#This Row],[Subnet]],NetworkReference[Subnet],NetworkReference[Virtual Network Resource Group])</f>
        <v>rg-pf2-network-aue-001</v>
      </c>
      <c r="D166" s="43" t="str">
        <f>_xlfn.XLOOKUP(VmSpecs[[#This Row],[Subnet]],NetworkReference[Subnet],NetworkReference[Virtual Network])</f>
        <v>vnet-pf2-workload-aue-001</v>
      </c>
      <c r="E166" s="132" t="s">
        <v>59</v>
      </c>
      <c r="F166" s="43" t="str">
        <f>_xlfn.XLOOKUP(VmSpecs[[#This Row],[Subnet]],NetworkReference[Subnet],NetworkReference[Virtual Network Peering])</f>
        <v>vnet-ninp-conn-pnp-hub-aue</v>
      </c>
      <c r="G166" s="43" t="str">
        <f>_xlfn.XLOOKUP(VmSpecs[[#This Row],[Subnet]],NetworkReference[Subnet],NetworkReference[Route Table])</f>
        <v>rt-sn-pfb-aue-pf2-app</v>
      </c>
      <c r="H166" s="43" t="str">
        <f>LOWER(VLOOKUP(VmSpecs[[#This Row],[Original Hostname (CMO)]],'SSOT Data'!A:K,10,FALSE))</f>
        <v>olg</v>
      </c>
      <c r="I16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66" s="44" t="s">
        <v>233</v>
      </c>
      <c r="K166" s="43" t="str">
        <f>_xlfn.CONCAT("vm",MID(VmSpecs[[#This Row],[Subnet]],4,3),VLOOKUP(VmSpecs[[#This Row],[Subscription]],NetworkReference[#All],2,FALSE),VmSpecs[[#This Row],[Service]],VmSpecs[[#This Row],[VM iteration (nn)]])</f>
        <v>vmpfbpf2olg27</v>
      </c>
      <c r="L166" s="45" t="s">
        <v>61</v>
      </c>
      <c r="M166" s="43" t="str">
        <f>VmSpecs[[#This Row],[VM Name]]&amp;".ninp.myhealthrecord.gov.au"</f>
        <v>vmpfbpf2olg27.ninp.myhealthrecord.gov.au</v>
      </c>
      <c r="N166" s="42" t="str">
        <f t="shared" si="2"/>
        <v>nic-001-vmpfbpf2olg27</v>
      </c>
      <c r="O166" s="94" t="s">
        <v>432</v>
      </c>
      <c r="P166" s="46" t="s">
        <v>63</v>
      </c>
      <c r="Q166" s="42" t="str">
        <f>VLOOKUP(VmSpecs[[#This Row],[Original Hostname (CMO)]],'SSOT Data'!A:E,5,FALSE)</f>
        <v>OEL7.9</v>
      </c>
      <c r="R166" s="42"/>
      <c r="S166" s="42" t="str">
        <f>_xlfn.CONCAT("avail-",LEFT(VmSpecs[[#This Row],[VM Name]],LEN(VmSpecs[[#This Row],[VM Name]])-2))</f>
        <v>avail-vmpfbpf2olg</v>
      </c>
      <c r="T166" s="42" t="str">
        <f>_xlfn.CONCAT("asg-",LEFT(VmSpecs[[#This Row],[VM Name]],LEN(VmSpecs[[#This Row],[VM Name]])-2))</f>
        <v>asg-vmpfbpf2olg</v>
      </c>
      <c r="U166" s="42" t="str">
        <f>_xlfn.CONCAT("nsg-",VmSpecs[[#This Row],[Subnet]])</f>
        <v>nsg-sn-pfb-aue-pf2-app</v>
      </c>
      <c r="V166" s="42"/>
      <c r="W166" s="43" t="str">
        <f>VLOOKUP(VmSpecs[[#This Row],[Original Hostname (CMO)]],'SSOT Data'!A:AX,50,FALSE)</f>
        <v>Standard_D8s_v4</v>
      </c>
      <c r="X166" s="43">
        <v>64</v>
      </c>
      <c r="Y166" s="43" t="s">
        <v>65</v>
      </c>
      <c r="Z166" s="43" t="str">
        <f>"osdisk-"&amp;VmSpecs[[#This Row],[VM Name]]</f>
        <v>osdisk-vmpfbpf2olg27</v>
      </c>
      <c r="AA166" s="47" t="s">
        <v>66</v>
      </c>
      <c r="AB166" s="73">
        <v>8</v>
      </c>
      <c r="AC166" s="74" t="s">
        <v>65</v>
      </c>
      <c r="AD166" s="84" t="str">
        <f>"disk-"&amp;VmSpecs[[#This Row],[VM Name]]&amp;"-001"</f>
        <v>disk-vmpfbpf2olg27-001</v>
      </c>
      <c r="AE166" s="73">
        <v>32</v>
      </c>
      <c r="AF166" s="74" t="s">
        <v>65</v>
      </c>
      <c r="AG166" s="85" t="str">
        <f>"disk-"&amp;VmSpecs[[#This Row],[VM Name]]&amp;"-002"</f>
        <v>disk-vmpfbpf2olg27-002</v>
      </c>
      <c r="AH166" s="59"/>
      <c r="AI166" s="42"/>
      <c r="AJ166" s="42"/>
      <c r="AK166" s="42"/>
      <c r="AL166" s="42" t="str">
        <f>MID(VmSpecs[[#This Row],[VM Name]],3,9)</f>
        <v>pfbpf2olg</v>
      </c>
      <c r="AM166" s="42" t="str" cm="1">
        <f t="array" ref="AM166">_xlfn.TEXTJOIN(CHAR(10), TRUE, IF(NfsExports[FMO Single VM IP]=VmSpecs[[#This Row],[IP]],NfsExports[FMO Export Summary],""))</f>
        <v>/apps/pcehr 30GB</v>
      </c>
      <c r="AN166" s="43" t="str" cm="1">
        <f t="array" ref="AN16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66" s="42"/>
      <c r="AP166" s="42" t="str">
        <f>VmSpecs[[#This Row],[Description]]</f>
        <v>OSB Log N27</v>
      </c>
      <c r="AQ166" s="43"/>
      <c r="AR166" s="43"/>
      <c r="AS166" s="43"/>
      <c r="AT166" s="43"/>
      <c r="AU166" s="43"/>
      <c r="AV166" s="42"/>
      <c r="AW166" s="42"/>
      <c r="AX166" s="42"/>
      <c r="AY166" s="42"/>
      <c r="AZ166" s="42"/>
      <c r="BA166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N27"
Application Service: "OLG"
Lifecycle: "PFB"</v>
      </c>
      <c r="BB166" s="42" t="s">
        <v>433</v>
      </c>
      <c r="BC166" s="42" t="str">
        <f>VLOOKUP(VmSpecs[[#This Row],[Original Hostname (CMO)]],'SSOT Data'!A:AJ,36,FALSE)</f>
        <v>OSB Log N27</v>
      </c>
      <c r="BD166" s="133">
        <f>VLOOKUP(VmSpecs[[#This Row],[Original Hostname (CMO)]],'SSOT Data'!A:AQ,43,FALSE)</f>
        <v>2</v>
      </c>
    </row>
    <row r="167" spans="1:56" ht="43.5" x14ac:dyDescent="0.35">
      <c r="A167" s="42"/>
      <c r="B167" s="42" t="str">
        <f>_xlfn.XLOOKUP(VmSpecs[[#This Row],[Subnet]],NetworkReference[Subnet],NetworkReference[Subscription])</f>
        <v>NINP-PERF2</v>
      </c>
      <c r="C167" s="43" t="str">
        <f>_xlfn.XLOOKUP(VmSpecs[[#This Row],[Subnet]],NetworkReference[Subnet],NetworkReference[Virtual Network Resource Group])</f>
        <v>rg-pf2-network-aue-001</v>
      </c>
      <c r="D167" s="43" t="str">
        <f>_xlfn.XLOOKUP(VmSpecs[[#This Row],[Subnet]],NetworkReference[Subnet],NetworkReference[Virtual Network])</f>
        <v>vnet-pf2-workload-aue-001</v>
      </c>
      <c r="E167" s="132" t="s">
        <v>59</v>
      </c>
      <c r="F167" s="43" t="str">
        <f>_xlfn.XLOOKUP(VmSpecs[[#This Row],[Subnet]],NetworkReference[Subnet],NetworkReference[Virtual Network Peering])</f>
        <v>vnet-ninp-conn-pnp-hub-aue</v>
      </c>
      <c r="G167" s="43" t="str">
        <f>_xlfn.XLOOKUP(VmSpecs[[#This Row],[Subnet]],NetworkReference[Subnet],NetworkReference[Route Table])</f>
        <v>rt-sn-pfb-aue-pf2-app</v>
      </c>
      <c r="H167" s="43" t="str">
        <f>LOWER(VLOOKUP(VmSpecs[[#This Row],[Original Hostname (CMO)]],'SSOT Data'!A:K,10,FALSE))</f>
        <v>olg</v>
      </c>
      <c r="I16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67" s="44" t="s">
        <v>236</v>
      </c>
      <c r="K167" s="43" t="str">
        <f>_xlfn.CONCAT("vm",MID(VmSpecs[[#This Row],[Subnet]],4,3),VLOOKUP(VmSpecs[[#This Row],[Subscription]],NetworkReference[#All],2,FALSE),VmSpecs[[#This Row],[Service]],VmSpecs[[#This Row],[VM iteration (nn)]])</f>
        <v>vmpfbpf2olg28</v>
      </c>
      <c r="L167" s="45" t="s">
        <v>61</v>
      </c>
      <c r="M167" s="43" t="str">
        <f>VmSpecs[[#This Row],[VM Name]]&amp;".ninp.myhealthrecord.gov.au"</f>
        <v>vmpfbpf2olg28.ninp.myhealthrecord.gov.au</v>
      </c>
      <c r="N167" s="42" t="str">
        <f t="shared" si="2"/>
        <v>nic-001-vmpfbpf2olg28</v>
      </c>
      <c r="O167" s="94" t="s">
        <v>434</v>
      </c>
      <c r="P167" s="46" t="s">
        <v>63</v>
      </c>
      <c r="Q167" s="42" t="str">
        <f>VLOOKUP(VmSpecs[[#This Row],[Original Hostname (CMO)]],'SSOT Data'!A:E,5,FALSE)</f>
        <v>OEL7.9</v>
      </c>
      <c r="R167" s="42"/>
      <c r="S167" s="42" t="str">
        <f>_xlfn.CONCAT("avail-",LEFT(VmSpecs[[#This Row],[VM Name]],LEN(VmSpecs[[#This Row],[VM Name]])-2))</f>
        <v>avail-vmpfbpf2olg</v>
      </c>
      <c r="T167" s="42" t="str">
        <f>_xlfn.CONCAT("asg-",LEFT(VmSpecs[[#This Row],[VM Name]],LEN(VmSpecs[[#This Row],[VM Name]])-2))</f>
        <v>asg-vmpfbpf2olg</v>
      </c>
      <c r="U167" s="42" t="str">
        <f>_xlfn.CONCAT("nsg-",VmSpecs[[#This Row],[Subnet]])</f>
        <v>nsg-sn-pfb-aue-pf2-app</v>
      </c>
      <c r="V167" s="42"/>
      <c r="W167" s="43" t="str">
        <f>VLOOKUP(VmSpecs[[#This Row],[Original Hostname (CMO)]],'SSOT Data'!A:AX,50,FALSE)</f>
        <v>Standard_D8s_v4</v>
      </c>
      <c r="X167" s="43">
        <v>64</v>
      </c>
      <c r="Y167" s="43" t="s">
        <v>65</v>
      </c>
      <c r="Z167" s="43" t="str">
        <f>"osdisk-"&amp;VmSpecs[[#This Row],[VM Name]]</f>
        <v>osdisk-vmpfbpf2olg28</v>
      </c>
      <c r="AA167" s="47" t="s">
        <v>66</v>
      </c>
      <c r="AB167" s="73">
        <v>8</v>
      </c>
      <c r="AC167" s="74" t="s">
        <v>65</v>
      </c>
      <c r="AD167" s="84" t="str">
        <f>"disk-"&amp;VmSpecs[[#This Row],[VM Name]]&amp;"-001"</f>
        <v>disk-vmpfbpf2olg28-001</v>
      </c>
      <c r="AE167" s="73">
        <v>32</v>
      </c>
      <c r="AF167" s="74" t="s">
        <v>65</v>
      </c>
      <c r="AG167" s="85" t="str">
        <f>"disk-"&amp;VmSpecs[[#This Row],[VM Name]]&amp;"-002"</f>
        <v>disk-vmpfbpf2olg28-002</v>
      </c>
      <c r="AH167" s="59"/>
      <c r="AI167" s="42"/>
      <c r="AJ167" s="42"/>
      <c r="AK167" s="42"/>
      <c r="AL167" s="42" t="str">
        <f>MID(VmSpecs[[#This Row],[VM Name]],3,9)</f>
        <v>pfbpf2olg</v>
      </c>
      <c r="AM167" s="42" t="str" cm="1">
        <f t="array" ref="AM167">_xlfn.TEXTJOIN(CHAR(10), TRUE, IF(NfsExports[FMO Single VM IP]=VmSpecs[[#This Row],[IP]],NfsExports[FMO Export Summary],""))</f>
        <v>/apps/pcehr 30GB</v>
      </c>
      <c r="AN167" s="43" t="str" cm="1">
        <f t="array" ref="AN16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67" s="42"/>
      <c r="AP167" s="42" t="str">
        <f>VmSpecs[[#This Row],[Description]]</f>
        <v>OSB Log N28</v>
      </c>
      <c r="AQ167" s="43"/>
      <c r="AR167" s="43"/>
      <c r="AS167" s="43"/>
      <c r="AT167" s="43"/>
      <c r="AU167" s="43"/>
      <c r="AV167" s="42"/>
      <c r="AW167" s="42"/>
      <c r="AX167" s="42"/>
      <c r="AY167" s="42"/>
      <c r="AZ167" s="42"/>
      <c r="BA167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N28"
Application Service: "OLG"
Lifecycle: "PFB"</v>
      </c>
      <c r="BB167" s="42" t="s">
        <v>435</v>
      </c>
      <c r="BC167" s="42" t="str">
        <f>VLOOKUP(VmSpecs[[#This Row],[Original Hostname (CMO)]],'SSOT Data'!A:AJ,36,FALSE)</f>
        <v>OSB Log N28</v>
      </c>
      <c r="BD167" s="133">
        <f>VLOOKUP(VmSpecs[[#This Row],[Original Hostname (CMO)]],'SSOT Data'!A:AQ,43,FALSE)</f>
        <v>2</v>
      </c>
    </row>
    <row r="168" spans="1:56" ht="43.5" x14ac:dyDescent="0.35">
      <c r="A168" s="42"/>
      <c r="B168" s="42" t="str">
        <f>_xlfn.XLOOKUP(VmSpecs[[#This Row],[Subnet]],NetworkReference[Subnet],NetworkReference[Subscription])</f>
        <v>NINP-PERF2</v>
      </c>
      <c r="C168" s="43" t="str">
        <f>_xlfn.XLOOKUP(VmSpecs[[#This Row],[Subnet]],NetworkReference[Subnet],NetworkReference[Virtual Network Resource Group])</f>
        <v>rg-pf2-network-aue-001</v>
      </c>
      <c r="D168" s="43" t="str">
        <f>_xlfn.XLOOKUP(VmSpecs[[#This Row],[Subnet]],NetworkReference[Subnet],NetworkReference[Virtual Network])</f>
        <v>vnet-pf2-workload-aue-001</v>
      </c>
      <c r="E168" s="132" t="s">
        <v>59</v>
      </c>
      <c r="F168" s="43" t="str">
        <f>_xlfn.XLOOKUP(VmSpecs[[#This Row],[Subnet]],NetworkReference[Subnet],NetworkReference[Virtual Network Peering])</f>
        <v>vnet-ninp-conn-pnp-hub-aue</v>
      </c>
      <c r="G168" s="43" t="str">
        <f>_xlfn.XLOOKUP(VmSpecs[[#This Row],[Subnet]],NetworkReference[Subnet],NetworkReference[Route Table])</f>
        <v>rt-sn-pfb-aue-pf2-app</v>
      </c>
      <c r="H168" s="43" t="str">
        <f>LOWER(VLOOKUP(VmSpecs[[#This Row],[Original Hostname (CMO)]],'SSOT Data'!A:K,10,FALSE))</f>
        <v>olg</v>
      </c>
      <c r="I16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68" s="44" t="s">
        <v>239</v>
      </c>
      <c r="K168" s="43" t="str">
        <f>_xlfn.CONCAT("vm",MID(VmSpecs[[#This Row],[Subnet]],4,3),VLOOKUP(VmSpecs[[#This Row],[Subscription]],NetworkReference[#All],2,FALSE),VmSpecs[[#This Row],[Service]],VmSpecs[[#This Row],[VM iteration (nn)]])</f>
        <v>vmpfbpf2olg29</v>
      </c>
      <c r="L168" s="45" t="s">
        <v>61</v>
      </c>
      <c r="M168" s="43" t="str">
        <f>VmSpecs[[#This Row],[VM Name]]&amp;".ninp.myhealthrecord.gov.au"</f>
        <v>vmpfbpf2olg29.ninp.myhealthrecord.gov.au</v>
      </c>
      <c r="N168" s="42" t="str">
        <f t="shared" si="2"/>
        <v>nic-001-vmpfbpf2olg29</v>
      </c>
      <c r="O168" s="94" t="s">
        <v>436</v>
      </c>
      <c r="P168" s="46" t="s">
        <v>63</v>
      </c>
      <c r="Q168" s="42" t="str">
        <f>VLOOKUP(VmSpecs[[#This Row],[Original Hostname (CMO)]],'SSOT Data'!A:E,5,FALSE)</f>
        <v>OEL7.9</v>
      </c>
      <c r="R168" s="42"/>
      <c r="S168" s="42" t="str">
        <f>_xlfn.CONCAT("avail-",LEFT(VmSpecs[[#This Row],[VM Name]],LEN(VmSpecs[[#This Row],[VM Name]])-2))</f>
        <v>avail-vmpfbpf2olg</v>
      </c>
      <c r="T168" s="42" t="str">
        <f>_xlfn.CONCAT("asg-",LEFT(VmSpecs[[#This Row],[VM Name]],LEN(VmSpecs[[#This Row],[VM Name]])-2))</f>
        <v>asg-vmpfbpf2olg</v>
      </c>
      <c r="U168" s="42" t="str">
        <f>_xlfn.CONCAT("nsg-",VmSpecs[[#This Row],[Subnet]])</f>
        <v>nsg-sn-pfb-aue-pf2-app</v>
      </c>
      <c r="V168" s="42"/>
      <c r="W168" s="43" t="str">
        <f>VLOOKUP(VmSpecs[[#This Row],[Original Hostname (CMO)]],'SSOT Data'!A:AX,50,FALSE)</f>
        <v>Standard_D8s_v4</v>
      </c>
      <c r="X168" s="43">
        <v>64</v>
      </c>
      <c r="Y168" s="43" t="s">
        <v>65</v>
      </c>
      <c r="Z168" s="43" t="str">
        <f>"osdisk-"&amp;VmSpecs[[#This Row],[VM Name]]</f>
        <v>osdisk-vmpfbpf2olg29</v>
      </c>
      <c r="AA168" s="47" t="s">
        <v>66</v>
      </c>
      <c r="AB168" s="73">
        <v>8</v>
      </c>
      <c r="AC168" s="74" t="s">
        <v>65</v>
      </c>
      <c r="AD168" s="84" t="str">
        <f>"disk-"&amp;VmSpecs[[#This Row],[VM Name]]&amp;"-001"</f>
        <v>disk-vmpfbpf2olg29-001</v>
      </c>
      <c r="AE168" s="73">
        <v>32</v>
      </c>
      <c r="AF168" s="74" t="s">
        <v>65</v>
      </c>
      <c r="AG168" s="85" t="str">
        <f>"disk-"&amp;VmSpecs[[#This Row],[VM Name]]&amp;"-002"</f>
        <v>disk-vmpfbpf2olg29-002</v>
      </c>
      <c r="AH168" s="59"/>
      <c r="AI168" s="42"/>
      <c r="AJ168" s="42"/>
      <c r="AK168" s="42"/>
      <c r="AL168" s="42" t="str">
        <f>MID(VmSpecs[[#This Row],[VM Name]],3,9)</f>
        <v>pfbpf2olg</v>
      </c>
      <c r="AM168" s="42" t="str" cm="1">
        <f t="array" ref="AM168">_xlfn.TEXTJOIN(CHAR(10), TRUE, IF(NfsExports[FMO Single VM IP]=VmSpecs[[#This Row],[IP]],NfsExports[FMO Export Summary],""))</f>
        <v>/apps/pcehr 30GB</v>
      </c>
      <c r="AN168" s="43" t="str" cm="1">
        <f t="array" ref="AN16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68" s="42"/>
      <c r="AP168" s="42" t="str">
        <f>VmSpecs[[#This Row],[Description]]</f>
        <v>OSB Log N29</v>
      </c>
      <c r="AQ168" s="43"/>
      <c r="AR168" s="43"/>
      <c r="AS168" s="43"/>
      <c r="AT168" s="43"/>
      <c r="AU168" s="43"/>
      <c r="AV168" s="42"/>
      <c r="AW168" s="42"/>
      <c r="AX168" s="42"/>
      <c r="AY168" s="42"/>
      <c r="AZ168" s="42"/>
      <c r="BA168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N29"
Application Service: "OLG"
Lifecycle: "PFB"</v>
      </c>
      <c r="BB168" s="42" t="s">
        <v>437</v>
      </c>
      <c r="BC168" s="42" t="str">
        <f>VLOOKUP(VmSpecs[[#This Row],[Original Hostname (CMO)]],'SSOT Data'!A:AJ,36,FALSE)</f>
        <v>OSB Log N29</v>
      </c>
      <c r="BD168" s="133">
        <f>VLOOKUP(VmSpecs[[#This Row],[Original Hostname (CMO)]],'SSOT Data'!A:AQ,43,FALSE)</f>
        <v>2</v>
      </c>
    </row>
    <row r="169" spans="1:56" ht="43.5" x14ac:dyDescent="0.35">
      <c r="A169" s="42"/>
      <c r="B169" s="42" t="str">
        <f>_xlfn.XLOOKUP(VmSpecs[[#This Row],[Subnet]],NetworkReference[Subnet],NetworkReference[Subscription])</f>
        <v>NINP-PERF2</v>
      </c>
      <c r="C169" s="43" t="str">
        <f>_xlfn.XLOOKUP(VmSpecs[[#This Row],[Subnet]],NetworkReference[Subnet],NetworkReference[Virtual Network Resource Group])</f>
        <v>rg-pf2-network-aue-001</v>
      </c>
      <c r="D169" s="43" t="str">
        <f>_xlfn.XLOOKUP(VmSpecs[[#This Row],[Subnet]],NetworkReference[Subnet],NetworkReference[Virtual Network])</f>
        <v>vnet-pf2-workload-aue-001</v>
      </c>
      <c r="E169" s="132" t="s">
        <v>59</v>
      </c>
      <c r="F169" s="43" t="str">
        <f>_xlfn.XLOOKUP(VmSpecs[[#This Row],[Subnet]],NetworkReference[Subnet],NetworkReference[Virtual Network Peering])</f>
        <v>vnet-ninp-conn-pnp-hub-aue</v>
      </c>
      <c r="G169" s="43" t="str">
        <f>_xlfn.XLOOKUP(VmSpecs[[#This Row],[Subnet]],NetworkReference[Subnet],NetworkReference[Route Table])</f>
        <v>rt-sn-pfb-aue-pf2-app</v>
      </c>
      <c r="H169" s="43" t="str">
        <f>LOWER(VLOOKUP(VmSpecs[[#This Row],[Original Hostname (CMO)]],'SSOT Data'!A:K,10,FALSE))</f>
        <v>olg</v>
      </c>
      <c r="I16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69" s="44" t="s">
        <v>242</v>
      </c>
      <c r="K169" s="43" t="str">
        <f>_xlfn.CONCAT("vm",MID(VmSpecs[[#This Row],[Subnet]],4,3),VLOOKUP(VmSpecs[[#This Row],[Subscription]],NetworkReference[#All],2,FALSE),VmSpecs[[#This Row],[Service]],VmSpecs[[#This Row],[VM iteration (nn)]])</f>
        <v>vmpfbpf2olg30</v>
      </c>
      <c r="L169" s="45" t="s">
        <v>61</v>
      </c>
      <c r="M169" s="43" t="str">
        <f>VmSpecs[[#This Row],[VM Name]]&amp;".ninp.myhealthrecord.gov.au"</f>
        <v>vmpfbpf2olg30.ninp.myhealthrecord.gov.au</v>
      </c>
      <c r="N169" s="42" t="str">
        <f t="shared" si="2"/>
        <v>nic-001-vmpfbpf2olg30</v>
      </c>
      <c r="O169" s="94" t="s">
        <v>438</v>
      </c>
      <c r="P169" s="46" t="s">
        <v>63</v>
      </c>
      <c r="Q169" s="42" t="str">
        <f>VLOOKUP(VmSpecs[[#This Row],[Original Hostname (CMO)]],'SSOT Data'!A:E,5,FALSE)</f>
        <v>OEL7.9</v>
      </c>
      <c r="R169" s="42"/>
      <c r="S169" s="42" t="str">
        <f>_xlfn.CONCAT("avail-",LEFT(VmSpecs[[#This Row],[VM Name]],LEN(VmSpecs[[#This Row],[VM Name]])-2))</f>
        <v>avail-vmpfbpf2olg</v>
      </c>
      <c r="T169" s="42" t="str">
        <f>_xlfn.CONCAT("asg-",LEFT(VmSpecs[[#This Row],[VM Name]],LEN(VmSpecs[[#This Row],[VM Name]])-2))</f>
        <v>asg-vmpfbpf2olg</v>
      </c>
      <c r="U169" s="42" t="str">
        <f>_xlfn.CONCAT("nsg-",VmSpecs[[#This Row],[Subnet]])</f>
        <v>nsg-sn-pfb-aue-pf2-app</v>
      </c>
      <c r="V169" s="42"/>
      <c r="W169" s="43" t="str">
        <f>VLOOKUP(VmSpecs[[#This Row],[Original Hostname (CMO)]],'SSOT Data'!A:AX,50,FALSE)</f>
        <v>Standard_D8s_v4</v>
      </c>
      <c r="X169" s="43">
        <v>64</v>
      </c>
      <c r="Y169" s="43" t="s">
        <v>65</v>
      </c>
      <c r="Z169" s="43" t="str">
        <f>"osdisk-"&amp;VmSpecs[[#This Row],[VM Name]]</f>
        <v>osdisk-vmpfbpf2olg30</v>
      </c>
      <c r="AA169" s="47" t="s">
        <v>66</v>
      </c>
      <c r="AB169" s="73">
        <v>8</v>
      </c>
      <c r="AC169" s="74" t="s">
        <v>65</v>
      </c>
      <c r="AD169" s="84" t="str">
        <f>"disk-"&amp;VmSpecs[[#This Row],[VM Name]]&amp;"-001"</f>
        <v>disk-vmpfbpf2olg30-001</v>
      </c>
      <c r="AE169" s="73">
        <v>32</v>
      </c>
      <c r="AF169" s="74" t="s">
        <v>65</v>
      </c>
      <c r="AG169" s="85" t="str">
        <f>"disk-"&amp;VmSpecs[[#This Row],[VM Name]]&amp;"-002"</f>
        <v>disk-vmpfbpf2olg30-002</v>
      </c>
      <c r="AH169" s="59"/>
      <c r="AI169" s="42"/>
      <c r="AJ169" s="42"/>
      <c r="AK169" s="42"/>
      <c r="AL169" s="42" t="str">
        <f>MID(VmSpecs[[#This Row],[VM Name]],3,9)</f>
        <v>pfbpf2olg</v>
      </c>
      <c r="AM169" s="42" t="str" cm="1">
        <f t="array" ref="AM169">_xlfn.TEXTJOIN(CHAR(10), TRUE, IF(NfsExports[FMO Single VM IP]=VmSpecs[[#This Row],[IP]],NfsExports[FMO Export Summary],""))</f>
        <v>/apps/pcehr 30GB</v>
      </c>
      <c r="AN169" s="43" t="str" cm="1">
        <f t="array" ref="AN16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69" s="42"/>
      <c r="AP169" s="42" t="str">
        <f>VmSpecs[[#This Row],[Description]]</f>
        <v>OSB Log N30</v>
      </c>
      <c r="AQ169" s="43"/>
      <c r="AR169" s="43"/>
      <c r="AS169" s="43"/>
      <c r="AT169" s="43"/>
      <c r="AU169" s="43"/>
      <c r="AV169" s="42"/>
      <c r="AW169" s="42"/>
      <c r="AX169" s="42"/>
      <c r="AY169" s="42"/>
      <c r="AZ169" s="42"/>
      <c r="BA169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N30"
Application Service: "OLG"
Lifecycle: "PFB"</v>
      </c>
      <c r="BB169" s="42" t="s">
        <v>439</v>
      </c>
      <c r="BC169" s="42" t="str">
        <f>VLOOKUP(VmSpecs[[#This Row],[Original Hostname (CMO)]],'SSOT Data'!A:AJ,36,FALSE)</f>
        <v>OSB Log N30</v>
      </c>
      <c r="BD169" s="133">
        <f>VLOOKUP(VmSpecs[[#This Row],[Original Hostname (CMO)]],'SSOT Data'!A:AQ,43,FALSE)</f>
        <v>2</v>
      </c>
    </row>
    <row r="170" spans="1:56" ht="43.5" x14ac:dyDescent="0.35">
      <c r="A170" s="42"/>
      <c r="B170" s="42" t="str">
        <f>_xlfn.XLOOKUP(VmSpecs[[#This Row],[Subnet]],NetworkReference[Subnet],NetworkReference[Subscription])</f>
        <v>NINP-PERF2</v>
      </c>
      <c r="C170" s="87" t="str">
        <f>_xlfn.XLOOKUP(VmSpecs[[#This Row],[Subnet]],NetworkReference[Subnet],NetworkReference[Virtual Network Resource Group])</f>
        <v>rg-pf2-network-aue-001</v>
      </c>
      <c r="D170" s="87" t="str">
        <f>_xlfn.XLOOKUP(VmSpecs[[#This Row],[Subnet]],NetworkReference[Subnet],NetworkReference[Virtual Network])</f>
        <v>vnet-pf2-workload-aue-001</v>
      </c>
      <c r="E170" s="132" t="s">
        <v>59</v>
      </c>
      <c r="F170" s="87" t="str">
        <f>_xlfn.XLOOKUP(VmSpecs[[#This Row],[Subnet]],NetworkReference[Subnet],NetworkReference[Virtual Network Peering])</f>
        <v>vnet-ninp-conn-pnp-hub-aue</v>
      </c>
      <c r="G170" s="43" t="str">
        <f>_xlfn.XLOOKUP(VmSpecs[[#This Row],[Subnet]],NetworkReference[Subnet],NetworkReference[Route Table])</f>
        <v>rt-sn-pfb-aue-pf2-app</v>
      </c>
      <c r="H170" s="43" t="str">
        <f>LOWER(VLOOKUP(VmSpecs[[#This Row],[Original Hostname (CMO)]],'SSOT Data'!A:K,10,FALSE))</f>
        <v>olg</v>
      </c>
      <c r="I170" s="87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70" s="88" t="s">
        <v>245</v>
      </c>
      <c r="K170" s="87" t="str">
        <f>_xlfn.CONCAT("vm",MID(VmSpecs[[#This Row],[Subnet]],4,3),VLOOKUP(VmSpecs[[#This Row],[Subscription]],NetworkReference[#All],2,FALSE),VmSpecs[[#This Row],[Service]],VmSpecs[[#This Row],[VM iteration (nn)]])</f>
        <v>vmpfbpf2olg31</v>
      </c>
      <c r="L170" s="45" t="s">
        <v>61</v>
      </c>
      <c r="M170" s="87" t="str">
        <f>VmSpecs[[#This Row],[VM Name]]&amp;".ninp.myhealthrecord.gov.au"</f>
        <v>vmpfbpf2olg31.ninp.myhealthrecord.gov.au</v>
      </c>
      <c r="N170" s="86" t="str">
        <f t="shared" si="2"/>
        <v>nic-001-vmpfbpf2olg31</v>
      </c>
      <c r="O170" s="94" t="s">
        <v>440</v>
      </c>
      <c r="P170" s="46" t="s">
        <v>63</v>
      </c>
      <c r="Q170" s="42" t="str">
        <f>VLOOKUP(VmSpecs[[#This Row],[Original Hostname (CMO)]],'SSOT Data'!A:E,5,FALSE)</f>
        <v>OEL7.9</v>
      </c>
      <c r="R170" s="86"/>
      <c r="S170" s="42" t="str">
        <f>_xlfn.CONCAT("avail-",LEFT(VmSpecs[[#This Row],[VM Name]],LEN(VmSpecs[[#This Row],[VM Name]])-2))</f>
        <v>avail-vmpfbpf2olg</v>
      </c>
      <c r="T170" s="86" t="str">
        <f>_xlfn.CONCAT("asg-",LEFT(VmSpecs[[#This Row],[VM Name]],LEN(VmSpecs[[#This Row],[VM Name]])-2))</f>
        <v>asg-vmpfbpf2olg</v>
      </c>
      <c r="U170" s="86" t="str">
        <f>_xlfn.CONCAT("nsg-",VmSpecs[[#This Row],[Subnet]])</f>
        <v>nsg-sn-pfb-aue-pf2-app</v>
      </c>
      <c r="V170" s="86"/>
      <c r="W170" s="87" t="str">
        <f>VLOOKUP(VmSpecs[[#This Row],[Original Hostname (CMO)]],'SSOT Data'!A:AX,50,FALSE)</f>
        <v>Standard_D8s_v4</v>
      </c>
      <c r="X170" s="43">
        <v>64</v>
      </c>
      <c r="Y170" s="43" t="s">
        <v>65</v>
      </c>
      <c r="Z170" s="43" t="str">
        <f>"osdisk-"&amp;VmSpecs[[#This Row],[VM Name]]</f>
        <v>osdisk-vmpfbpf2olg31</v>
      </c>
      <c r="AA170" s="47" t="s">
        <v>66</v>
      </c>
      <c r="AB170" s="73">
        <v>8</v>
      </c>
      <c r="AC170" s="74" t="s">
        <v>65</v>
      </c>
      <c r="AD170" s="89" t="str">
        <f>"disk-"&amp;VmSpecs[[#This Row],[VM Name]]&amp;"-001"</f>
        <v>disk-vmpfbpf2olg31-001</v>
      </c>
      <c r="AE170" s="73">
        <v>32</v>
      </c>
      <c r="AF170" s="74" t="s">
        <v>65</v>
      </c>
      <c r="AG170" s="90" t="str">
        <f>"disk-"&amp;VmSpecs[[#This Row],[VM Name]]&amp;"-002"</f>
        <v>disk-vmpfbpf2olg31-002</v>
      </c>
      <c r="AH170" s="91"/>
      <c r="AI170" s="86"/>
      <c r="AJ170" s="86"/>
      <c r="AK170" s="86"/>
      <c r="AL170" s="86" t="str">
        <f>MID(VmSpecs[[#This Row],[VM Name]],3,9)</f>
        <v>pfbpf2olg</v>
      </c>
      <c r="AM170" s="86" t="str" cm="1">
        <f t="array" ref="AM170">_xlfn.TEXTJOIN(CHAR(10), TRUE, IF(NfsExports[FMO Single VM IP]=VmSpecs[[#This Row],[IP]],NfsExports[FMO Export Summary],""))</f>
        <v>/apps/pcehr 30GB</v>
      </c>
      <c r="AN170" s="87" t="str" cm="1">
        <f t="array" ref="AN17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70" s="86"/>
      <c r="AP170" s="86" t="str">
        <f>VmSpecs[[#This Row],[Description]]</f>
        <v>OSB Log N31</v>
      </c>
      <c r="AQ170" s="87"/>
      <c r="AR170" s="87"/>
      <c r="AS170" s="87"/>
      <c r="AT170" s="87"/>
      <c r="AU170" s="87"/>
      <c r="AV170" s="86"/>
      <c r="AW170" s="86"/>
      <c r="AX170" s="86"/>
      <c r="AY170" s="86"/>
      <c r="AZ170" s="86"/>
      <c r="BA170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N31"
Application Service: "OLG"
Lifecycle: "PFB"</v>
      </c>
      <c r="BB170" s="86" t="s">
        <v>441</v>
      </c>
      <c r="BC170" s="86" t="str">
        <f>VLOOKUP(VmSpecs[[#This Row],[Original Hostname (CMO)]],'SSOT Data'!A:AJ,36,FALSE)</f>
        <v>OSB Log N31</v>
      </c>
      <c r="BD170" s="133">
        <f>VLOOKUP(VmSpecs[[#This Row],[Original Hostname (CMO)]],'SSOT Data'!A:AQ,43,FALSE)</f>
        <v>2</v>
      </c>
    </row>
    <row r="171" spans="1:56" ht="29" x14ac:dyDescent="0.35">
      <c r="A171" s="42" t="s">
        <v>58</v>
      </c>
      <c r="B171" s="42" t="str">
        <f>_xlfn.XLOOKUP(VmSpecs[[#This Row],[Subnet]],NetworkReference[Subnet],NetworkReference[Subscription])</f>
        <v>NINP-PERF2</v>
      </c>
      <c r="C171" s="43" t="str">
        <f>_xlfn.XLOOKUP(VmSpecs[[#This Row],[Subnet]],NetworkReference[Subnet],NetworkReference[Virtual Network Resource Group])</f>
        <v>rg-pf2-network-aue-001</v>
      </c>
      <c r="D171" s="43" t="str">
        <f>_xlfn.XLOOKUP(VmSpecs[[#This Row],[Subnet]],NetworkReference[Subnet],NetworkReference[Virtual Network])</f>
        <v>vnet-pf2-workload-aue-001</v>
      </c>
      <c r="E171" s="132" t="s">
        <v>59</v>
      </c>
      <c r="F171" s="43" t="str">
        <f>_xlfn.XLOOKUP(VmSpecs[[#This Row],[Subnet]],NetworkReference[Subnet],NetworkReference[Virtual Network Peering])</f>
        <v>vnet-ninp-conn-pnp-hub-aue</v>
      </c>
      <c r="G171" s="43" t="str">
        <f>_xlfn.XLOOKUP(VmSpecs[[#This Row],[Subnet]],NetworkReference[Subnet],NetworkReference[Route Table])</f>
        <v>rt-sn-pfb-aue-pf2-app</v>
      </c>
      <c r="H171" s="43" t="str">
        <f>LOWER(VLOOKUP(VmSpecs[[#This Row],[Original Hostname (CMO)]],'SSOT Data'!A:K,10,FALSE))</f>
        <v>opt</v>
      </c>
      <c r="I17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71" s="44" t="s">
        <v>60</v>
      </c>
      <c r="K171" s="43" t="str">
        <f>_xlfn.CONCAT("vm",MID(VmSpecs[[#This Row],[Subnet]],4,3),VLOOKUP(VmSpecs[[#This Row],[Subscription]],NetworkReference[#All],2,FALSE),VmSpecs[[#This Row],[Service]],VmSpecs[[#This Row],[VM iteration (nn)]])</f>
        <v>vmpfbpf2opt01</v>
      </c>
      <c r="L171" s="45" t="s">
        <v>61</v>
      </c>
      <c r="M171" s="43" t="str">
        <f>VmSpecs[[#This Row],[VM Name]]&amp;".ninp.myhealthrecord.gov.au"</f>
        <v>vmpfbpf2opt01.ninp.myhealthrecord.gov.au</v>
      </c>
      <c r="N171" s="42" t="str">
        <f t="shared" si="2"/>
        <v>nic-001-vmpfbpf2opt01</v>
      </c>
      <c r="O171" s="94" t="s">
        <v>442</v>
      </c>
      <c r="P171" s="46" t="s">
        <v>63</v>
      </c>
      <c r="Q171" s="78" t="str">
        <f>VLOOKUP(VmSpecs[[#This Row],[Original Hostname (CMO)]],'SSOT Data'!A:E,5,FALSE)</f>
        <v>OEL7.9</v>
      </c>
      <c r="R171" s="42"/>
      <c r="S171" s="42" t="str">
        <f>_xlfn.CONCAT("avail-",LEFT(VmSpecs[[#This Row],[VM Name]],LEN(VmSpecs[[#This Row],[VM Name]])-2))</f>
        <v>avail-vmpfbpf2opt</v>
      </c>
      <c r="T171" s="42" t="str">
        <f>_xlfn.CONCAT("asg-",LEFT(VmSpecs[[#This Row],[VM Name]],LEN(VmSpecs[[#This Row],[VM Name]])-2))</f>
        <v>asg-vmpfbpf2opt</v>
      </c>
      <c r="U171" s="42" t="str">
        <f>_xlfn.CONCAT("nsg-",VmSpecs[[#This Row],[Subnet]])</f>
        <v>nsg-sn-pfb-aue-pf2-app</v>
      </c>
      <c r="V171" s="42" t="s">
        <v>64</v>
      </c>
      <c r="W171" s="43" t="str">
        <f>VLOOKUP(VmSpecs[[#This Row],[Original Hostname (CMO)]],'SSOT Data'!A:AX,50,FALSE)</f>
        <v>Standard_D2s_v4</v>
      </c>
      <c r="X171" s="43">
        <v>64</v>
      </c>
      <c r="Y171" s="43" t="s">
        <v>65</v>
      </c>
      <c r="Z171" s="43" t="str">
        <f>"osdisk-"&amp;VmSpecs[[#This Row],[VM Name]]</f>
        <v>osdisk-vmpfbpf2opt01</v>
      </c>
      <c r="AA171" s="47" t="s">
        <v>66</v>
      </c>
      <c r="AB171" s="73">
        <v>8</v>
      </c>
      <c r="AC171" s="74" t="s">
        <v>65</v>
      </c>
      <c r="AD171" s="84" t="str">
        <f>"disk-"&amp;VmSpecs[[#This Row],[VM Name]]&amp;"-001"</f>
        <v>disk-vmpfbpf2opt01-001</v>
      </c>
      <c r="AE171" s="73">
        <v>32</v>
      </c>
      <c r="AF171" s="74" t="s">
        <v>65</v>
      </c>
      <c r="AG171" s="85" t="str">
        <f>"disk-"&amp;VmSpecs[[#This Row],[VM Name]]&amp;"-002"</f>
        <v>disk-vmpfbpf2opt01-002</v>
      </c>
      <c r="AH171" s="59"/>
      <c r="AI171" s="42"/>
      <c r="AJ171" s="42"/>
      <c r="AK171" s="42"/>
      <c r="AL171" s="42" t="str">
        <f>MID(VmSpecs[[#This Row],[VM Name]],3,9)</f>
        <v>pfbpf2opt</v>
      </c>
      <c r="AM171" s="42" t="str" cm="1">
        <f t="array" ref="AM171">_xlfn.TEXTJOIN(CHAR(10), TRUE, IF(NfsExports[FMO Single VM IP]=VmSpecs[[#This Row],[IP]],NfsExports[FMO Export Summary],""))</f>
        <v>/apps/pcehr 30GB</v>
      </c>
      <c r="AN171" s="43" t="str" cm="1">
        <f t="array" ref="AN17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71" s="42"/>
      <c r="AP171" s="42" t="str">
        <f>VmSpecs[[#This Row],[Description]]</f>
        <v>NIO Operations Tool</v>
      </c>
      <c r="AQ171" s="43"/>
      <c r="AR171" s="43" t="s">
        <v>64</v>
      </c>
      <c r="AS171" s="43" t="s">
        <v>64</v>
      </c>
      <c r="AT171" s="43" t="s">
        <v>64</v>
      </c>
      <c r="AU171" s="43" t="s">
        <v>64</v>
      </c>
      <c r="AV171" s="42" t="s">
        <v>66</v>
      </c>
      <c r="AW171" s="42" t="s">
        <v>67</v>
      </c>
      <c r="AX171" s="42" t="s">
        <v>68</v>
      </c>
      <c r="AY171" s="42" t="s">
        <v>64</v>
      </c>
      <c r="AZ171" s="42" t="s">
        <v>64</v>
      </c>
      <c r="BA17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"NIO Operations Tool"
Application Service: "OPT"
Lifecycle: "PFB"</v>
      </c>
      <c r="BB171" s="42" t="s">
        <v>443</v>
      </c>
      <c r="BC171" s="42" t="str">
        <f>VLOOKUP(VmSpecs[[#This Row],[Original Hostname (CMO)]],'SSOT Data'!A:AJ,36,FALSE)</f>
        <v>NIO Operations Tool</v>
      </c>
      <c r="BD171" s="87" t="s">
        <v>444</v>
      </c>
    </row>
    <row r="172" spans="1:56" ht="43.5" x14ac:dyDescent="0.35">
      <c r="A172" s="42" t="s">
        <v>58</v>
      </c>
      <c r="B172" s="42" t="str">
        <f>_xlfn.XLOOKUP(VmSpecs[[#This Row],[Subnet]],NetworkReference[Subnet],NetworkReference[Subscription])</f>
        <v>NINP-PERF2</v>
      </c>
      <c r="C172" s="87" t="str">
        <f>_xlfn.XLOOKUP(VmSpecs[[#This Row],[Subnet]],NetworkReference[Subnet],NetworkReference[Virtual Network Resource Group])</f>
        <v>rg-pf2-network-aue-001</v>
      </c>
      <c r="D172" s="87" t="str">
        <f>_xlfn.XLOOKUP(VmSpecs[[#This Row],[Subnet]],NetworkReference[Subnet],NetworkReference[Virtual Network])</f>
        <v>vnet-pf2-workload-aue-001</v>
      </c>
      <c r="E172" s="132" t="s">
        <v>59</v>
      </c>
      <c r="F172" s="87" t="str">
        <f>_xlfn.XLOOKUP(VmSpecs[[#This Row],[Subnet]],NetworkReference[Subnet],NetworkReference[Virtual Network Peering])</f>
        <v>vnet-ninp-conn-pnp-hub-aue</v>
      </c>
      <c r="G172" s="43" t="str">
        <f>_xlfn.XLOOKUP(VmSpecs[[#This Row],[Subnet]],NetworkReference[Subnet],NetworkReference[Route Table])</f>
        <v>rt-sn-pfb-aue-pf2-app</v>
      </c>
      <c r="H172" s="43" t="str">
        <f>LOWER(VLOOKUP(VmSpecs[[#This Row],[Original Hostname (CMO)]],'SSOT Data'!A:K,10,FALSE))</f>
        <v>osb</v>
      </c>
      <c r="I172" s="87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72" s="88" t="s">
        <v>60</v>
      </c>
      <c r="K172" s="87" t="str">
        <f>_xlfn.CONCAT("vm",MID(VmSpecs[[#This Row],[Subnet]],4,3),VLOOKUP(VmSpecs[[#This Row],[Subscription]],NetworkReference[#All],2,FALSE),VmSpecs[[#This Row],[Service]],VmSpecs[[#This Row],[VM iteration (nn)]])</f>
        <v>vmpfbpf2osb01</v>
      </c>
      <c r="L172" s="45" t="s">
        <v>61</v>
      </c>
      <c r="M172" s="87" t="str">
        <f>VmSpecs[[#This Row],[VM Name]]&amp;".ninp.myhealthrecord.gov.au"</f>
        <v>vmpfbpf2osb01.ninp.myhealthrecord.gov.au</v>
      </c>
      <c r="N172" s="86" t="str">
        <f t="shared" si="2"/>
        <v>nic-001-vmpfbpf2osb01</v>
      </c>
      <c r="O172" s="94" t="s">
        <v>445</v>
      </c>
      <c r="P172" s="46" t="s">
        <v>63</v>
      </c>
      <c r="Q172" s="78" t="str">
        <f>VLOOKUP(VmSpecs[[#This Row],[Original Hostname (CMO)]],'SSOT Data'!A:E,5,FALSE)</f>
        <v>OEL7.9</v>
      </c>
      <c r="R172" s="86"/>
      <c r="S172" s="42" t="str">
        <f>_xlfn.CONCAT("avail-",LEFT(VmSpecs[[#This Row],[VM Name]],LEN(VmSpecs[[#This Row],[VM Name]])-2))</f>
        <v>avail-vmpfbpf2osb</v>
      </c>
      <c r="T172" s="86" t="str">
        <f>_xlfn.CONCAT("asg-",LEFT(VmSpecs[[#This Row],[VM Name]],LEN(VmSpecs[[#This Row],[VM Name]])-2))</f>
        <v>asg-vmpfbpf2osb</v>
      </c>
      <c r="U172" s="86" t="str">
        <f>_xlfn.CONCAT("nsg-",VmSpecs[[#This Row],[Subnet]])</f>
        <v>nsg-sn-pfb-aue-pf2-app</v>
      </c>
      <c r="V172" s="86" t="s">
        <v>64</v>
      </c>
      <c r="W172" s="87" t="str">
        <f>VLOOKUP(VmSpecs[[#This Row],[Original Hostname (CMO)]],'SSOT Data'!A:AX,50,FALSE)</f>
        <v>Standard_D8s_v4</v>
      </c>
      <c r="X172" s="43">
        <v>64</v>
      </c>
      <c r="Y172" s="43" t="s">
        <v>65</v>
      </c>
      <c r="Z172" s="43" t="str">
        <f>"osdisk-"&amp;VmSpecs[[#This Row],[VM Name]]</f>
        <v>osdisk-vmpfbpf2osb01</v>
      </c>
      <c r="AA172" s="47" t="s">
        <v>66</v>
      </c>
      <c r="AB172" s="73">
        <v>8</v>
      </c>
      <c r="AC172" s="74" t="s">
        <v>65</v>
      </c>
      <c r="AD172" s="89" t="str">
        <f>"disk-"&amp;VmSpecs[[#This Row],[VM Name]]&amp;"-001"</f>
        <v>disk-vmpfbpf2osb01-001</v>
      </c>
      <c r="AE172" s="73">
        <v>32</v>
      </c>
      <c r="AF172" s="74" t="s">
        <v>65</v>
      </c>
      <c r="AG172" s="90" t="str">
        <f>"disk-"&amp;VmSpecs[[#This Row],[VM Name]]&amp;"-002"</f>
        <v>disk-vmpfbpf2osb01-002</v>
      </c>
      <c r="AH172" s="91"/>
      <c r="AI172" s="86"/>
      <c r="AJ172" s="86"/>
      <c r="AK172" s="86"/>
      <c r="AL172" s="86" t="str">
        <f>MID(VmSpecs[[#This Row],[VM Name]],3,9)</f>
        <v>pfbpf2osb</v>
      </c>
      <c r="AM172" s="86" t="str" cm="1">
        <f t="array" ref="AM172">_xlfn.TEXTJOIN(CHAR(10), TRUE, IF(NfsExports[FMO Single VM IP]=VmSpecs[[#This Row],[IP]],NfsExports[FMO Export Summary],""))</f>
        <v>/apps/pcehr 30GB</v>
      </c>
      <c r="AN172" s="87" t="str" cm="1">
        <f t="array" ref="AN17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72" s="86"/>
      <c r="AP172" s="86" t="str">
        <f>VmSpecs[[#This Row],[Description]]</f>
        <v>OSB Common Domain N1</v>
      </c>
      <c r="AQ172" s="87"/>
      <c r="AR172" s="87" t="s">
        <v>64</v>
      </c>
      <c r="AS172" s="87" t="s">
        <v>64</v>
      </c>
      <c r="AT172" s="87" t="s">
        <v>64</v>
      </c>
      <c r="AU172" s="87" t="s">
        <v>64</v>
      </c>
      <c r="AV172" s="86" t="s">
        <v>66</v>
      </c>
      <c r="AW172" s="86" t="s">
        <v>67</v>
      </c>
      <c r="AX172" s="86" t="s">
        <v>68</v>
      </c>
      <c r="AY172" s="86" t="s">
        <v>64</v>
      </c>
      <c r="AZ172" s="86" t="s">
        <v>64</v>
      </c>
      <c r="BA17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Common Domain N1"
Application Service: "OSB"
Lifecycle: "PFB"</v>
      </c>
      <c r="BB172" s="86" t="s">
        <v>446</v>
      </c>
      <c r="BC172" s="86" t="str">
        <f>VLOOKUP(VmSpecs[[#This Row],[Original Hostname (CMO)]],'SSOT Data'!A:AJ,36,FALSE)</f>
        <v>OSB Common Domain N1</v>
      </c>
      <c r="BD172" s="87"/>
    </row>
    <row r="173" spans="1:56" ht="43.5" x14ac:dyDescent="0.35">
      <c r="A173" s="42" t="s">
        <v>58</v>
      </c>
      <c r="B173" s="42" t="str">
        <f>_xlfn.XLOOKUP(VmSpecs[[#This Row],[Subnet]],NetworkReference[Subnet],NetworkReference[Subscription])</f>
        <v>NINP-PERF2</v>
      </c>
      <c r="C173" s="43" t="str">
        <f>_xlfn.XLOOKUP(VmSpecs[[#This Row],[Subnet]],NetworkReference[Subnet],NetworkReference[Virtual Network Resource Group])</f>
        <v>rg-pf2-network-aue-001</v>
      </c>
      <c r="D173" s="43" t="str">
        <f>_xlfn.XLOOKUP(VmSpecs[[#This Row],[Subnet]],NetworkReference[Subnet],NetworkReference[Virtual Network])</f>
        <v>vnet-pf2-workload-aue-001</v>
      </c>
      <c r="E173" s="132" t="s">
        <v>59</v>
      </c>
      <c r="F173" s="43" t="str">
        <f>_xlfn.XLOOKUP(VmSpecs[[#This Row],[Subnet]],NetworkReference[Subnet],NetworkReference[Virtual Network Peering])</f>
        <v>vnet-ninp-conn-pnp-hub-aue</v>
      </c>
      <c r="G173" s="43" t="str">
        <f>_xlfn.XLOOKUP(VmSpecs[[#This Row],[Subnet]],NetworkReference[Subnet],NetworkReference[Route Table])</f>
        <v>rt-sn-pfb-aue-pf2-app</v>
      </c>
      <c r="H173" s="43" t="str">
        <f>LOWER(VLOOKUP(VmSpecs[[#This Row],[Original Hostname (CMO)]],'SSOT Data'!A:K,10,FALSE))</f>
        <v>osb</v>
      </c>
      <c r="I17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73" s="44" t="s">
        <v>72</v>
      </c>
      <c r="K173" s="43" t="str">
        <f>_xlfn.CONCAT("vm",MID(VmSpecs[[#This Row],[Subnet]],4,3),VLOOKUP(VmSpecs[[#This Row],[Subscription]],NetworkReference[#All],2,FALSE),VmSpecs[[#This Row],[Service]],VmSpecs[[#This Row],[VM iteration (nn)]])</f>
        <v>vmpfbpf2osb02</v>
      </c>
      <c r="L173" s="45" t="s">
        <v>61</v>
      </c>
      <c r="M173" s="43" t="str">
        <f>VmSpecs[[#This Row],[VM Name]]&amp;".ninp.myhealthrecord.gov.au"</f>
        <v>vmpfbpf2osb02.ninp.myhealthrecord.gov.au</v>
      </c>
      <c r="N173" s="42" t="str">
        <f t="shared" si="2"/>
        <v>nic-001-vmpfbpf2osb02</v>
      </c>
      <c r="O173" s="94" t="s">
        <v>447</v>
      </c>
      <c r="P173" s="46" t="s">
        <v>63</v>
      </c>
      <c r="Q173" s="78" t="str">
        <f>VLOOKUP(VmSpecs[[#This Row],[Original Hostname (CMO)]],'SSOT Data'!A:E,5,FALSE)</f>
        <v>OEL7.9</v>
      </c>
      <c r="R173" s="42"/>
      <c r="S173" s="42" t="str">
        <f>_xlfn.CONCAT("avail-",LEFT(VmSpecs[[#This Row],[VM Name]],LEN(VmSpecs[[#This Row],[VM Name]])-2))</f>
        <v>avail-vmpfbpf2osb</v>
      </c>
      <c r="T173" s="42" t="str">
        <f>_xlfn.CONCAT("asg-",LEFT(VmSpecs[[#This Row],[VM Name]],LEN(VmSpecs[[#This Row],[VM Name]])-2))</f>
        <v>asg-vmpfbpf2osb</v>
      </c>
      <c r="U173" s="42" t="str">
        <f>_xlfn.CONCAT("nsg-",VmSpecs[[#This Row],[Subnet]])</f>
        <v>nsg-sn-pfb-aue-pf2-app</v>
      </c>
      <c r="V173" s="42" t="s">
        <v>64</v>
      </c>
      <c r="W173" s="43" t="str">
        <f>VLOOKUP(VmSpecs[[#This Row],[Original Hostname (CMO)]],'SSOT Data'!A:AX,50,FALSE)</f>
        <v>Standard_D8s_v4</v>
      </c>
      <c r="X173" s="43">
        <v>64</v>
      </c>
      <c r="Y173" s="43" t="s">
        <v>65</v>
      </c>
      <c r="Z173" s="43" t="str">
        <f>"osdisk-"&amp;VmSpecs[[#This Row],[VM Name]]</f>
        <v>osdisk-vmpfbpf2osb02</v>
      </c>
      <c r="AA173" s="47" t="s">
        <v>66</v>
      </c>
      <c r="AB173" s="73">
        <v>8</v>
      </c>
      <c r="AC173" s="74" t="s">
        <v>65</v>
      </c>
      <c r="AD173" s="84" t="str">
        <f>"disk-"&amp;VmSpecs[[#This Row],[VM Name]]&amp;"-001"</f>
        <v>disk-vmpfbpf2osb02-001</v>
      </c>
      <c r="AE173" s="73">
        <v>32</v>
      </c>
      <c r="AF173" s="74" t="s">
        <v>65</v>
      </c>
      <c r="AG173" s="85" t="str">
        <f>"disk-"&amp;VmSpecs[[#This Row],[VM Name]]&amp;"-002"</f>
        <v>disk-vmpfbpf2osb02-002</v>
      </c>
      <c r="AH173" s="59"/>
      <c r="AI173" s="42"/>
      <c r="AJ173" s="42"/>
      <c r="AK173" s="42"/>
      <c r="AL173" s="42" t="str">
        <f>MID(VmSpecs[[#This Row],[VM Name]],3,9)</f>
        <v>pfbpf2osb</v>
      </c>
      <c r="AM173" s="42" t="str" cm="1">
        <f t="array" ref="AM173">_xlfn.TEXTJOIN(CHAR(10), TRUE, IF(NfsExports[FMO Single VM IP]=VmSpecs[[#This Row],[IP]],NfsExports[FMO Export Summary],""))</f>
        <v>/apps/pcehr 30GB</v>
      </c>
      <c r="AN173" s="43" t="str" cm="1">
        <f t="array" ref="AN17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73" s="42"/>
      <c r="AP173" s="42" t="str">
        <f>VmSpecs[[#This Row],[Description]]</f>
        <v>OSB Common Domain N2</v>
      </c>
      <c r="AQ173" s="43"/>
      <c r="AR173" s="43" t="s">
        <v>64</v>
      </c>
      <c r="AS173" s="43" t="s">
        <v>64</v>
      </c>
      <c r="AT173" s="43" t="s">
        <v>64</v>
      </c>
      <c r="AU173" s="43" t="s">
        <v>64</v>
      </c>
      <c r="AV173" s="42" t="s">
        <v>66</v>
      </c>
      <c r="AW173" s="42" t="s">
        <v>67</v>
      </c>
      <c r="AX173" s="42" t="s">
        <v>68</v>
      </c>
      <c r="AY173" s="42" t="s">
        <v>64</v>
      </c>
      <c r="AZ173" s="42" t="s">
        <v>64</v>
      </c>
      <c r="BA17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Common Domain N2"
Application Service: "OSB"
Lifecycle: "PFB"</v>
      </c>
      <c r="BB173" s="42" t="s">
        <v>448</v>
      </c>
      <c r="BC173" s="42" t="str">
        <f>VLOOKUP(VmSpecs[[#This Row],[Original Hostname (CMO)]],'SSOT Data'!A:AJ,36,FALSE)</f>
        <v>OSB Common Domain N2</v>
      </c>
      <c r="BD173" s="87"/>
    </row>
    <row r="174" spans="1:56" ht="43.5" x14ac:dyDescent="0.35">
      <c r="A174" s="42" t="s">
        <v>58</v>
      </c>
      <c r="B174" s="42" t="str">
        <f>_xlfn.XLOOKUP(VmSpecs[[#This Row],[Subnet]],NetworkReference[Subnet],NetworkReference[Subscription])</f>
        <v>NINP-PERF2</v>
      </c>
      <c r="C174" s="43" t="str">
        <f>_xlfn.XLOOKUP(VmSpecs[[#This Row],[Subnet]],NetworkReference[Subnet],NetworkReference[Virtual Network Resource Group])</f>
        <v>rg-pf2-network-aue-001</v>
      </c>
      <c r="D174" s="43" t="str">
        <f>_xlfn.XLOOKUP(VmSpecs[[#This Row],[Subnet]],NetworkReference[Subnet],NetworkReference[Virtual Network])</f>
        <v>vnet-pf2-workload-aue-001</v>
      </c>
      <c r="E174" s="132" t="s">
        <v>59</v>
      </c>
      <c r="F174" s="43" t="str">
        <f>_xlfn.XLOOKUP(VmSpecs[[#This Row],[Subnet]],NetworkReference[Subnet],NetworkReference[Virtual Network Peering])</f>
        <v>vnet-ninp-conn-pnp-hub-aue</v>
      </c>
      <c r="G174" s="43" t="str">
        <f>_xlfn.XLOOKUP(VmSpecs[[#This Row],[Subnet]],NetworkReference[Subnet],NetworkReference[Route Table])</f>
        <v>rt-sn-pfb-aue-pf2-app</v>
      </c>
      <c r="H174" s="43" t="str">
        <f>LOWER(VLOOKUP(VmSpecs[[#This Row],[Original Hostname (CMO)]],'SSOT Data'!A:K,10,FALSE))</f>
        <v>osb</v>
      </c>
      <c r="I17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74" s="44" t="s">
        <v>75</v>
      </c>
      <c r="K174" s="43" t="str">
        <f>_xlfn.CONCAT("vm",MID(VmSpecs[[#This Row],[Subnet]],4,3),VLOOKUP(VmSpecs[[#This Row],[Subscription]],NetworkReference[#All],2,FALSE),VmSpecs[[#This Row],[Service]],VmSpecs[[#This Row],[VM iteration (nn)]])</f>
        <v>vmpfbpf2osb03</v>
      </c>
      <c r="L174" s="45" t="s">
        <v>61</v>
      </c>
      <c r="M174" s="43" t="str">
        <f>VmSpecs[[#This Row],[VM Name]]&amp;".ninp.myhealthrecord.gov.au"</f>
        <v>vmpfbpf2osb03.ninp.myhealthrecord.gov.au</v>
      </c>
      <c r="N174" s="42" t="str">
        <f t="shared" si="2"/>
        <v>nic-001-vmpfbpf2osb03</v>
      </c>
      <c r="O174" s="94" t="s">
        <v>449</v>
      </c>
      <c r="P174" s="46" t="s">
        <v>63</v>
      </c>
      <c r="Q174" s="78" t="str">
        <f>VLOOKUP(VmSpecs[[#This Row],[Original Hostname (CMO)]],'SSOT Data'!A:E,5,FALSE)</f>
        <v>OEL7.9</v>
      </c>
      <c r="R174" s="42"/>
      <c r="S174" s="42" t="str">
        <f>_xlfn.CONCAT("avail-",LEFT(VmSpecs[[#This Row],[VM Name]],LEN(VmSpecs[[#This Row],[VM Name]])-2))</f>
        <v>avail-vmpfbpf2osb</v>
      </c>
      <c r="T174" s="42" t="str">
        <f>_xlfn.CONCAT("asg-",LEFT(VmSpecs[[#This Row],[VM Name]],LEN(VmSpecs[[#This Row],[VM Name]])-2))</f>
        <v>asg-vmpfbpf2osb</v>
      </c>
      <c r="U174" s="42" t="str">
        <f>_xlfn.CONCAT("nsg-",VmSpecs[[#This Row],[Subnet]])</f>
        <v>nsg-sn-pfb-aue-pf2-app</v>
      </c>
      <c r="V174" s="42" t="s">
        <v>64</v>
      </c>
      <c r="W174" s="43" t="str">
        <f>VLOOKUP(VmSpecs[[#This Row],[Original Hostname (CMO)]],'SSOT Data'!A:AX,50,FALSE)</f>
        <v>Standard_D8s_v4</v>
      </c>
      <c r="X174" s="43">
        <v>64</v>
      </c>
      <c r="Y174" s="43" t="s">
        <v>65</v>
      </c>
      <c r="Z174" s="43" t="str">
        <f>"osdisk-"&amp;VmSpecs[[#This Row],[VM Name]]</f>
        <v>osdisk-vmpfbpf2osb03</v>
      </c>
      <c r="AA174" s="47" t="s">
        <v>66</v>
      </c>
      <c r="AB174" s="73">
        <v>8</v>
      </c>
      <c r="AC174" s="74" t="s">
        <v>65</v>
      </c>
      <c r="AD174" s="84" t="str">
        <f>"disk-"&amp;VmSpecs[[#This Row],[VM Name]]&amp;"-001"</f>
        <v>disk-vmpfbpf2osb03-001</v>
      </c>
      <c r="AE174" s="73">
        <v>32</v>
      </c>
      <c r="AF174" s="74" t="s">
        <v>65</v>
      </c>
      <c r="AG174" s="85" t="str">
        <f>"disk-"&amp;VmSpecs[[#This Row],[VM Name]]&amp;"-002"</f>
        <v>disk-vmpfbpf2osb03-002</v>
      </c>
      <c r="AH174" s="59"/>
      <c r="AI174" s="42"/>
      <c r="AJ174" s="42"/>
      <c r="AK174" s="42"/>
      <c r="AL174" s="42" t="str">
        <f>MID(VmSpecs[[#This Row],[VM Name]],3,9)</f>
        <v>pfbpf2osb</v>
      </c>
      <c r="AM174" s="42" t="str" cm="1">
        <f t="array" ref="AM174">_xlfn.TEXTJOIN(CHAR(10), TRUE, IF(NfsExports[FMO Single VM IP]=VmSpecs[[#This Row],[IP]],NfsExports[FMO Export Summary],""))</f>
        <v>/apps/pcehr 30GB</v>
      </c>
      <c r="AN174" s="43" t="str" cm="1">
        <f t="array" ref="AN17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74" s="42"/>
      <c r="AP174" s="42" t="str">
        <f>VmSpecs[[#This Row],[Description]]</f>
        <v>OSB Common Domain N3</v>
      </c>
      <c r="AQ174" s="43"/>
      <c r="AR174" s="43" t="s">
        <v>64</v>
      </c>
      <c r="AS174" s="43" t="s">
        <v>64</v>
      </c>
      <c r="AT174" s="43" t="s">
        <v>64</v>
      </c>
      <c r="AU174" s="43" t="s">
        <v>64</v>
      </c>
      <c r="AV174" s="42" t="s">
        <v>66</v>
      </c>
      <c r="AW174" s="42" t="s">
        <v>67</v>
      </c>
      <c r="AX174" s="42" t="s">
        <v>68</v>
      </c>
      <c r="AY174" s="42" t="s">
        <v>64</v>
      </c>
      <c r="AZ174" s="42" t="s">
        <v>64</v>
      </c>
      <c r="BA17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Common Domain N3"
Application Service: "OSB"
Lifecycle: "PFB"</v>
      </c>
      <c r="BB174" s="42" t="s">
        <v>450</v>
      </c>
      <c r="BC174" s="42" t="str">
        <f>VLOOKUP(VmSpecs[[#This Row],[Original Hostname (CMO)]],'SSOT Data'!A:AJ,36,FALSE)</f>
        <v>OSB Common Domain N3</v>
      </c>
      <c r="BD174" s="87"/>
    </row>
    <row r="175" spans="1:56" ht="43.5" x14ac:dyDescent="0.35">
      <c r="A175" s="42" t="s">
        <v>58</v>
      </c>
      <c r="B175" s="42" t="str">
        <f>_xlfn.XLOOKUP(VmSpecs[[#This Row],[Subnet]],NetworkReference[Subnet],NetworkReference[Subscription])</f>
        <v>NINP-PERF2</v>
      </c>
      <c r="C175" s="43" t="str">
        <f>_xlfn.XLOOKUP(VmSpecs[[#This Row],[Subnet]],NetworkReference[Subnet],NetworkReference[Virtual Network Resource Group])</f>
        <v>rg-pf2-network-aue-001</v>
      </c>
      <c r="D175" s="43" t="str">
        <f>_xlfn.XLOOKUP(VmSpecs[[#This Row],[Subnet]],NetworkReference[Subnet],NetworkReference[Virtual Network])</f>
        <v>vnet-pf2-workload-aue-001</v>
      </c>
      <c r="E175" s="132" t="s">
        <v>59</v>
      </c>
      <c r="F175" s="43" t="str">
        <f>_xlfn.XLOOKUP(VmSpecs[[#This Row],[Subnet]],NetworkReference[Subnet],NetworkReference[Virtual Network Peering])</f>
        <v>vnet-ninp-conn-pnp-hub-aue</v>
      </c>
      <c r="G175" s="43" t="str">
        <f>_xlfn.XLOOKUP(VmSpecs[[#This Row],[Subnet]],NetworkReference[Subnet],NetworkReference[Route Table])</f>
        <v>rt-sn-pfb-aue-pf2-app</v>
      </c>
      <c r="H175" s="43" t="str">
        <f>LOWER(VLOOKUP(VmSpecs[[#This Row],[Original Hostname (CMO)]],'SSOT Data'!A:K,10,FALSE))</f>
        <v>osb</v>
      </c>
      <c r="I17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75" s="44" t="s">
        <v>78</v>
      </c>
      <c r="K175" s="43" t="str">
        <f>_xlfn.CONCAT("vm",MID(VmSpecs[[#This Row],[Subnet]],4,3),VLOOKUP(VmSpecs[[#This Row],[Subscription]],NetworkReference[#All],2,FALSE),VmSpecs[[#This Row],[Service]],VmSpecs[[#This Row],[VM iteration (nn)]])</f>
        <v>vmpfbpf2osb04</v>
      </c>
      <c r="L175" s="45" t="s">
        <v>61</v>
      </c>
      <c r="M175" s="43" t="str">
        <f>VmSpecs[[#This Row],[VM Name]]&amp;".ninp.myhealthrecord.gov.au"</f>
        <v>vmpfbpf2osb04.ninp.myhealthrecord.gov.au</v>
      </c>
      <c r="N175" s="42" t="str">
        <f t="shared" si="2"/>
        <v>nic-001-vmpfbpf2osb04</v>
      </c>
      <c r="O175" s="94" t="s">
        <v>451</v>
      </c>
      <c r="P175" s="46" t="s">
        <v>63</v>
      </c>
      <c r="Q175" s="78" t="str">
        <f>VLOOKUP(VmSpecs[[#This Row],[Original Hostname (CMO)]],'SSOT Data'!A:E,5,FALSE)</f>
        <v>OEL7.9</v>
      </c>
      <c r="R175" s="42"/>
      <c r="S175" s="42" t="str">
        <f>_xlfn.CONCAT("avail-",LEFT(VmSpecs[[#This Row],[VM Name]],LEN(VmSpecs[[#This Row],[VM Name]])-2))</f>
        <v>avail-vmpfbpf2osb</v>
      </c>
      <c r="T175" s="42" t="str">
        <f>_xlfn.CONCAT("asg-",LEFT(VmSpecs[[#This Row],[VM Name]],LEN(VmSpecs[[#This Row],[VM Name]])-2))</f>
        <v>asg-vmpfbpf2osb</v>
      </c>
      <c r="U175" s="42" t="str">
        <f>_xlfn.CONCAT("nsg-",VmSpecs[[#This Row],[Subnet]])</f>
        <v>nsg-sn-pfb-aue-pf2-app</v>
      </c>
      <c r="V175" s="42" t="s">
        <v>64</v>
      </c>
      <c r="W175" s="43" t="str">
        <f>VLOOKUP(VmSpecs[[#This Row],[Original Hostname (CMO)]],'SSOT Data'!A:AX,50,FALSE)</f>
        <v>Standard_D8s_v4</v>
      </c>
      <c r="X175" s="43">
        <v>64</v>
      </c>
      <c r="Y175" s="43" t="s">
        <v>65</v>
      </c>
      <c r="Z175" s="43" t="str">
        <f>"osdisk-"&amp;VmSpecs[[#This Row],[VM Name]]</f>
        <v>osdisk-vmpfbpf2osb04</v>
      </c>
      <c r="AA175" s="47" t="s">
        <v>66</v>
      </c>
      <c r="AB175" s="73">
        <v>8</v>
      </c>
      <c r="AC175" s="74" t="s">
        <v>65</v>
      </c>
      <c r="AD175" s="84" t="str">
        <f>"disk-"&amp;VmSpecs[[#This Row],[VM Name]]&amp;"-001"</f>
        <v>disk-vmpfbpf2osb04-001</v>
      </c>
      <c r="AE175" s="73">
        <v>32</v>
      </c>
      <c r="AF175" s="74" t="s">
        <v>65</v>
      </c>
      <c r="AG175" s="85" t="str">
        <f>"disk-"&amp;VmSpecs[[#This Row],[VM Name]]&amp;"-002"</f>
        <v>disk-vmpfbpf2osb04-002</v>
      </c>
      <c r="AH175" s="59"/>
      <c r="AI175" s="42"/>
      <c r="AJ175" s="42"/>
      <c r="AK175" s="42"/>
      <c r="AL175" s="42" t="str">
        <f>MID(VmSpecs[[#This Row],[VM Name]],3,9)</f>
        <v>pfbpf2osb</v>
      </c>
      <c r="AM175" s="42" t="str" cm="1">
        <f t="array" ref="AM175">_xlfn.TEXTJOIN(CHAR(10), TRUE, IF(NfsExports[FMO Single VM IP]=VmSpecs[[#This Row],[IP]],NfsExports[FMO Export Summary],""))</f>
        <v>/apps/pcehr 30GB</v>
      </c>
      <c r="AN175" s="43" t="str" cm="1">
        <f t="array" ref="AN17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75" s="42"/>
      <c r="AP175" s="42" t="str">
        <f>VmSpecs[[#This Row],[Description]]</f>
        <v>OSB Common Domain N4</v>
      </c>
      <c r="AQ175" s="43"/>
      <c r="AR175" s="43" t="s">
        <v>64</v>
      </c>
      <c r="AS175" s="43" t="s">
        <v>64</v>
      </c>
      <c r="AT175" s="43" t="s">
        <v>64</v>
      </c>
      <c r="AU175" s="43" t="s">
        <v>64</v>
      </c>
      <c r="AV175" s="42" t="s">
        <v>66</v>
      </c>
      <c r="AW175" s="42" t="s">
        <v>67</v>
      </c>
      <c r="AX175" s="42" t="s">
        <v>68</v>
      </c>
      <c r="AY175" s="42" t="s">
        <v>64</v>
      </c>
      <c r="AZ175" s="42" t="s">
        <v>64</v>
      </c>
      <c r="BA17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Common Domain N4"
Application Service: "OSB"
Lifecycle: "PFB"</v>
      </c>
      <c r="BB175" s="42" t="s">
        <v>452</v>
      </c>
      <c r="BC175" s="42" t="str">
        <f>VLOOKUP(VmSpecs[[#This Row],[Original Hostname (CMO)]],'SSOT Data'!A:AJ,36,FALSE)</f>
        <v>OSB Common Domain N4</v>
      </c>
      <c r="BD175" s="87"/>
    </row>
    <row r="176" spans="1:56" ht="43.5" x14ac:dyDescent="0.35">
      <c r="A176" s="42" t="s">
        <v>58</v>
      </c>
      <c r="B176" s="42" t="str">
        <f>_xlfn.XLOOKUP(VmSpecs[[#This Row],[Subnet]],NetworkReference[Subnet],NetworkReference[Subscription])</f>
        <v>NINP-PERF2</v>
      </c>
      <c r="C176" s="43" t="str">
        <f>_xlfn.XLOOKUP(VmSpecs[[#This Row],[Subnet]],NetworkReference[Subnet],NetworkReference[Virtual Network Resource Group])</f>
        <v>rg-pf2-network-aue-001</v>
      </c>
      <c r="D176" s="43" t="str">
        <f>_xlfn.XLOOKUP(VmSpecs[[#This Row],[Subnet]],NetworkReference[Subnet],NetworkReference[Virtual Network])</f>
        <v>vnet-pf2-workload-aue-001</v>
      </c>
      <c r="E176" s="132" t="s">
        <v>59</v>
      </c>
      <c r="F176" s="43" t="str">
        <f>_xlfn.XLOOKUP(VmSpecs[[#This Row],[Subnet]],NetworkReference[Subnet],NetworkReference[Virtual Network Peering])</f>
        <v>vnet-ninp-conn-pnp-hub-aue</v>
      </c>
      <c r="G176" s="43" t="str">
        <f>_xlfn.XLOOKUP(VmSpecs[[#This Row],[Subnet]],NetworkReference[Subnet],NetworkReference[Route Table])</f>
        <v>rt-sn-pfb-aue-pf2-app</v>
      </c>
      <c r="H176" s="43" t="str">
        <f>LOWER(VLOOKUP(VmSpecs[[#This Row],[Original Hostname (CMO)]],'SSOT Data'!A:K,10,FALSE))</f>
        <v>osb</v>
      </c>
      <c r="I17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76" s="44" t="s">
        <v>81</v>
      </c>
      <c r="K176" s="43" t="str">
        <f>_xlfn.CONCAT("vm",MID(VmSpecs[[#This Row],[Subnet]],4,3),VLOOKUP(VmSpecs[[#This Row],[Subscription]],NetworkReference[#All],2,FALSE),VmSpecs[[#This Row],[Service]],VmSpecs[[#This Row],[VM iteration (nn)]])</f>
        <v>vmpfbpf2osb05</v>
      </c>
      <c r="L176" s="45" t="s">
        <v>61</v>
      </c>
      <c r="M176" s="43" t="str">
        <f>VmSpecs[[#This Row],[VM Name]]&amp;".ninp.myhealthrecord.gov.au"</f>
        <v>vmpfbpf2osb05.ninp.myhealthrecord.gov.au</v>
      </c>
      <c r="N176" s="42" t="str">
        <f t="shared" si="2"/>
        <v>nic-001-vmpfbpf2osb05</v>
      </c>
      <c r="O176" s="94" t="s">
        <v>453</v>
      </c>
      <c r="P176" s="46" t="s">
        <v>63</v>
      </c>
      <c r="Q176" s="78" t="str">
        <f>VLOOKUP(VmSpecs[[#This Row],[Original Hostname (CMO)]],'SSOT Data'!A:E,5,FALSE)</f>
        <v>OEL7.9</v>
      </c>
      <c r="R176" s="42"/>
      <c r="S176" s="42" t="str">
        <f>_xlfn.CONCAT("avail-",LEFT(VmSpecs[[#This Row],[VM Name]],LEN(VmSpecs[[#This Row],[VM Name]])-2))</f>
        <v>avail-vmpfbpf2osb</v>
      </c>
      <c r="T176" s="42" t="str">
        <f>_xlfn.CONCAT("asg-",LEFT(VmSpecs[[#This Row],[VM Name]],LEN(VmSpecs[[#This Row],[VM Name]])-2))</f>
        <v>asg-vmpfbpf2osb</v>
      </c>
      <c r="U176" s="42" t="str">
        <f>_xlfn.CONCAT("nsg-",VmSpecs[[#This Row],[Subnet]])</f>
        <v>nsg-sn-pfb-aue-pf2-app</v>
      </c>
      <c r="V176" s="42" t="s">
        <v>64</v>
      </c>
      <c r="W176" s="43" t="str">
        <f>VLOOKUP(VmSpecs[[#This Row],[Original Hostname (CMO)]],'SSOT Data'!A:AX,50,FALSE)</f>
        <v>Standard_D8s_v4</v>
      </c>
      <c r="X176" s="43">
        <v>64</v>
      </c>
      <c r="Y176" s="43" t="s">
        <v>65</v>
      </c>
      <c r="Z176" s="43" t="str">
        <f>"osdisk-"&amp;VmSpecs[[#This Row],[VM Name]]</f>
        <v>osdisk-vmpfbpf2osb05</v>
      </c>
      <c r="AA176" s="47" t="s">
        <v>66</v>
      </c>
      <c r="AB176" s="73">
        <v>8</v>
      </c>
      <c r="AC176" s="74" t="s">
        <v>65</v>
      </c>
      <c r="AD176" s="84" t="str">
        <f>"disk-"&amp;VmSpecs[[#This Row],[VM Name]]&amp;"-001"</f>
        <v>disk-vmpfbpf2osb05-001</v>
      </c>
      <c r="AE176" s="73">
        <v>32</v>
      </c>
      <c r="AF176" s="74" t="s">
        <v>65</v>
      </c>
      <c r="AG176" s="85" t="str">
        <f>"disk-"&amp;VmSpecs[[#This Row],[VM Name]]&amp;"-002"</f>
        <v>disk-vmpfbpf2osb05-002</v>
      </c>
      <c r="AH176" s="59"/>
      <c r="AI176" s="42"/>
      <c r="AJ176" s="42"/>
      <c r="AK176" s="42"/>
      <c r="AL176" s="42" t="str">
        <f>MID(VmSpecs[[#This Row],[VM Name]],3,9)</f>
        <v>pfbpf2osb</v>
      </c>
      <c r="AM176" s="42" t="str" cm="1">
        <f t="array" ref="AM176">_xlfn.TEXTJOIN(CHAR(10), TRUE, IF(NfsExports[FMO Single VM IP]=VmSpecs[[#This Row],[IP]],NfsExports[FMO Export Summary],""))</f>
        <v>/apps/pcehr 30GB</v>
      </c>
      <c r="AN176" s="43" t="str" cm="1">
        <f t="array" ref="AN17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76" s="42"/>
      <c r="AP176" s="42" t="str">
        <f>VmSpecs[[#This Row],[Description]]</f>
        <v>OSB Common Domain N5</v>
      </c>
      <c r="AQ176" s="43"/>
      <c r="AR176" s="43" t="s">
        <v>64</v>
      </c>
      <c r="AS176" s="43" t="s">
        <v>64</v>
      </c>
      <c r="AT176" s="43" t="s">
        <v>64</v>
      </c>
      <c r="AU176" s="43" t="s">
        <v>64</v>
      </c>
      <c r="AV176" s="42" t="s">
        <v>66</v>
      </c>
      <c r="AW176" s="42" t="s">
        <v>67</v>
      </c>
      <c r="AX176" s="42" t="s">
        <v>68</v>
      </c>
      <c r="AY176" s="42" t="s">
        <v>64</v>
      </c>
      <c r="AZ176" s="42" t="s">
        <v>64</v>
      </c>
      <c r="BA17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Common Domain N5"
Application Service: "OSB"
Lifecycle: "PFB"</v>
      </c>
      <c r="BB176" s="42" t="s">
        <v>454</v>
      </c>
      <c r="BC176" s="42" t="str">
        <f>VLOOKUP(VmSpecs[[#This Row],[Original Hostname (CMO)]],'SSOT Data'!A:AJ,36,FALSE)</f>
        <v>OSB Common Domain N5</v>
      </c>
      <c r="BD176" s="87"/>
    </row>
    <row r="177" spans="1:56" ht="43.5" x14ac:dyDescent="0.35">
      <c r="A177" s="42" t="s">
        <v>58</v>
      </c>
      <c r="B177" s="42" t="str">
        <f>_xlfn.XLOOKUP(VmSpecs[[#This Row],[Subnet]],NetworkReference[Subnet],NetworkReference[Subscription])</f>
        <v>NINP-PERF2</v>
      </c>
      <c r="C177" s="87" t="str">
        <f>_xlfn.XLOOKUP(VmSpecs[[#This Row],[Subnet]],NetworkReference[Subnet],NetworkReference[Virtual Network Resource Group])</f>
        <v>rg-pf2-network-aue-001</v>
      </c>
      <c r="D177" s="87" t="str">
        <f>_xlfn.XLOOKUP(VmSpecs[[#This Row],[Subnet]],NetworkReference[Subnet],NetworkReference[Virtual Network])</f>
        <v>vnet-pf2-workload-aue-001</v>
      </c>
      <c r="E177" s="132" t="s">
        <v>59</v>
      </c>
      <c r="F177" s="87" t="str">
        <f>_xlfn.XLOOKUP(VmSpecs[[#This Row],[Subnet]],NetworkReference[Subnet],NetworkReference[Virtual Network Peering])</f>
        <v>vnet-ninp-conn-pnp-hub-aue</v>
      </c>
      <c r="G177" s="43" t="str">
        <f>_xlfn.XLOOKUP(VmSpecs[[#This Row],[Subnet]],NetworkReference[Subnet],NetworkReference[Route Table])</f>
        <v>rt-sn-pfb-aue-pf2-app</v>
      </c>
      <c r="H177" s="43" t="str">
        <f>LOWER(VLOOKUP(VmSpecs[[#This Row],[Original Hostname (CMO)]],'SSOT Data'!A:K,10,FALSE))</f>
        <v>osb</v>
      </c>
      <c r="I177" s="87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77" s="88" t="s">
        <v>84</v>
      </c>
      <c r="K177" s="87" t="str">
        <f>_xlfn.CONCAT("vm",MID(VmSpecs[[#This Row],[Subnet]],4,3),VLOOKUP(VmSpecs[[#This Row],[Subscription]],NetworkReference[#All],2,FALSE),VmSpecs[[#This Row],[Service]],VmSpecs[[#This Row],[VM iteration (nn)]])</f>
        <v>vmpfbpf2osb06</v>
      </c>
      <c r="L177" s="45" t="s">
        <v>61</v>
      </c>
      <c r="M177" s="87" t="str">
        <f>VmSpecs[[#This Row],[VM Name]]&amp;".ninp.myhealthrecord.gov.au"</f>
        <v>vmpfbpf2osb06.ninp.myhealthrecord.gov.au</v>
      </c>
      <c r="N177" s="86" t="str">
        <f t="shared" si="2"/>
        <v>nic-001-vmpfbpf2osb06</v>
      </c>
      <c r="O177" s="94" t="s">
        <v>455</v>
      </c>
      <c r="P177" s="46" t="s">
        <v>63</v>
      </c>
      <c r="Q177" s="78" t="str">
        <f>VLOOKUP(VmSpecs[[#This Row],[Original Hostname (CMO)]],'SSOT Data'!A:E,5,FALSE)</f>
        <v>OEL7.9</v>
      </c>
      <c r="R177" s="86"/>
      <c r="S177" s="42" t="str">
        <f>_xlfn.CONCAT("avail-",LEFT(VmSpecs[[#This Row],[VM Name]],LEN(VmSpecs[[#This Row],[VM Name]])-2))</f>
        <v>avail-vmpfbpf2osb</v>
      </c>
      <c r="T177" s="86" t="str">
        <f>_xlfn.CONCAT("asg-",LEFT(VmSpecs[[#This Row],[VM Name]],LEN(VmSpecs[[#This Row],[VM Name]])-2))</f>
        <v>asg-vmpfbpf2osb</v>
      </c>
      <c r="U177" s="86" t="str">
        <f>_xlfn.CONCAT("nsg-",VmSpecs[[#This Row],[Subnet]])</f>
        <v>nsg-sn-pfb-aue-pf2-app</v>
      </c>
      <c r="V177" s="86" t="s">
        <v>64</v>
      </c>
      <c r="W177" s="87" t="str">
        <f>VLOOKUP(VmSpecs[[#This Row],[Original Hostname (CMO)]],'SSOT Data'!A:AX,50,FALSE)</f>
        <v>Standard_D8s_v4</v>
      </c>
      <c r="X177" s="43">
        <v>64</v>
      </c>
      <c r="Y177" s="43" t="s">
        <v>65</v>
      </c>
      <c r="Z177" s="43" t="str">
        <f>"osdisk-"&amp;VmSpecs[[#This Row],[VM Name]]</f>
        <v>osdisk-vmpfbpf2osb06</v>
      </c>
      <c r="AA177" s="47" t="s">
        <v>66</v>
      </c>
      <c r="AB177" s="73">
        <v>8</v>
      </c>
      <c r="AC177" s="74" t="s">
        <v>65</v>
      </c>
      <c r="AD177" s="89" t="str">
        <f>"disk-"&amp;VmSpecs[[#This Row],[VM Name]]&amp;"-001"</f>
        <v>disk-vmpfbpf2osb06-001</v>
      </c>
      <c r="AE177" s="73">
        <v>32</v>
      </c>
      <c r="AF177" s="74" t="s">
        <v>65</v>
      </c>
      <c r="AG177" s="90" t="str">
        <f>"disk-"&amp;VmSpecs[[#This Row],[VM Name]]&amp;"-002"</f>
        <v>disk-vmpfbpf2osb06-002</v>
      </c>
      <c r="AH177" s="91"/>
      <c r="AI177" s="86"/>
      <c r="AJ177" s="86"/>
      <c r="AK177" s="86"/>
      <c r="AL177" s="86" t="str">
        <f>MID(VmSpecs[[#This Row],[VM Name]],3,9)</f>
        <v>pfbpf2osb</v>
      </c>
      <c r="AM177" s="86" t="str" cm="1">
        <f t="array" ref="AM177">_xlfn.TEXTJOIN(CHAR(10), TRUE, IF(NfsExports[FMO Single VM IP]=VmSpecs[[#This Row],[IP]],NfsExports[FMO Export Summary],""))</f>
        <v>/apps/pcehr 30GB</v>
      </c>
      <c r="AN177" s="87" t="str" cm="1">
        <f t="array" ref="AN17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77" s="86"/>
      <c r="AP177" s="42" t="str">
        <f>VmSpecs[[#This Row],[Description]]</f>
        <v>OSB Common Domain N6</v>
      </c>
      <c r="AQ177" s="87"/>
      <c r="AR177" s="87" t="s">
        <v>64</v>
      </c>
      <c r="AS177" s="87" t="s">
        <v>64</v>
      </c>
      <c r="AT177" s="87" t="s">
        <v>64</v>
      </c>
      <c r="AU177" s="87" t="s">
        <v>64</v>
      </c>
      <c r="AV177" s="86" t="s">
        <v>66</v>
      </c>
      <c r="AW177" s="86" t="s">
        <v>67</v>
      </c>
      <c r="AX177" s="86" t="s">
        <v>68</v>
      </c>
      <c r="AY177" s="86" t="s">
        <v>64</v>
      </c>
      <c r="AZ177" s="86" t="s">
        <v>64</v>
      </c>
      <c r="BA17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Common Domain N6"
Application Service: "OSB"
Lifecycle: "PFB"</v>
      </c>
      <c r="BB177" s="86" t="s">
        <v>456</v>
      </c>
      <c r="BC177" s="86" t="str">
        <f>VLOOKUP(VmSpecs[[#This Row],[Original Hostname (CMO)]],'SSOT Data'!A:AJ,36,FALSE)</f>
        <v>OSB Common Domain N6</v>
      </c>
      <c r="BD177" s="87"/>
    </row>
    <row r="178" spans="1:56" ht="43.5" x14ac:dyDescent="0.35">
      <c r="A178" s="42" t="s">
        <v>58</v>
      </c>
      <c r="B178" s="42" t="str">
        <f>_xlfn.XLOOKUP(VmSpecs[[#This Row],[Subnet]],NetworkReference[Subnet],NetworkReference[Subscription])</f>
        <v>NINP-PERF2</v>
      </c>
      <c r="C178" s="43" t="str">
        <f>_xlfn.XLOOKUP(VmSpecs[[#This Row],[Subnet]],NetworkReference[Subnet],NetworkReference[Virtual Network Resource Group])</f>
        <v>rg-pf2-network-aue-001</v>
      </c>
      <c r="D178" s="43" t="str">
        <f>_xlfn.XLOOKUP(VmSpecs[[#This Row],[Subnet]],NetworkReference[Subnet],NetworkReference[Virtual Network])</f>
        <v>vnet-pf2-workload-aue-001</v>
      </c>
      <c r="E178" s="132" t="s">
        <v>59</v>
      </c>
      <c r="F178" s="43" t="str">
        <f>_xlfn.XLOOKUP(VmSpecs[[#This Row],[Subnet]],NetworkReference[Subnet],NetworkReference[Virtual Network Peering])</f>
        <v>vnet-ninp-conn-pnp-hub-aue</v>
      </c>
      <c r="G178" s="43" t="str">
        <f>_xlfn.XLOOKUP(VmSpecs[[#This Row],[Subnet]],NetworkReference[Subnet],NetworkReference[Route Table])</f>
        <v>rt-sn-pfb-aue-pf2-app</v>
      </c>
      <c r="H178" s="43" t="str">
        <f>LOWER(VLOOKUP(VmSpecs[[#This Row],[Original Hostname (CMO)]],'SSOT Data'!A:K,10,FALSE))</f>
        <v>osb</v>
      </c>
      <c r="I17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78" s="44" t="s">
        <v>99</v>
      </c>
      <c r="K178" s="43" t="str">
        <f>_xlfn.CONCAT("vm",MID(VmSpecs[[#This Row],[Subnet]],4,3),VLOOKUP(VmSpecs[[#This Row],[Subscription]],NetworkReference[#All],2,FALSE),VmSpecs[[#This Row],[Service]],VmSpecs[[#This Row],[VM iteration (nn)]])</f>
        <v>vmpfbpf2osb07</v>
      </c>
      <c r="L178" s="45" t="s">
        <v>61</v>
      </c>
      <c r="M178" s="43" t="str">
        <f>VmSpecs[[#This Row],[VM Name]]&amp;".ninp.myhealthrecord.gov.au"</f>
        <v>vmpfbpf2osb07.ninp.myhealthrecord.gov.au</v>
      </c>
      <c r="N178" s="42" t="str">
        <f t="shared" si="2"/>
        <v>nic-001-vmpfbpf2osb07</v>
      </c>
      <c r="O178" s="94" t="s">
        <v>457</v>
      </c>
      <c r="P178" s="46" t="s">
        <v>63</v>
      </c>
      <c r="Q178" s="78" t="str">
        <f>VLOOKUP(VmSpecs[[#This Row],[Original Hostname (CMO)]],'SSOT Data'!A:E,5,FALSE)</f>
        <v>OEL7.9</v>
      </c>
      <c r="R178" s="42"/>
      <c r="S178" s="42" t="str">
        <f>_xlfn.CONCAT("avail-",LEFT(VmSpecs[[#This Row],[VM Name]],LEN(VmSpecs[[#This Row],[VM Name]])-2))</f>
        <v>avail-vmpfbpf2osb</v>
      </c>
      <c r="T178" s="42" t="str">
        <f>_xlfn.CONCAT("asg-",LEFT(VmSpecs[[#This Row],[VM Name]],LEN(VmSpecs[[#This Row],[VM Name]])-2))</f>
        <v>asg-vmpfbpf2osb</v>
      </c>
      <c r="U178" s="42" t="str">
        <f>_xlfn.CONCAT("nsg-",VmSpecs[[#This Row],[Subnet]])</f>
        <v>nsg-sn-pfb-aue-pf2-app</v>
      </c>
      <c r="V178" s="42" t="s">
        <v>64</v>
      </c>
      <c r="W178" s="43" t="str">
        <f>VLOOKUP(VmSpecs[[#This Row],[Original Hostname (CMO)]],'SSOT Data'!A:AX,50,FALSE)</f>
        <v>Standard_D8s_v4</v>
      </c>
      <c r="X178" s="43">
        <v>64</v>
      </c>
      <c r="Y178" s="43" t="s">
        <v>65</v>
      </c>
      <c r="Z178" s="43" t="str">
        <f>"osdisk-"&amp;VmSpecs[[#This Row],[VM Name]]</f>
        <v>osdisk-vmpfbpf2osb07</v>
      </c>
      <c r="AA178" s="47" t="s">
        <v>66</v>
      </c>
      <c r="AB178" s="73">
        <v>8</v>
      </c>
      <c r="AC178" s="74" t="s">
        <v>65</v>
      </c>
      <c r="AD178" s="84" t="str">
        <f>"disk-"&amp;VmSpecs[[#This Row],[VM Name]]&amp;"-001"</f>
        <v>disk-vmpfbpf2osb07-001</v>
      </c>
      <c r="AE178" s="73">
        <v>32</v>
      </c>
      <c r="AF178" s="74" t="s">
        <v>65</v>
      </c>
      <c r="AG178" s="85" t="str">
        <f>"disk-"&amp;VmSpecs[[#This Row],[VM Name]]&amp;"-002"</f>
        <v>disk-vmpfbpf2osb07-002</v>
      </c>
      <c r="AH178" s="59"/>
      <c r="AI178" s="42"/>
      <c r="AJ178" s="42"/>
      <c r="AK178" s="42"/>
      <c r="AL178" s="42" t="str">
        <f>MID(VmSpecs[[#This Row],[VM Name]],3,9)</f>
        <v>pfbpf2osb</v>
      </c>
      <c r="AM178" s="42" t="str" cm="1">
        <f t="array" ref="AM178">_xlfn.TEXTJOIN(CHAR(10), TRUE, IF(NfsExports[FMO Single VM IP]=VmSpecs[[#This Row],[IP]],NfsExports[FMO Export Summary],""))</f>
        <v>/apps/pcehr 30GB</v>
      </c>
      <c r="AN178" s="43" t="str" cm="1">
        <f t="array" ref="AN17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78" s="42"/>
      <c r="AP178" s="42" t="str">
        <f>VmSpecs[[#This Row],[Description]]</f>
        <v>OSB Common Domain N7</v>
      </c>
      <c r="AQ178" s="43"/>
      <c r="AR178" s="43" t="s">
        <v>64</v>
      </c>
      <c r="AS178" s="43" t="s">
        <v>64</v>
      </c>
      <c r="AT178" s="43" t="s">
        <v>64</v>
      </c>
      <c r="AU178" s="43" t="s">
        <v>64</v>
      </c>
      <c r="AV178" s="42" t="s">
        <v>66</v>
      </c>
      <c r="AW178" s="42" t="s">
        <v>67</v>
      </c>
      <c r="AX178" s="42" t="s">
        <v>68</v>
      </c>
      <c r="AY178" s="42" t="s">
        <v>64</v>
      </c>
      <c r="AZ178" s="42" t="s">
        <v>64</v>
      </c>
      <c r="BA17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Common Domain N7"
Application Service: "OSB"
Lifecycle: "PFB"</v>
      </c>
      <c r="BB178" s="42" t="s">
        <v>458</v>
      </c>
      <c r="BC178" s="42" t="str">
        <f>VLOOKUP(VmSpecs[[#This Row],[Original Hostname (CMO)]],'SSOT Data'!A:AJ,36,FALSE)</f>
        <v>OSB Common Domain N7</v>
      </c>
      <c r="BD178" s="87"/>
    </row>
    <row r="179" spans="1:56" ht="43.5" x14ac:dyDescent="0.35">
      <c r="A179" s="42" t="s">
        <v>58</v>
      </c>
      <c r="B179" s="42" t="str">
        <f>_xlfn.XLOOKUP(VmSpecs[[#This Row],[Subnet]],NetworkReference[Subnet],NetworkReference[Subscription])</f>
        <v>NINP-PERF2</v>
      </c>
      <c r="C179" s="43" t="str">
        <f>_xlfn.XLOOKUP(VmSpecs[[#This Row],[Subnet]],NetworkReference[Subnet],NetworkReference[Virtual Network Resource Group])</f>
        <v>rg-pf2-network-aue-001</v>
      </c>
      <c r="D179" s="43" t="str">
        <f>_xlfn.XLOOKUP(VmSpecs[[#This Row],[Subnet]],NetworkReference[Subnet],NetworkReference[Virtual Network])</f>
        <v>vnet-pf2-workload-aue-001</v>
      </c>
      <c r="E179" s="132" t="s">
        <v>59</v>
      </c>
      <c r="F179" s="43" t="str">
        <f>_xlfn.XLOOKUP(VmSpecs[[#This Row],[Subnet]],NetworkReference[Subnet],NetworkReference[Virtual Network Peering])</f>
        <v>vnet-ninp-conn-pnp-hub-aue</v>
      </c>
      <c r="G179" s="43" t="str">
        <f>_xlfn.XLOOKUP(VmSpecs[[#This Row],[Subnet]],NetworkReference[Subnet],NetworkReference[Route Table])</f>
        <v>rt-sn-pfb-aue-pf2-app</v>
      </c>
      <c r="H179" s="43" t="str">
        <f>LOWER(VLOOKUP(VmSpecs[[#This Row],[Original Hostname (CMO)]],'SSOT Data'!A:K,10,FALSE))</f>
        <v>osb</v>
      </c>
      <c r="I17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79" s="44" t="s">
        <v>102</v>
      </c>
      <c r="K179" s="43" t="str">
        <f>_xlfn.CONCAT("vm",MID(VmSpecs[[#This Row],[Subnet]],4,3),VLOOKUP(VmSpecs[[#This Row],[Subscription]],NetworkReference[#All],2,FALSE),VmSpecs[[#This Row],[Service]],VmSpecs[[#This Row],[VM iteration (nn)]])</f>
        <v>vmpfbpf2osb08</v>
      </c>
      <c r="L179" s="45" t="s">
        <v>61</v>
      </c>
      <c r="M179" s="43" t="str">
        <f>VmSpecs[[#This Row],[VM Name]]&amp;".ninp.myhealthrecord.gov.au"</f>
        <v>vmpfbpf2osb08.ninp.myhealthrecord.gov.au</v>
      </c>
      <c r="N179" s="42" t="str">
        <f t="shared" si="2"/>
        <v>nic-001-vmpfbpf2osb08</v>
      </c>
      <c r="O179" s="94" t="s">
        <v>459</v>
      </c>
      <c r="P179" s="46" t="s">
        <v>63</v>
      </c>
      <c r="Q179" s="78" t="str">
        <f>VLOOKUP(VmSpecs[[#This Row],[Original Hostname (CMO)]],'SSOT Data'!A:E,5,FALSE)</f>
        <v>OEL7.9</v>
      </c>
      <c r="R179" s="42"/>
      <c r="S179" s="42" t="str">
        <f>_xlfn.CONCAT("avail-",LEFT(VmSpecs[[#This Row],[VM Name]],LEN(VmSpecs[[#This Row],[VM Name]])-2))</f>
        <v>avail-vmpfbpf2osb</v>
      </c>
      <c r="T179" s="42" t="str">
        <f>_xlfn.CONCAT("asg-",LEFT(VmSpecs[[#This Row],[VM Name]],LEN(VmSpecs[[#This Row],[VM Name]])-2))</f>
        <v>asg-vmpfbpf2osb</v>
      </c>
      <c r="U179" s="42" t="str">
        <f>_xlfn.CONCAT("nsg-",VmSpecs[[#This Row],[Subnet]])</f>
        <v>nsg-sn-pfb-aue-pf2-app</v>
      </c>
      <c r="V179" s="42" t="s">
        <v>64</v>
      </c>
      <c r="W179" s="43" t="str">
        <f>VLOOKUP(VmSpecs[[#This Row],[Original Hostname (CMO)]],'SSOT Data'!A:AX,50,FALSE)</f>
        <v>Standard_D8s_v4</v>
      </c>
      <c r="X179" s="43">
        <v>64</v>
      </c>
      <c r="Y179" s="43" t="s">
        <v>65</v>
      </c>
      <c r="Z179" s="43" t="str">
        <f>"osdisk-"&amp;VmSpecs[[#This Row],[VM Name]]</f>
        <v>osdisk-vmpfbpf2osb08</v>
      </c>
      <c r="AA179" s="47" t="s">
        <v>66</v>
      </c>
      <c r="AB179" s="73">
        <v>8</v>
      </c>
      <c r="AC179" s="74" t="s">
        <v>65</v>
      </c>
      <c r="AD179" s="84" t="str">
        <f>"disk-"&amp;VmSpecs[[#This Row],[VM Name]]&amp;"-001"</f>
        <v>disk-vmpfbpf2osb08-001</v>
      </c>
      <c r="AE179" s="73">
        <v>32</v>
      </c>
      <c r="AF179" s="74" t="s">
        <v>65</v>
      </c>
      <c r="AG179" s="85" t="str">
        <f>"disk-"&amp;VmSpecs[[#This Row],[VM Name]]&amp;"-002"</f>
        <v>disk-vmpfbpf2osb08-002</v>
      </c>
      <c r="AH179" s="59"/>
      <c r="AI179" s="42"/>
      <c r="AJ179" s="42"/>
      <c r="AK179" s="42"/>
      <c r="AL179" s="42" t="str">
        <f>MID(VmSpecs[[#This Row],[VM Name]],3,9)</f>
        <v>pfbpf2osb</v>
      </c>
      <c r="AM179" s="42" t="str" cm="1">
        <f t="array" ref="AM179">_xlfn.TEXTJOIN(CHAR(10), TRUE, IF(NfsExports[FMO Single VM IP]=VmSpecs[[#This Row],[IP]],NfsExports[FMO Export Summary],""))</f>
        <v>/apps/pcehr 30GB</v>
      </c>
      <c r="AN179" s="43" t="str" cm="1">
        <f t="array" ref="AN17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79" s="42"/>
      <c r="AP179" s="42" t="str">
        <f>VmSpecs[[#This Row],[Description]]</f>
        <v>OSB Common Domain N8</v>
      </c>
      <c r="AQ179" s="43"/>
      <c r="AR179" s="43" t="s">
        <v>64</v>
      </c>
      <c r="AS179" s="43" t="s">
        <v>64</v>
      </c>
      <c r="AT179" s="43" t="s">
        <v>64</v>
      </c>
      <c r="AU179" s="43" t="s">
        <v>64</v>
      </c>
      <c r="AV179" s="42" t="s">
        <v>66</v>
      </c>
      <c r="AW179" s="42" t="s">
        <v>67</v>
      </c>
      <c r="AX179" s="42" t="s">
        <v>68</v>
      </c>
      <c r="AY179" s="42" t="s">
        <v>64</v>
      </c>
      <c r="AZ179" s="42" t="s">
        <v>64</v>
      </c>
      <c r="BA17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Common Domain N8"
Application Service: "OSB"
Lifecycle: "PFB"</v>
      </c>
      <c r="BB179" s="42" t="s">
        <v>460</v>
      </c>
      <c r="BC179" s="42" t="str">
        <f>VLOOKUP(VmSpecs[[#This Row],[Original Hostname (CMO)]],'SSOT Data'!A:AJ,36,FALSE)</f>
        <v>OSB Common Domain N8</v>
      </c>
      <c r="BD179" s="87"/>
    </row>
    <row r="180" spans="1:56" ht="43.5" x14ac:dyDescent="0.35">
      <c r="A180" s="42"/>
      <c r="B180" s="42" t="str">
        <f>_xlfn.XLOOKUP(VmSpecs[[#This Row],[Subnet]],NetworkReference[Subnet],NetworkReference[Subscription])</f>
        <v>NINP-PERF2</v>
      </c>
      <c r="C180" s="43" t="str">
        <f>_xlfn.XLOOKUP(VmSpecs[[#This Row],[Subnet]],NetworkReference[Subnet],NetworkReference[Virtual Network Resource Group])</f>
        <v>rg-pf2-network-aue-001</v>
      </c>
      <c r="D180" s="43" t="str">
        <f>_xlfn.XLOOKUP(VmSpecs[[#This Row],[Subnet]],NetworkReference[Subnet],NetworkReference[Virtual Network])</f>
        <v>vnet-pf2-workload-aue-001</v>
      </c>
      <c r="E180" s="132" t="s">
        <v>59</v>
      </c>
      <c r="F180" s="43" t="str">
        <f>_xlfn.XLOOKUP(VmSpecs[[#This Row],[Subnet]],NetworkReference[Subnet],NetworkReference[Virtual Network Peering])</f>
        <v>vnet-ninp-conn-pnp-hub-aue</v>
      </c>
      <c r="G180" s="43" t="str">
        <f>_xlfn.XLOOKUP(VmSpecs[[#This Row],[Subnet]],NetworkReference[Subnet],NetworkReference[Route Table])</f>
        <v>rt-sn-pfb-aue-pf2-app</v>
      </c>
      <c r="H180" s="43" t="str">
        <f>LOWER(VLOOKUP(VmSpecs[[#This Row],[Original Hostname (CMO)]],'SSOT Data'!A:K,10,FALSE))</f>
        <v>osb</v>
      </c>
      <c r="I18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80" s="44" t="s">
        <v>129</v>
      </c>
      <c r="K180" s="43" t="str">
        <f>_xlfn.CONCAT("vm",MID(VmSpecs[[#This Row],[Subnet]],4,3),VLOOKUP(VmSpecs[[#This Row],[Subscription]],NetworkReference[#All],2,FALSE),VmSpecs[[#This Row],[Service]],VmSpecs[[#This Row],[VM iteration (nn)]])</f>
        <v>vmpfbpf2osb09</v>
      </c>
      <c r="L180" s="45" t="s">
        <v>61</v>
      </c>
      <c r="M180" s="43" t="str">
        <f>VmSpecs[[#This Row],[VM Name]]&amp;".ninp.myhealthrecord.gov.au"</f>
        <v>vmpfbpf2osb09.ninp.myhealthrecord.gov.au</v>
      </c>
      <c r="N180" s="42" t="str">
        <f t="shared" si="2"/>
        <v>nic-001-vmpfbpf2osb09</v>
      </c>
      <c r="O180" s="94" t="s">
        <v>461</v>
      </c>
      <c r="P180" s="46" t="s">
        <v>63</v>
      </c>
      <c r="Q180" s="78" t="str">
        <f>VLOOKUP(VmSpecs[[#This Row],[Original Hostname (CMO)]],'SSOT Data'!A:E,5,FALSE)</f>
        <v>OEL7.9</v>
      </c>
      <c r="R180" s="42"/>
      <c r="S180" s="42" t="str">
        <f>_xlfn.CONCAT("avail-",LEFT(VmSpecs[[#This Row],[VM Name]],LEN(VmSpecs[[#This Row],[VM Name]])-2))</f>
        <v>avail-vmpfbpf2osb</v>
      </c>
      <c r="T180" s="42" t="str">
        <f>_xlfn.CONCAT("asg-",LEFT(VmSpecs[[#This Row],[VM Name]],LEN(VmSpecs[[#This Row],[VM Name]])-2))</f>
        <v>asg-vmpfbpf2osb</v>
      </c>
      <c r="U180" s="42" t="str">
        <f>_xlfn.CONCAT("nsg-",VmSpecs[[#This Row],[Subnet]])</f>
        <v>nsg-sn-pfb-aue-pf2-app</v>
      </c>
      <c r="V180" s="42"/>
      <c r="W180" s="43" t="str">
        <f>VLOOKUP(VmSpecs[[#This Row],[Original Hostname (CMO)]],'SSOT Data'!A:AX,50,FALSE)</f>
        <v>Standard_D8s_v4</v>
      </c>
      <c r="X180" s="43">
        <v>64</v>
      </c>
      <c r="Y180" s="43" t="s">
        <v>65</v>
      </c>
      <c r="Z180" s="43" t="str">
        <f>"osdisk-"&amp;VmSpecs[[#This Row],[VM Name]]</f>
        <v>osdisk-vmpfbpf2osb09</v>
      </c>
      <c r="AA180" s="47" t="s">
        <v>66</v>
      </c>
      <c r="AB180" s="73">
        <v>8</v>
      </c>
      <c r="AC180" s="74" t="s">
        <v>65</v>
      </c>
      <c r="AD180" s="84" t="str">
        <f>"disk-"&amp;VmSpecs[[#This Row],[VM Name]]&amp;"-001"</f>
        <v>disk-vmpfbpf2osb09-001</v>
      </c>
      <c r="AE180" s="73">
        <v>32</v>
      </c>
      <c r="AF180" s="74" t="s">
        <v>65</v>
      </c>
      <c r="AG180" s="85" t="str">
        <f>"disk-"&amp;VmSpecs[[#This Row],[VM Name]]&amp;"-002"</f>
        <v>disk-vmpfbpf2osb09-002</v>
      </c>
      <c r="AH180" s="59"/>
      <c r="AI180" s="42"/>
      <c r="AJ180" s="42"/>
      <c r="AK180" s="42"/>
      <c r="AL180" s="42" t="str">
        <f>MID(VmSpecs[[#This Row],[VM Name]],3,9)</f>
        <v>pfbpf2osb</v>
      </c>
      <c r="AM180" s="42" t="str" cm="1">
        <f t="array" ref="AM180">_xlfn.TEXTJOIN(CHAR(10), TRUE, IF(NfsExports[FMO Single VM IP]=VmSpecs[[#This Row],[IP]],NfsExports[FMO Export Summary],""))</f>
        <v>/apps/pcehr 30GB</v>
      </c>
      <c r="AN180" s="43" t="str" cm="1">
        <f t="array" ref="AN18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80" s="42"/>
      <c r="AP180" s="42" t="str">
        <f>VmSpecs[[#This Row],[Description]]</f>
        <v>OSB Common Domain N9</v>
      </c>
      <c r="AQ180" s="43"/>
      <c r="AR180" s="43"/>
      <c r="AS180" s="43"/>
      <c r="AT180" s="43"/>
      <c r="AU180" s="43"/>
      <c r="AV180" s="42"/>
      <c r="AW180" s="42"/>
      <c r="AX180" s="42"/>
      <c r="AY180" s="42"/>
      <c r="AZ180" s="42"/>
      <c r="BA180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Common Domain N9"
Application Service: "OSB"
Lifecycle: "PFB"</v>
      </c>
      <c r="BB180" s="42" t="s">
        <v>462</v>
      </c>
      <c r="BC180" s="42" t="str">
        <f>VLOOKUP(VmSpecs[[#This Row],[Original Hostname (CMO)]],'SSOT Data'!A:AJ,36,FALSE)</f>
        <v>OSB Common Domain N9</v>
      </c>
      <c r="BD180" s="133">
        <f>VLOOKUP(VmSpecs[[#This Row],[Original Hostname (CMO)]],'SSOT Data'!A:AQ,43,FALSE)</f>
        <v>2</v>
      </c>
    </row>
    <row r="181" spans="1:56" ht="43.5" x14ac:dyDescent="0.35">
      <c r="A181" s="42"/>
      <c r="B181" s="42" t="str">
        <f>_xlfn.XLOOKUP(VmSpecs[[#This Row],[Subnet]],NetworkReference[Subnet],NetworkReference[Subscription])</f>
        <v>NINP-PERF2</v>
      </c>
      <c r="C181" s="43" t="str">
        <f>_xlfn.XLOOKUP(VmSpecs[[#This Row],[Subnet]],NetworkReference[Subnet],NetworkReference[Virtual Network Resource Group])</f>
        <v>rg-pf2-network-aue-001</v>
      </c>
      <c r="D181" s="43" t="str">
        <f>_xlfn.XLOOKUP(VmSpecs[[#This Row],[Subnet]],NetworkReference[Subnet],NetworkReference[Virtual Network])</f>
        <v>vnet-pf2-workload-aue-001</v>
      </c>
      <c r="E181" s="132" t="s">
        <v>59</v>
      </c>
      <c r="F181" s="43" t="str">
        <f>_xlfn.XLOOKUP(VmSpecs[[#This Row],[Subnet]],NetworkReference[Subnet],NetworkReference[Virtual Network Peering])</f>
        <v>vnet-ninp-conn-pnp-hub-aue</v>
      </c>
      <c r="G181" s="43" t="str">
        <f>_xlfn.XLOOKUP(VmSpecs[[#This Row],[Subnet]],NetworkReference[Subnet],NetworkReference[Route Table])</f>
        <v>rt-sn-pfb-aue-pf2-app</v>
      </c>
      <c r="H181" s="43" t="str">
        <f>LOWER(VLOOKUP(VmSpecs[[#This Row],[Original Hostname (CMO)]],'SSOT Data'!A:K,10,FALSE))</f>
        <v>osb</v>
      </c>
      <c r="I18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81" s="44" t="s">
        <v>132</v>
      </c>
      <c r="K181" s="43" t="str">
        <f>_xlfn.CONCAT("vm",MID(VmSpecs[[#This Row],[Subnet]],4,3),VLOOKUP(VmSpecs[[#This Row],[Subscription]],NetworkReference[#All],2,FALSE),VmSpecs[[#This Row],[Service]],VmSpecs[[#This Row],[VM iteration (nn)]])</f>
        <v>vmpfbpf2osb10</v>
      </c>
      <c r="L181" s="45" t="s">
        <v>61</v>
      </c>
      <c r="M181" s="43" t="str">
        <f>VmSpecs[[#This Row],[VM Name]]&amp;".ninp.myhealthrecord.gov.au"</f>
        <v>vmpfbpf2osb10.ninp.myhealthrecord.gov.au</v>
      </c>
      <c r="N181" s="42" t="str">
        <f t="shared" si="2"/>
        <v>nic-001-vmpfbpf2osb10</v>
      </c>
      <c r="O181" s="94" t="s">
        <v>463</v>
      </c>
      <c r="P181" s="46" t="s">
        <v>63</v>
      </c>
      <c r="Q181" s="78" t="str">
        <f>VLOOKUP(VmSpecs[[#This Row],[Original Hostname (CMO)]],'SSOT Data'!A:E,5,FALSE)</f>
        <v>OEL7.9</v>
      </c>
      <c r="R181" s="42"/>
      <c r="S181" s="42" t="str">
        <f>_xlfn.CONCAT("avail-",LEFT(VmSpecs[[#This Row],[VM Name]],LEN(VmSpecs[[#This Row],[VM Name]])-2))</f>
        <v>avail-vmpfbpf2osb</v>
      </c>
      <c r="T181" s="42" t="str">
        <f>_xlfn.CONCAT("asg-",LEFT(VmSpecs[[#This Row],[VM Name]],LEN(VmSpecs[[#This Row],[VM Name]])-2))</f>
        <v>asg-vmpfbpf2osb</v>
      </c>
      <c r="U181" s="42" t="str">
        <f>_xlfn.CONCAT("nsg-",VmSpecs[[#This Row],[Subnet]])</f>
        <v>nsg-sn-pfb-aue-pf2-app</v>
      </c>
      <c r="V181" s="42"/>
      <c r="W181" s="43" t="str">
        <f>VLOOKUP(VmSpecs[[#This Row],[Original Hostname (CMO)]],'SSOT Data'!A:AX,50,FALSE)</f>
        <v>Standard_D8s_v4</v>
      </c>
      <c r="X181" s="43">
        <v>64</v>
      </c>
      <c r="Y181" s="43" t="s">
        <v>65</v>
      </c>
      <c r="Z181" s="43" t="str">
        <f>"osdisk-"&amp;VmSpecs[[#This Row],[VM Name]]</f>
        <v>osdisk-vmpfbpf2osb10</v>
      </c>
      <c r="AA181" s="47" t="s">
        <v>66</v>
      </c>
      <c r="AB181" s="73">
        <v>8</v>
      </c>
      <c r="AC181" s="74" t="s">
        <v>65</v>
      </c>
      <c r="AD181" s="84" t="str">
        <f>"disk-"&amp;VmSpecs[[#This Row],[VM Name]]&amp;"-001"</f>
        <v>disk-vmpfbpf2osb10-001</v>
      </c>
      <c r="AE181" s="73">
        <v>32</v>
      </c>
      <c r="AF181" s="74" t="s">
        <v>65</v>
      </c>
      <c r="AG181" s="85" t="str">
        <f>"disk-"&amp;VmSpecs[[#This Row],[VM Name]]&amp;"-002"</f>
        <v>disk-vmpfbpf2osb10-002</v>
      </c>
      <c r="AH181" s="59"/>
      <c r="AI181" s="42"/>
      <c r="AJ181" s="42"/>
      <c r="AK181" s="42"/>
      <c r="AL181" s="42" t="str">
        <f>MID(VmSpecs[[#This Row],[VM Name]],3,9)</f>
        <v>pfbpf2osb</v>
      </c>
      <c r="AM181" s="42" t="str" cm="1">
        <f t="array" ref="AM181">_xlfn.TEXTJOIN(CHAR(10), TRUE, IF(NfsExports[FMO Single VM IP]=VmSpecs[[#This Row],[IP]],NfsExports[FMO Export Summary],""))</f>
        <v>/apps/pcehr 30GB</v>
      </c>
      <c r="AN181" s="43" t="str" cm="1">
        <f t="array" ref="AN18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81" s="42"/>
      <c r="AP181" s="42" t="str">
        <f>VmSpecs[[#This Row],[Description]]</f>
        <v>OSB Common Domain N10</v>
      </c>
      <c r="AQ181" s="43"/>
      <c r="AR181" s="43"/>
      <c r="AS181" s="43"/>
      <c r="AT181" s="43"/>
      <c r="AU181" s="43"/>
      <c r="AV181" s="42"/>
      <c r="AW181" s="42"/>
      <c r="AX181" s="42"/>
      <c r="AY181" s="42"/>
      <c r="AZ181" s="42"/>
      <c r="BA181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Common Domain N10"
Application Service: "OSB"
Lifecycle: "PFB"</v>
      </c>
      <c r="BB181" s="42" t="s">
        <v>464</v>
      </c>
      <c r="BC181" s="42" t="str">
        <f>VLOOKUP(VmSpecs[[#This Row],[Original Hostname (CMO)]],'SSOT Data'!A:AJ,36,FALSE)</f>
        <v>OSB Common Domain N10</v>
      </c>
      <c r="BD181" s="133">
        <f>VLOOKUP(VmSpecs[[#This Row],[Original Hostname (CMO)]],'SSOT Data'!A:AQ,43,FALSE)</f>
        <v>2</v>
      </c>
    </row>
    <row r="182" spans="1:56" ht="29" x14ac:dyDescent="0.35">
      <c r="A182" s="42" t="s">
        <v>58</v>
      </c>
      <c r="B182" s="42" t="str">
        <f>_xlfn.XLOOKUP(VmSpecs[[#This Row],[Subnet]],NetworkReference[Subnet],NetworkReference[Subscription])</f>
        <v>NINP-PERF2</v>
      </c>
      <c r="C182" s="43" t="str">
        <f>_xlfn.XLOOKUP(VmSpecs[[#This Row],[Subnet]],NetworkReference[Subnet],NetworkReference[Virtual Network Resource Group])</f>
        <v>rg-pf2-network-aue-001</v>
      </c>
      <c r="D182" s="43" t="str">
        <f>_xlfn.XLOOKUP(VmSpecs[[#This Row],[Subnet]],NetworkReference[Subnet],NetworkReference[Virtual Network])</f>
        <v>vnet-pf2-workload-aue-001</v>
      </c>
      <c r="E182" s="132" t="s">
        <v>59</v>
      </c>
      <c r="F182" s="43" t="str">
        <f>_xlfn.XLOOKUP(VmSpecs[[#This Row],[Subnet]],NetworkReference[Subnet],NetworkReference[Virtual Network Peering])</f>
        <v>vnet-ninp-conn-pnp-hub-aue</v>
      </c>
      <c r="G182" s="43" t="str">
        <f>_xlfn.XLOOKUP(VmSpecs[[#This Row],[Subnet]],NetworkReference[Subnet],NetworkReference[Route Table])</f>
        <v>rt-sn-pfb-aue-pf2-app</v>
      </c>
      <c r="H182" s="43" t="str">
        <f>LOWER(VLOOKUP(VmSpecs[[#This Row],[Original Hostname (CMO)]],'SSOT Data'!A:K,10,FALSE))</f>
        <v>sol</v>
      </c>
      <c r="I18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82" s="44" t="s">
        <v>60</v>
      </c>
      <c r="K182" s="134" t="str">
        <f>_xlfn.CONCAT("vm",MID(VmSpecs[[#This Row],[Subnet]],4,3),VLOOKUP(VmSpecs[[#This Row],[Subscription]],NetworkReference[#All],2,FALSE),VmSpecs[[#This Row],[Service]],VmSpecs[[#This Row],[VM iteration (nn)]])</f>
        <v>vmpfbpf2sol01</v>
      </c>
      <c r="L182" s="45" t="s">
        <v>61</v>
      </c>
      <c r="M182" s="43" t="str">
        <f>VmSpecs[[#This Row],[VM Name]]&amp;".ninp.myhealthrecord.gov.au"</f>
        <v>vmpfbpf2sol01.ninp.myhealthrecord.gov.au</v>
      </c>
      <c r="N182" s="42" t="str">
        <f t="shared" si="2"/>
        <v>nic-001-vmpfbpf2sol01</v>
      </c>
      <c r="O182" s="94" t="s">
        <v>465</v>
      </c>
      <c r="P182" s="46" t="s">
        <v>63</v>
      </c>
      <c r="Q182" s="78" t="str">
        <f>VLOOKUP(VmSpecs[[#This Row],[Original Hostname (CMO)]],'SSOT Data'!A:E,5,FALSE)</f>
        <v>OEL7.9</v>
      </c>
      <c r="R182" s="42"/>
      <c r="S182" s="42" t="str">
        <f>_xlfn.CONCAT("avail-",LEFT(VmSpecs[[#This Row],[VM Name]],LEN(VmSpecs[[#This Row],[VM Name]])-2))</f>
        <v>avail-vmpfbpf2sol</v>
      </c>
      <c r="T182" s="42" t="str">
        <f>_xlfn.CONCAT("asg-",LEFT(VmSpecs[[#This Row],[VM Name]],LEN(VmSpecs[[#This Row],[VM Name]])-2))</f>
        <v>asg-vmpfbpf2sol</v>
      </c>
      <c r="U182" s="42" t="str">
        <f>_xlfn.CONCAT("nsg-",VmSpecs[[#This Row],[Subnet]])</f>
        <v>nsg-sn-pfb-aue-pf2-app</v>
      </c>
      <c r="V182" s="42" t="s">
        <v>64</v>
      </c>
      <c r="W182" s="43" t="str">
        <f>VLOOKUP(VmSpecs[[#This Row],[Original Hostname (CMO)]],'SSOT Data'!A:AX,50,FALSE)</f>
        <v>Standard_D4s_v4</v>
      </c>
      <c r="X182" s="43">
        <v>64</v>
      </c>
      <c r="Y182" s="43" t="s">
        <v>65</v>
      </c>
      <c r="Z182" s="43" t="str">
        <f>"osdisk-"&amp;VmSpecs[[#This Row],[VM Name]]</f>
        <v>osdisk-vmpfbpf2sol01</v>
      </c>
      <c r="AA182" s="47" t="s">
        <v>66</v>
      </c>
      <c r="AB182" s="73">
        <v>8</v>
      </c>
      <c r="AC182" s="74" t="s">
        <v>65</v>
      </c>
      <c r="AD182" s="84" t="str">
        <f>"disk-"&amp;VmSpecs[[#This Row],[VM Name]]&amp;"-001"</f>
        <v>disk-vmpfbpf2sol01-001</v>
      </c>
      <c r="AE182" s="73">
        <v>32</v>
      </c>
      <c r="AF182" s="74" t="s">
        <v>65</v>
      </c>
      <c r="AG182" s="85" t="str">
        <f>"disk-"&amp;VmSpecs[[#This Row],[VM Name]]&amp;"-002"</f>
        <v>disk-vmpfbpf2sol01-002</v>
      </c>
      <c r="AH182" s="59"/>
      <c r="AI182" s="42"/>
      <c r="AJ182" s="42"/>
      <c r="AK182" s="42"/>
      <c r="AL182" s="42" t="str">
        <f>MID(VmSpecs[[#This Row],[VM Name]],3,9)</f>
        <v>pfbpf2sol</v>
      </c>
      <c r="AM182" s="42" t="str" cm="1">
        <f t="array" ref="AM182">_xlfn.TEXTJOIN(CHAR(10), TRUE, IF(NfsExports[FMO Single VM IP]=VmSpecs[[#This Row],[IP]],NfsExports[FMO Export Summary],""))</f>
        <v>/apps/pcehr 30GB</v>
      </c>
      <c r="AN182" s="43" t="str" cm="1">
        <f t="array" ref="AN18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82" s="42"/>
      <c r="AP182" s="42" t="str">
        <f>VmSpecs[[#This Row],[Description]]</f>
        <v>SOLR</v>
      </c>
      <c r="AQ182" s="43"/>
      <c r="AR182" s="43" t="s">
        <v>64</v>
      </c>
      <c r="AS182" s="43" t="s">
        <v>64</v>
      </c>
      <c r="AT182" s="43" t="s">
        <v>64</v>
      </c>
      <c r="AU182" s="43" t="s">
        <v>64</v>
      </c>
      <c r="AV182" s="42" t="s">
        <v>66</v>
      </c>
      <c r="AW182" s="42" t="s">
        <v>67</v>
      </c>
      <c r="AX182" s="42" t="s">
        <v>68</v>
      </c>
      <c r="AY182" s="42" t="s">
        <v>64</v>
      </c>
      <c r="AZ182" s="42" t="s">
        <v>64</v>
      </c>
      <c r="BA18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"SOLR"
Application Service: "SOL"
Lifecycle: "PFB"</v>
      </c>
      <c r="BB182" s="42" t="s">
        <v>466</v>
      </c>
      <c r="BC182" s="42" t="str">
        <f>VLOOKUP(VmSpecs[[#This Row],[Original Hostname (CMO)]],'SSOT Data'!A:AJ,36,FALSE)</f>
        <v>SOLR</v>
      </c>
      <c r="BD182" s="136" t="s">
        <v>467</v>
      </c>
    </row>
    <row r="183" spans="1:56" ht="29" x14ac:dyDescent="0.35">
      <c r="A183" s="42" t="s">
        <v>58</v>
      </c>
      <c r="B183" s="42" t="str">
        <f>_xlfn.XLOOKUP(VmSpecs[[#This Row],[Subnet]],NetworkReference[Subnet],NetworkReference[Subscription])</f>
        <v>NINP-PERF2</v>
      </c>
      <c r="C183" s="43" t="str">
        <f>_xlfn.XLOOKUP(VmSpecs[[#This Row],[Subnet]],NetworkReference[Subnet],NetworkReference[Virtual Network Resource Group])</f>
        <v>rg-pf2-network-aue-001</v>
      </c>
      <c r="D183" s="43" t="str">
        <f>_xlfn.XLOOKUP(VmSpecs[[#This Row],[Subnet]],NetworkReference[Subnet],NetworkReference[Virtual Network])</f>
        <v>vnet-pf2-workload-aue-001</v>
      </c>
      <c r="E183" s="132" t="s">
        <v>59</v>
      </c>
      <c r="F183" s="43" t="str">
        <f>_xlfn.XLOOKUP(VmSpecs[[#This Row],[Subnet]],NetworkReference[Subnet],NetworkReference[Virtual Network Peering])</f>
        <v>vnet-ninp-conn-pnp-hub-aue</v>
      </c>
      <c r="G183" s="43" t="str">
        <f>_xlfn.XLOOKUP(VmSpecs[[#This Row],[Subnet]],NetworkReference[Subnet],NetworkReference[Route Table])</f>
        <v>rt-sn-pfb-aue-pf2-app</v>
      </c>
      <c r="H183" s="43" t="str">
        <f>LOWER(VLOOKUP(VmSpecs[[#This Row],[Original Hostname (CMO)]],'SSOT Data'!A:K,10,FALSE))</f>
        <v>sol</v>
      </c>
      <c r="I18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83" s="44" t="s">
        <v>72</v>
      </c>
      <c r="K183" s="134" t="str">
        <f>_xlfn.CONCAT("vm",MID(VmSpecs[[#This Row],[Subnet]],4,3),VLOOKUP(VmSpecs[[#This Row],[Subscription]],NetworkReference[#All],2,FALSE),VmSpecs[[#This Row],[Service]],VmSpecs[[#This Row],[VM iteration (nn)]])</f>
        <v>vmpfbpf2sol02</v>
      </c>
      <c r="L183" s="45" t="s">
        <v>61</v>
      </c>
      <c r="M183" s="43" t="str">
        <f>VmSpecs[[#This Row],[VM Name]]&amp;".ninp.myhealthrecord.gov.au"</f>
        <v>vmpfbpf2sol02.ninp.myhealthrecord.gov.au</v>
      </c>
      <c r="N183" s="42" t="str">
        <f t="shared" si="2"/>
        <v>nic-001-vmpfbpf2sol02</v>
      </c>
      <c r="O183" s="94" t="s">
        <v>468</v>
      </c>
      <c r="P183" s="46" t="s">
        <v>63</v>
      </c>
      <c r="Q183" s="78" t="str">
        <f>VLOOKUP(VmSpecs[[#This Row],[Original Hostname (CMO)]],'SSOT Data'!A:E,5,FALSE)</f>
        <v>OEL7.9</v>
      </c>
      <c r="R183" s="42"/>
      <c r="S183" s="42" t="str">
        <f>_xlfn.CONCAT("avail-",LEFT(VmSpecs[[#This Row],[VM Name]],LEN(VmSpecs[[#This Row],[VM Name]])-2))</f>
        <v>avail-vmpfbpf2sol</v>
      </c>
      <c r="T183" s="42" t="str">
        <f>_xlfn.CONCAT("asg-",LEFT(VmSpecs[[#This Row],[VM Name]],LEN(VmSpecs[[#This Row],[VM Name]])-2))</f>
        <v>asg-vmpfbpf2sol</v>
      </c>
      <c r="U183" s="42" t="str">
        <f>_xlfn.CONCAT("nsg-",VmSpecs[[#This Row],[Subnet]])</f>
        <v>nsg-sn-pfb-aue-pf2-app</v>
      </c>
      <c r="V183" s="42" t="s">
        <v>64</v>
      </c>
      <c r="W183" s="43" t="str">
        <f>VLOOKUP(VmSpecs[[#This Row],[Original Hostname (CMO)]],'SSOT Data'!A:AX,50,FALSE)</f>
        <v>Standard_D4s_v4</v>
      </c>
      <c r="X183" s="43">
        <v>64</v>
      </c>
      <c r="Y183" s="43" t="s">
        <v>65</v>
      </c>
      <c r="Z183" s="43" t="str">
        <f>"osdisk-"&amp;VmSpecs[[#This Row],[VM Name]]</f>
        <v>osdisk-vmpfbpf2sol02</v>
      </c>
      <c r="AA183" s="47" t="s">
        <v>66</v>
      </c>
      <c r="AB183" s="73">
        <v>8</v>
      </c>
      <c r="AC183" s="74" t="s">
        <v>65</v>
      </c>
      <c r="AD183" s="84" t="str">
        <f>"disk-"&amp;VmSpecs[[#This Row],[VM Name]]&amp;"-001"</f>
        <v>disk-vmpfbpf2sol02-001</v>
      </c>
      <c r="AE183" s="73">
        <v>32</v>
      </c>
      <c r="AF183" s="74" t="s">
        <v>65</v>
      </c>
      <c r="AG183" s="85" t="str">
        <f>"disk-"&amp;VmSpecs[[#This Row],[VM Name]]&amp;"-002"</f>
        <v>disk-vmpfbpf2sol02-002</v>
      </c>
      <c r="AH183" s="59"/>
      <c r="AI183" s="42"/>
      <c r="AJ183" s="42"/>
      <c r="AK183" s="42"/>
      <c r="AL183" s="42" t="str">
        <f>MID(VmSpecs[[#This Row],[VM Name]],3,9)</f>
        <v>pfbpf2sol</v>
      </c>
      <c r="AM183" s="42" t="str" cm="1">
        <f t="array" ref="AM183">_xlfn.TEXTJOIN(CHAR(10), TRUE, IF(NfsExports[FMO Single VM IP]=VmSpecs[[#This Row],[IP]],NfsExports[FMO Export Summary],""))</f>
        <v>/apps/pcehr 30GB</v>
      </c>
      <c r="AN183" s="43" t="str" cm="1">
        <f t="array" ref="AN18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83" s="42"/>
      <c r="AP183" s="42" t="str">
        <f>VmSpecs[[#This Row],[Description]]</f>
        <v>SOLR</v>
      </c>
      <c r="AQ183" s="43"/>
      <c r="AR183" s="43" t="s">
        <v>64</v>
      </c>
      <c r="AS183" s="43" t="s">
        <v>64</v>
      </c>
      <c r="AT183" s="43" t="s">
        <v>64</v>
      </c>
      <c r="AU183" s="43" t="s">
        <v>64</v>
      </c>
      <c r="AV183" s="42" t="s">
        <v>66</v>
      </c>
      <c r="AW183" s="42" t="s">
        <v>67</v>
      </c>
      <c r="AX183" s="42" t="s">
        <v>68</v>
      </c>
      <c r="AY183" s="42" t="s">
        <v>64</v>
      </c>
      <c r="AZ183" s="42" t="s">
        <v>64</v>
      </c>
      <c r="BA18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"SOLR"
Application Service: "SOL"
Lifecycle: "PFB"</v>
      </c>
      <c r="BB183" s="42" t="s">
        <v>469</v>
      </c>
      <c r="BC183" s="42" t="str">
        <f>VLOOKUP(VmSpecs[[#This Row],[Original Hostname (CMO)]],'SSOT Data'!A:AJ,36,FALSE)</f>
        <v>SOLR</v>
      </c>
      <c r="BD183" s="136" t="s">
        <v>467</v>
      </c>
    </row>
    <row r="184" spans="1:56" ht="29" x14ac:dyDescent="0.35">
      <c r="A184" s="42" t="s">
        <v>58</v>
      </c>
      <c r="B184" s="42" t="str">
        <f>_xlfn.XLOOKUP(VmSpecs[[#This Row],[Subnet]],NetworkReference[Subnet],NetworkReference[Subscription])</f>
        <v>NINP-PERF2</v>
      </c>
      <c r="C184" s="43" t="str">
        <f>_xlfn.XLOOKUP(VmSpecs[[#This Row],[Subnet]],NetworkReference[Subnet],NetworkReference[Virtual Network Resource Group])</f>
        <v>rg-pf2-network-aue-001</v>
      </c>
      <c r="D184" s="43" t="str">
        <f>_xlfn.XLOOKUP(VmSpecs[[#This Row],[Subnet]],NetworkReference[Subnet],NetworkReference[Virtual Network])</f>
        <v>vnet-pf2-workload-aue-001</v>
      </c>
      <c r="E184" s="132" t="s">
        <v>59</v>
      </c>
      <c r="F184" s="43" t="str">
        <f>_xlfn.XLOOKUP(VmSpecs[[#This Row],[Subnet]],NetworkReference[Subnet],NetworkReference[Virtual Network Peering])</f>
        <v>vnet-ninp-conn-pnp-hub-aue</v>
      </c>
      <c r="G184" s="43" t="str">
        <f>_xlfn.XLOOKUP(VmSpecs[[#This Row],[Subnet]],NetworkReference[Subnet],NetworkReference[Route Table])</f>
        <v>rt-sn-pfb-aue-pf2-app</v>
      </c>
      <c r="H184" s="43" t="str">
        <f>LOWER(VLOOKUP(VmSpecs[[#This Row],[Original Hostname (CMO)]],'SSOT Data'!A:K,10,FALSE))</f>
        <v>wbc</v>
      </c>
      <c r="I18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84" s="44" t="s">
        <v>60</v>
      </c>
      <c r="K184" s="43" t="str">
        <f>_xlfn.CONCAT("vm",MID(VmSpecs[[#This Row],[Subnet]],4,3),VLOOKUP(VmSpecs[[#This Row],[Subscription]],NetworkReference[#All],2,FALSE),VmSpecs[[#This Row],[Service]],VmSpecs[[#This Row],[VM iteration (nn)]])</f>
        <v>vmpfbpf2wbc01</v>
      </c>
      <c r="L184" s="45" t="s">
        <v>61</v>
      </c>
      <c r="M184" s="43" t="str">
        <f>VmSpecs[[#This Row],[VM Name]]&amp;".ninp.myhealthrecord.gov.au"</f>
        <v>vmpfbpf2wbc01.ninp.myhealthrecord.gov.au</v>
      </c>
      <c r="N184" s="42" t="str">
        <f t="shared" si="2"/>
        <v>nic-001-vmpfbpf2wbc01</v>
      </c>
      <c r="O184" s="94" t="s">
        <v>470</v>
      </c>
      <c r="P184" s="46" t="s">
        <v>63</v>
      </c>
      <c r="Q184" s="78" t="str">
        <f>VLOOKUP(VmSpecs[[#This Row],[Original Hostname (CMO)]],'SSOT Data'!A:E,5,FALSE)</f>
        <v>OEL7.9</v>
      </c>
      <c r="R184" s="42"/>
      <c r="S184" s="42" t="str">
        <f>_xlfn.CONCAT("avail-",LEFT(VmSpecs[[#This Row],[VM Name]],LEN(VmSpecs[[#This Row],[VM Name]])-2))</f>
        <v>avail-vmpfbpf2wbc</v>
      </c>
      <c r="T184" s="42" t="str">
        <f>_xlfn.CONCAT("asg-",LEFT(VmSpecs[[#This Row],[VM Name]],LEN(VmSpecs[[#This Row],[VM Name]])-2))</f>
        <v>asg-vmpfbpf2wbc</v>
      </c>
      <c r="U184" s="42" t="str">
        <f>_xlfn.CONCAT("nsg-",VmSpecs[[#This Row],[Subnet]])</f>
        <v>nsg-sn-pfb-aue-pf2-app</v>
      </c>
      <c r="V184" s="42" t="s">
        <v>64</v>
      </c>
      <c r="W184" s="43" t="str">
        <f>VLOOKUP(VmSpecs[[#This Row],[Original Hostname (CMO)]],'SSOT Data'!A:AX,50,FALSE)</f>
        <v>Standard_D8s_v4</v>
      </c>
      <c r="X184" s="43">
        <v>64</v>
      </c>
      <c r="Y184" s="43" t="s">
        <v>65</v>
      </c>
      <c r="Z184" s="43" t="str">
        <f>"osdisk-"&amp;VmSpecs[[#This Row],[VM Name]]</f>
        <v>osdisk-vmpfbpf2wbc01</v>
      </c>
      <c r="AA184" s="47" t="s">
        <v>66</v>
      </c>
      <c r="AB184" s="73">
        <v>8</v>
      </c>
      <c r="AC184" s="74" t="s">
        <v>65</v>
      </c>
      <c r="AD184" s="84" t="str">
        <f>"disk-"&amp;VmSpecs[[#This Row],[VM Name]]&amp;"-001"</f>
        <v>disk-vmpfbpf2wbc01-001</v>
      </c>
      <c r="AE184" s="73">
        <v>32</v>
      </c>
      <c r="AF184" s="74" t="s">
        <v>65</v>
      </c>
      <c r="AG184" s="85" t="str">
        <f>"disk-"&amp;VmSpecs[[#This Row],[VM Name]]&amp;"-002"</f>
        <v>disk-vmpfbpf2wbc01-002</v>
      </c>
      <c r="AH184" s="59"/>
      <c r="AI184" s="42"/>
      <c r="AJ184" s="42"/>
      <c r="AK184" s="42"/>
      <c r="AL184" s="42" t="str">
        <f>MID(VmSpecs[[#This Row],[VM Name]],3,9)</f>
        <v>pfbpf2wbc</v>
      </c>
      <c r="AM184" s="43" t="str" cm="1">
        <f t="array" ref="AM184">_xlfn.TEXTJOIN(CHAR(10), TRUE, IF(NfsExports[FMO Single VM IP]=VmSpecs[[#This Row],[IP]],NfsExports[FMO Export Summary],""))</f>
        <v>/apps/pcehr 30GB
/TemplatePackage 10GB</v>
      </c>
      <c r="AN184" s="43" t="str" cm="1">
        <f t="array" ref="AN18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84" s="42"/>
      <c r="AP184" s="42" t="str">
        <f>VmSpecs[[#This Row],[Description]]</f>
        <v>WBC N1 / TMPL N4</v>
      </c>
      <c r="AQ184" s="43"/>
      <c r="AR184" s="43" t="s">
        <v>64</v>
      </c>
      <c r="AS184" s="43" t="s">
        <v>64</v>
      </c>
      <c r="AT184" s="43" t="s">
        <v>64</v>
      </c>
      <c r="AU184" s="43" t="s">
        <v>64</v>
      </c>
      <c r="AV184" s="42" t="s">
        <v>66</v>
      </c>
      <c r="AW184" s="42" t="s">
        <v>67</v>
      </c>
      <c r="AX184" s="42" t="s">
        <v>68</v>
      </c>
      <c r="AY184" s="42" t="s">
        <v>64</v>
      </c>
      <c r="AZ184" s="42" t="s">
        <v>64</v>
      </c>
      <c r="BA18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"WBC N1 / TMPL N4"
Application Service: "WBC"
Lifecycle: "PFB"</v>
      </c>
      <c r="BB184" s="42" t="s">
        <v>471</v>
      </c>
      <c r="BC184" s="42" t="str">
        <f>VLOOKUP(VmSpecs[[#This Row],[Original Hostname (CMO)]],'SSOT Data'!A:AJ,36,FALSE)</f>
        <v>WBC N1 / TMPL N4</v>
      </c>
      <c r="BD184" s="87"/>
    </row>
    <row r="185" spans="1:56" ht="29" x14ac:dyDescent="0.35">
      <c r="A185" s="42" t="s">
        <v>58</v>
      </c>
      <c r="B185" s="42" t="str">
        <f>_xlfn.XLOOKUP(VmSpecs[[#This Row],[Subnet]],NetworkReference[Subnet],NetworkReference[Subscription])</f>
        <v>NINP-PERF2</v>
      </c>
      <c r="C185" s="43" t="str">
        <f>_xlfn.XLOOKUP(VmSpecs[[#This Row],[Subnet]],NetworkReference[Subnet],NetworkReference[Virtual Network Resource Group])</f>
        <v>rg-pf2-network-aue-001</v>
      </c>
      <c r="D185" s="43" t="str">
        <f>_xlfn.XLOOKUP(VmSpecs[[#This Row],[Subnet]],NetworkReference[Subnet],NetworkReference[Virtual Network])</f>
        <v>vnet-pf2-workload-aue-001</v>
      </c>
      <c r="E185" s="132" t="s">
        <v>59</v>
      </c>
      <c r="F185" s="43" t="str">
        <f>_xlfn.XLOOKUP(VmSpecs[[#This Row],[Subnet]],NetworkReference[Subnet],NetworkReference[Virtual Network Peering])</f>
        <v>vnet-ninp-conn-pnp-hub-aue</v>
      </c>
      <c r="G185" s="43" t="str">
        <f>_xlfn.XLOOKUP(VmSpecs[[#This Row],[Subnet]],NetworkReference[Subnet],NetworkReference[Route Table])</f>
        <v>rt-sn-pfb-aue-pf2-app</v>
      </c>
      <c r="H185" s="43" t="str">
        <f>LOWER(VLOOKUP(VmSpecs[[#This Row],[Original Hostname (CMO)]],'SSOT Data'!A:K,10,FALSE))</f>
        <v>wbc</v>
      </c>
      <c r="I18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85" s="44" t="s">
        <v>72</v>
      </c>
      <c r="K185" s="43" t="str">
        <f>_xlfn.CONCAT("vm",MID(VmSpecs[[#This Row],[Subnet]],4,3),VLOOKUP(VmSpecs[[#This Row],[Subscription]],NetworkReference[#All],2,FALSE),VmSpecs[[#This Row],[Service]],VmSpecs[[#This Row],[VM iteration (nn)]])</f>
        <v>vmpfbpf2wbc02</v>
      </c>
      <c r="L185" s="45" t="s">
        <v>61</v>
      </c>
      <c r="M185" s="43" t="str">
        <f>VmSpecs[[#This Row],[VM Name]]&amp;".ninp.myhealthrecord.gov.au"</f>
        <v>vmpfbpf2wbc02.ninp.myhealthrecord.gov.au</v>
      </c>
      <c r="N185" s="42" t="str">
        <f t="shared" si="2"/>
        <v>nic-001-vmpfbpf2wbc02</v>
      </c>
      <c r="O185" s="94" t="s">
        <v>472</v>
      </c>
      <c r="P185" s="46" t="s">
        <v>63</v>
      </c>
      <c r="Q185" s="78" t="str">
        <f>VLOOKUP(VmSpecs[[#This Row],[Original Hostname (CMO)]],'SSOT Data'!A:E,5,FALSE)</f>
        <v>OEL7.9</v>
      </c>
      <c r="R185" s="42"/>
      <c r="S185" s="42" t="str">
        <f>_xlfn.CONCAT("avail-",LEFT(VmSpecs[[#This Row],[VM Name]],LEN(VmSpecs[[#This Row],[VM Name]])-2))</f>
        <v>avail-vmpfbpf2wbc</v>
      </c>
      <c r="T185" s="42" t="str">
        <f>_xlfn.CONCAT("asg-",LEFT(VmSpecs[[#This Row],[VM Name]],LEN(VmSpecs[[#This Row],[VM Name]])-2))</f>
        <v>asg-vmpfbpf2wbc</v>
      </c>
      <c r="U185" s="42" t="str">
        <f>_xlfn.CONCAT("nsg-",VmSpecs[[#This Row],[Subnet]])</f>
        <v>nsg-sn-pfb-aue-pf2-app</v>
      </c>
      <c r="V185" s="42" t="s">
        <v>64</v>
      </c>
      <c r="W185" s="43" t="str">
        <f>VLOOKUP(VmSpecs[[#This Row],[Original Hostname (CMO)]],'SSOT Data'!A:AX,50,FALSE)</f>
        <v>Standard_D8s_v4</v>
      </c>
      <c r="X185" s="43">
        <v>64</v>
      </c>
      <c r="Y185" s="43" t="s">
        <v>65</v>
      </c>
      <c r="Z185" s="43" t="str">
        <f>"osdisk-"&amp;VmSpecs[[#This Row],[VM Name]]</f>
        <v>osdisk-vmpfbpf2wbc02</v>
      </c>
      <c r="AA185" s="47" t="s">
        <v>66</v>
      </c>
      <c r="AB185" s="73">
        <v>8</v>
      </c>
      <c r="AC185" s="74" t="s">
        <v>65</v>
      </c>
      <c r="AD185" s="84" t="str">
        <f>"disk-"&amp;VmSpecs[[#This Row],[VM Name]]&amp;"-001"</f>
        <v>disk-vmpfbpf2wbc02-001</v>
      </c>
      <c r="AE185" s="73">
        <v>32</v>
      </c>
      <c r="AF185" s="74" t="s">
        <v>65</v>
      </c>
      <c r="AG185" s="85" t="str">
        <f>"disk-"&amp;VmSpecs[[#This Row],[VM Name]]&amp;"-002"</f>
        <v>disk-vmpfbpf2wbc02-002</v>
      </c>
      <c r="AH185" s="59"/>
      <c r="AI185" s="42"/>
      <c r="AJ185" s="42"/>
      <c r="AK185" s="42"/>
      <c r="AL185" s="42" t="str">
        <f>MID(VmSpecs[[#This Row],[VM Name]],3,9)</f>
        <v>pfbpf2wbc</v>
      </c>
      <c r="AM185" s="43" t="str" cm="1">
        <f t="array" ref="AM185">_xlfn.TEXTJOIN(CHAR(10), TRUE, IF(NfsExports[FMO Single VM IP]=VmSpecs[[#This Row],[IP]],NfsExports[FMO Export Summary],""))</f>
        <v>/apps/pcehr 30GB
/TemplatePackage 10GB</v>
      </c>
      <c r="AN185" s="43" t="str" cm="1">
        <f t="array" ref="AN18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85" s="42"/>
      <c r="AP185" s="42" t="str">
        <f>VmSpecs[[#This Row],[Description]]</f>
        <v>WBC N2 / TMPL N3</v>
      </c>
      <c r="AQ185" s="43"/>
      <c r="AR185" s="43" t="s">
        <v>64</v>
      </c>
      <c r="AS185" s="43" t="s">
        <v>64</v>
      </c>
      <c r="AT185" s="43" t="s">
        <v>64</v>
      </c>
      <c r="AU185" s="43" t="s">
        <v>64</v>
      </c>
      <c r="AV185" s="42" t="s">
        <v>66</v>
      </c>
      <c r="AW185" s="42" t="s">
        <v>67</v>
      </c>
      <c r="AX185" s="42" t="s">
        <v>68</v>
      </c>
      <c r="AY185" s="42" t="s">
        <v>64</v>
      </c>
      <c r="AZ185" s="42" t="s">
        <v>64</v>
      </c>
      <c r="BA18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"WBC N2 / TMPL N3"
Application Service: "WBC"
Lifecycle: "PFB"</v>
      </c>
      <c r="BB185" s="42" t="s">
        <v>473</v>
      </c>
      <c r="BC185" s="42" t="str">
        <f>VLOOKUP(VmSpecs[[#This Row],[Original Hostname (CMO)]],'SSOT Data'!A:AJ,36,FALSE)</f>
        <v>WBC N2 / TMPL N3</v>
      </c>
      <c r="BD185" s="87"/>
    </row>
    <row r="186" spans="1:56" ht="29" x14ac:dyDescent="0.35">
      <c r="A186" s="42" t="s">
        <v>58</v>
      </c>
      <c r="B186" s="42" t="str">
        <f>_xlfn.XLOOKUP(VmSpecs[[#This Row],[Subnet]],NetworkReference[Subnet],NetworkReference[Subscription])</f>
        <v>NINP-PERF2</v>
      </c>
      <c r="C186" s="43" t="str">
        <f>_xlfn.XLOOKUP(VmSpecs[[#This Row],[Subnet]],NetworkReference[Subnet],NetworkReference[Virtual Network Resource Group])</f>
        <v>rg-pf2-network-aue-001</v>
      </c>
      <c r="D186" s="43" t="str">
        <f>_xlfn.XLOOKUP(VmSpecs[[#This Row],[Subnet]],NetworkReference[Subnet],NetworkReference[Virtual Network])</f>
        <v>vnet-pf2-workload-aue-001</v>
      </c>
      <c r="E186" s="132" t="s">
        <v>59</v>
      </c>
      <c r="F186" s="43" t="str">
        <f>_xlfn.XLOOKUP(VmSpecs[[#This Row],[Subnet]],NetworkReference[Subnet],NetworkReference[Virtual Network Peering])</f>
        <v>vnet-ninp-conn-pnp-hub-aue</v>
      </c>
      <c r="G186" s="43" t="str">
        <f>_xlfn.XLOOKUP(VmSpecs[[#This Row],[Subnet]],NetworkReference[Subnet],NetworkReference[Route Table])</f>
        <v>rt-sn-pfb-aue-pf2-app</v>
      </c>
      <c r="H186" s="43" t="str">
        <f>LOWER(VLOOKUP(VmSpecs[[#This Row],[Original Hostname (CMO)]],'SSOT Data'!A:K,10,FALSE))</f>
        <v>wbc</v>
      </c>
      <c r="I18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86" s="44" t="s">
        <v>75</v>
      </c>
      <c r="K186" s="43" t="str">
        <f>_xlfn.CONCAT("vm",MID(VmSpecs[[#This Row],[Subnet]],4,3),VLOOKUP(VmSpecs[[#This Row],[Subscription]],NetworkReference[#All],2,FALSE),VmSpecs[[#This Row],[Service]],VmSpecs[[#This Row],[VM iteration (nn)]])</f>
        <v>vmpfbpf2wbc03</v>
      </c>
      <c r="L186" s="45" t="s">
        <v>61</v>
      </c>
      <c r="M186" s="43" t="str">
        <f>VmSpecs[[#This Row],[VM Name]]&amp;".ninp.myhealthrecord.gov.au"</f>
        <v>vmpfbpf2wbc03.ninp.myhealthrecord.gov.au</v>
      </c>
      <c r="N186" s="42" t="str">
        <f t="shared" si="2"/>
        <v>nic-001-vmpfbpf2wbc03</v>
      </c>
      <c r="O186" s="94" t="s">
        <v>474</v>
      </c>
      <c r="P186" s="46" t="s">
        <v>63</v>
      </c>
      <c r="Q186" s="78" t="str">
        <f>VLOOKUP(VmSpecs[[#This Row],[Original Hostname (CMO)]],'SSOT Data'!A:E,5,FALSE)</f>
        <v>OEL7.9</v>
      </c>
      <c r="R186" s="42"/>
      <c r="S186" s="42" t="str">
        <f>_xlfn.CONCAT("avail-",LEFT(VmSpecs[[#This Row],[VM Name]],LEN(VmSpecs[[#This Row],[VM Name]])-2))</f>
        <v>avail-vmpfbpf2wbc</v>
      </c>
      <c r="T186" s="42" t="str">
        <f>_xlfn.CONCAT("asg-",LEFT(VmSpecs[[#This Row],[VM Name]],LEN(VmSpecs[[#This Row],[VM Name]])-2))</f>
        <v>asg-vmpfbpf2wbc</v>
      </c>
      <c r="U186" s="42" t="str">
        <f>_xlfn.CONCAT("nsg-",VmSpecs[[#This Row],[Subnet]])</f>
        <v>nsg-sn-pfb-aue-pf2-app</v>
      </c>
      <c r="V186" s="42" t="s">
        <v>64</v>
      </c>
      <c r="W186" s="43" t="str">
        <f>VLOOKUP(VmSpecs[[#This Row],[Original Hostname (CMO)]],'SSOT Data'!A:AX,50,FALSE)</f>
        <v>Standard_D8s_v4</v>
      </c>
      <c r="X186" s="43">
        <v>64</v>
      </c>
      <c r="Y186" s="43" t="s">
        <v>65</v>
      </c>
      <c r="Z186" s="43" t="str">
        <f>"osdisk-"&amp;VmSpecs[[#This Row],[VM Name]]</f>
        <v>osdisk-vmpfbpf2wbc03</v>
      </c>
      <c r="AA186" s="47" t="s">
        <v>66</v>
      </c>
      <c r="AB186" s="73">
        <v>8</v>
      </c>
      <c r="AC186" s="74" t="s">
        <v>65</v>
      </c>
      <c r="AD186" s="84" t="str">
        <f>"disk-"&amp;VmSpecs[[#This Row],[VM Name]]&amp;"-001"</f>
        <v>disk-vmpfbpf2wbc03-001</v>
      </c>
      <c r="AE186" s="73">
        <v>32</v>
      </c>
      <c r="AF186" s="74" t="s">
        <v>65</v>
      </c>
      <c r="AG186" s="85" t="str">
        <f>"disk-"&amp;VmSpecs[[#This Row],[VM Name]]&amp;"-002"</f>
        <v>disk-vmpfbpf2wbc03-002</v>
      </c>
      <c r="AH186" s="59"/>
      <c r="AI186" s="42"/>
      <c r="AJ186" s="42"/>
      <c r="AK186" s="42"/>
      <c r="AL186" s="42" t="str">
        <f>MID(VmSpecs[[#This Row],[VM Name]],3,9)</f>
        <v>pfbpf2wbc</v>
      </c>
      <c r="AM186" s="43" t="str" cm="1">
        <f t="array" ref="AM186">_xlfn.TEXTJOIN(CHAR(10), TRUE, IF(NfsExports[FMO Single VM IP]=VmSpecs[[#This Row],[IP]],NfsExports[FMO Export Summary],""))</f>
        <v>/apps/pcehr 30GB
/TemplatePackage 10GB</v>
      </c>
      <c r="AN186" s="43" t="str" cm="1">
        <f t="array" ref="AN18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86" s="42"/>
      <c r="AP186" s="42" t="str">
        <f>VmSpecs[[#This Row],[Description]]</f>
        <v>WBC N3 / TMPL N2</v>
      </c>
      <c r="AQ186" s="43"/>
      <c r="AR186" s="43" t="s">
        <v>64</v>
      </c>
      <c r="AS186" s="43" t="s">
        <v>64</v>
      </c>
      <c r="AT186" s="43" t="s">
        <v>64</v>
      </c>
      <c r="AU186" s="43" t="s">
        <v>64</v>
      </c>
      <c r="AV186" s="42" t="s">
        <v>66</v>
      </c>
      <c r="AW186" s="42" t="s">
        <v>67</v>
      </c>
      <c r="AX186" s="42" t="s">
        <v>68</v>
      </c>
      <c r="AY186" s="42" t="s">
        <v>64</v>
      </c>
      <c r="AZ186" s="42" t="s">
        <v>64</v>
      </c>
      <c r="BA18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"WBC N3 / TMPL N2"
Application Service: "WBC"
Lifecycle: "PFB"</v>
      </c>
      <c r="BB186" s="42" t="s">
        <v>475</v>
      </c>
      <c r="BC186" s="42" t="str">
        <f>VLOOKUP(VmSpecs[[#This Row],[Original Hostname (CMO)]],'SSOT Data'!A:AJ,36,FALSE)</f>
        <v>WBC N3 / TMPL N2</v>
      </c>
      <c r="BD186" s="87"/>
    </row>
    <row r="187" spans="1:56" ht="29" x14ac:dyDescent="0.35">
      <c r="A187" s="42" t="s">
        <v>58</v>
      </c>
      <c r="B187" s="42" t="str">
        <f>_xlfn.XLOOKUP(VmSpecs[[#This Row],[Subnet]],NetworkReference[Subnet],NetworkReference[Subscription])</f>
        <v>NINP-PERF2</v>
      </c>
      <c r="C187" s="43" t="str">
        <f>_xlfn.XLOOKUP(VmSpecs[[#This Row],[Subnet]],NetworkReference[Subnet],NetworkReference[Virtual Network Resource Group])</f>
        <v>rg-pf2-network-aue-001</v>
      </c>
      <c r="D187" s="43" t="str">
        <f>_xlfn.XLOOKUP(VmSpecs[[#This Row],[Subnet]],NetworkReference[Subnet],NetworkReference[Virtual Network])</f>
        <v>vnet-pf2-workload-aue-001</v>
      </c>
      <c r="E187" s="132" t="s">
        <v>59</v>
      </c>
      <c r="F187" s="43" t="str">
        <f>_xlfn.XLOOKUP(VmSpecs[[#This Row],[Subnet]],NetworkReference[Subnet],NetworkReference[Virtual Network Peering])</f>
        <v>vnet-ninp-conn-pnp-hub-aue</v>
      </c>
      <c r="G187" s="43" t="str">
        <f>_xlfn.XLOOKUP(VmSpecs[[#This Row],[Subnet]],NetworkReference[Subnet],NetworkReference[Route Table])</f>
        <v>rt-sn-pfb-aue-pf2-app</v>
      </c>
      <c r="H187" s="43" t="str">
        <f>LOWER(VLOOKUP(VmSpecs[[#This Row],[Original Hostname (CMO)]],'SSOT Data'!A:K,10,FALSE))</f>
        <v>wbc</v>
      </c>
      <c r="I18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87" s="44" t="s">
        <v>78</v>
      </c>
      <c r="K187" s="43" t="str">
        <f>_xlfn.CONCAT("vm",MID(VmSpecs[[#This Row],[Subnet]],4,3),VLOOKUP(VmSpecs[[#This Row],[Subscription]],NetworkReference[#All],2,FALSE),VmSpecs[[#This Row],[Service]],VmSpecs[[#This Row],[VM iteration (nn)]])</f>
        <v>vmpfbpf2wbc04</v>
      </c>
      <c r="L187" s="45" t="s">
        <v>61</v>
      </c>
      <c r="M187" s="43" t="str">
        <f>VmSpecs[[#This Row],[VM Name]]&amp;".ninp.myhealthrecord.gov.au"</f>
        <v>vmpfbpf2wbc04.ninp.myhealthrecord.gov.au</v>
      </c>
      <c r="N187" s="42" t="str">
        <f t="shared" si="2"/>
        <v>nic-001-vmpfbpf2wbc04</v>
      </c>
      <c r="O187" s="94" t="s">
        <v>476</v>
      </c>
      <c r="P187" s="46" t="s">
        <v>63</v>
      </c>
      <c r="Q187" s="78" t="str">
        <f>VLOOKUP(VmSpecs[[#This Row],[Original Hostname (CMO)]],'SSOT Data'!A:E,5,FALSE)</f>
        <v>OEL7.9</v>
      </c>
      <c r="R187" s="42"/>
      <c r="S187" s="42" t="str">
        <f>_xlfn.CONCAT("avail-",LEFT(VmSpecs[[#This Row],[VM Name]],LEN(VmSpecs[[#This Row],[VM Name]])-2))</f>
        <v>avail-vmpfbpf2wbc</v>
      </c>
      <c r="T187" s="42" t="str">
        <f>_xlfn.CONCAT("asg-",LEFT(VmSpecs[[#This Row],[VM Name]],LEN(VmSpecs[[#This Row],[VM Name]])-2))</f>
        <v>asg-vmpfbpf2wbc</v>
      </c>
      <c r="U187" s="42" t="str">
        <f>_xlfn.CONCAT("nsg-",VmSpecs[[#This Row],[Subnet]])</f>
        <v>nsg-sn-pfb-aue-pf2-app</v>
      </c>
      <c r="V187" s="42" t="s">
        <v>64</v>
      </c>
      <c r="W187" s="43" t="str">
        <f>VLOOKUP(VmSpecs[[#This Row],[Original Hostname (CMO)]],'SSOT Data'!A:AX,50,FALSE)</f>
        <v>Standard_D8s_v4</v>
      </c>
      <c r="X187" s="43">
        <v>64</v>
      </c>
      <c r="Y187" s="43" t="s">
        <v>65</v>
      </c>
      <c r="Z187" s="43" t="str">
        <f>"osdisk-"&amp;VmSpecs[[#This Row],[VM Name]]</f>
        <v>osdisk-vmpfbpf2wbc04</v>
      </c>
      <c r="AA187" s="47" t="s">
        <v>66</v>
      </c>
      <c r="AB187" s="73">
        <v>8</v>
      </c>
      <c r="AC187" s="74" t="s">
        <v>65</v>
      </c>
      <c r="AD187" s="84" t="str">
        <f>"disk-"&amp;VmSpecs[[#This Row],[VM Name]]&amp;"-001"</f>
        <v>disk-vmpfbpf2wbc04-001</v>
      </c>
      <c r="AE187" s="73">
        <v>32</v>
      </c>
      <c r="AF187" s="74" t="s">
        <v>65</v>
      </c>
      <c r="AG187" s="85" t="str">
        <f>"disk-"&amp;VmSpecs[[#This Row],[VM Name]]&amp;"-002"</f>
        <v>disk-vmpfbpf2wbc04-002</v>
      </c>
      <c r="AH187" s="59"/>
      <c r="AI187" s="42"/>
      <c r="AJ187" s="42"/>
      <c r="AK187" s="42"/>
      <c r="AL187" s="42" t="str">
        <f>MID(VmSpecs[[#This Row],[VM Name]],3,9)</f>
        <v>pfbpf2wbc</v>
      </c>
      <c r="AM187" s="43" t="str" cm="1">
        <f t="array" ref="AM187">_xlfn.TEXTJOIN(CHAR(10), TRUE, IF(NfsExports[FMO Single VM IP]=VmSpecs[[#This Row],[IP]],NfsExports[FMO Export Summary],""))</f>
        <v>/apps/pcehr 30GB
/TemplatePackage 10GB</v>
      </c>
      <c r="AN187" s="43" t="str" cm="1">
        <f t="array" ref="AN18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87" s="42"/>
      <c r="AP187" s="42" t="str">
        <f>VmSpecs[[#This Row],[Description]]</f>
        <v>WBC N4 / TMPL N1</v>
      </c>
      <c r="AQ187" s="43"/>
      <c r="AR187" s="43" t="s">
        <v>64</v>
      </c>
      <c r="AS187" s="43" t="s">
        <v>64</v>
      </c>
      <c r="AT187" s="43" t="s">
        <v>64</v>
      </c>
      <c r="AU187" s="43" t="s">
        <v>64</v>
      </c>
      <c r="AV187" s="42" t="s">
        <v>66</v>
      </c>
      <c r="AW187" s="42" t="s">
        <v>67</v>
      </c>
      <c r="AX187" s="42" t="s">
        <v>68</v>
      </c>
      <c r="AY187" s="42" t="s">
        <v>64</v>
      </c>
      <c r="AZ187" s="42" t="s">
        <v>64</v>
      </c>
      <c r="BA18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"WBC N4 / TMPL N1"
Application Service: "WBC"
Lifecycle: "PFB"</v>
      </c>
      <c r="BB187" s="42" t="s">
        <v>477</v>
      </c>
      <c r="BC187" s="42" t="str">
        <f>VLOOKUP(VmSpecs[[#This Row],[Original Hostname (CMO)]],'SSOT Data'!A:AJ,36,FALSE)</f>
        <v>WBC N4 / TMPL N1</v>
      </c>
      <c r="BD187" s="87"/>
    </row>
    <row r="188" spans="1:56" ht="29" x14ac:dyDescent="0.35">
      <c r="A188" s="42" t="s">
        <v>58</v>
      </c>
      <c r="B188" s="42" t="str">
        <f>_xlfn.XLOOKUP(VmSpecs[[#This Row],[Subnet]],NetworkReference[Subnet],NetworkReference[Subscription])</f>
        <v>NINP-PERF2</v>
      </c>
      <c r="C188" s="43" t="str">
        <f>_xlfn.XLOOKUP(VmSpecs[[#This Row],[Subnet]],NetworkReference[Subnet],NetworkReference[Virtual Network Resource Group])</f>
        <v>rg-pf2-network-aue-001</v>
      </c>
      <c r="D188" s="43" t="str">
        <f>_xlfn.XLOOKUP(VmSpecs[[#This Row],[Subnet]],NetworkReference[Subnet],NetworkReference[Virtual Network])</f>
        <v>vnet-pf2-workload-aue-001</v>
      </c>
      <c r="E188" s="132" t="s">
        <v>59</v>
      </c>
      <c r="F188" s="43" t="str">
        <f>_xlfn.XLOOKUP(VmSpecs[[#This Row],[Subnet]],NetworkReference[Subnet],NetworkReference[Virtual Network Peering])</f>
        <v>vnet-ninp-conn-pnp-hub-aue</v>
      </c>
      <c r="G188" s="43" t="str">
        <f>_xlfn.XLOOKUP(VmSpecs[[#This Row],[Subnet]],NetworkReference[Subnet],NetworkReference[Route Table])</f>
        <v>rt-sn-pfb-aue-pf2-app</v>
      </c>
      <c r="H188" s="43" t="str">
        <f>LOWER(VLOOKUP(VmSpecs[[#This Row],[Original Hostname (CMO)]],'SSOT Data'!A:K,10,FALSE))</f>
        <v>wbc</v>
      </c>
      <c r="I18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88" s="44" t="s">
        <v>81</v>
      </c>
      <c r="K188" s="43" t="str">
        <f>_xlfn.CONCAT("vm",MID(VmSpecs[[#This Row],[Subnet]],4,3),VLOOKUP(VmSpecs[[#This Row],[Subscription]],NetworkReference[#All],2,FALSE),VmSpecs[[#This Row],[Service]],VmSpecs[[#This Row],[VM iteration (nn)]])</f>
        <v>vmpfbpf2wbc05</v>
      </c>
      <c r="L188" s="45" t="s">
        <v>61</v>
      </c>
      <c r="M188" s="43" t="str">
        <f>VmSpecs[[#This Row],[VM Name]]&amp;".ninp.myhealthrecord.gov.au"</f>
        <v>vmpfbpf2wbc05.ninp.myhealthrecord.gov.au</v>
      </c>
      <c r="N188" s="42" t="str">
        <f t="shared" si="2"/>
        <v>nic-001-vmpfbpf2wbc05</v>
      </c>
      <c r="O188" s="94" t="s">
        <v>478</v>
      </c>
      <c r="P188" s="46" t="s">
        <v>63</v>
      </c>
      <c r="Q188" s="78" t="str">
        <f>VLOOKUP(VmSpecs[[#This Row],[Original Hostname (CMO)]],'SSOT Data'!A:E,5,FALSE)</f>
        <v>OEL7.9</v>
      </c>
      <c r="R188" s="42"/>
      <c r="S188" s="42" t="str">
        <f>_xlfn.CONCAT("avail-",LEFT(VmSpecs[[#This Row],[VM Name]],LEN(VmSpecs[[#This Row],[VM Name]])-2))</f>
        <v>avail-vmpfbpf2wbc</v>
      </c>
      <c r="T188" s="42" t="str">
        <f>_xlfn.CONCAT("asg-",LEFT(VmSpecs[[#This Row],[VM Name]],LEN(VmSpecs[[#This Row],[VM Name]])-2))</f>
        <v>asg-vmpfbpf2wbc</v>
      </c>
      <c r="U188" s="42" t="str">
        <f>_xlfn.CONCAT("nsg-",VmSpecs[[#This Row],[Subnet]])</f>
        <v>nsg-sn-pfb-aue-pf2-app</v>
      </c>
      <c r="V188" s="42" t="s">
        <v>64</v>
      </c>
      <c r="W188" s="43" t="str">
        <f>VLOOKUP(VmSpecs[[#This Row],[Original Hostname (CMO)]],'SSOT Data'!A:AX,50,FALSE)</f>
        <v>Standard_D8s_v4</v>
      </c>
      <c r="X188" s="43">
        <v>64</v>
      </c>
      <c r="Y188" s="43" t="s">
        <v>65</v>
      </c>
      <c r="Z188" s="43" t="str">
        <f>"osdisk-"&amp;VmSpecs[[#This Row],[VM Name]]</f>
        <v>osdisk-vmpfbpf2wbc05</v>
      </c>
      <c r="AA188" s="47" t="s">
        <v>66</v>
      </c>
      <c r="AB188" s="73">
        <v>8</v>
      </c>
      <c r="AC188" s="74" t="s">
        <v>65</v>
      </c>
      <c r="AD188" s="84" t="str">
        <f>"disk-"&amp;VmSpecs[[#This Row],[VM Name]]&amp;"-001"</f>
        <v>disk-vmpfbpf2wbc05-001</v>
      </c>
      <c r="AE188" s="73">
        <v>32</v>
      </c>
      <c r="AF188" s="74" t="s">
        <v>65</v>
      </c>
      <c r="AG188" s="85" t="str">
        <f>"disk-"&amp;VmSpecs[[#This Row],[VM Name]]&amp;"-002"</f>
        <v>disk-vmpfbpf2wbc05-002</v>
      </c>
      <c r="AH188" s="59"/>
      <c r="AI188" s="42"/>
      <c r="AJ188" s="42"/>
      <c r="AK188" s="42"/>
      <c r="AL188" s="42" t="str">
        <f>MID(VmSpecs[[#This Row],[VM Name]],3,9)</f>
        <v>pfbpf2wbc</v>
      </c>
      <c r="AM188" s="43" t="str" cm="1">
        <f t="array" ref="AM188">_xlfn.TEXTJOIN(CHAR(10), TRUE, IF(NfsExports[FMO Single VM IP]=VmSpecs[[#This Row],[IP]],NfsExports[FMO Export Summary],""))</f>
        <v>/apps/pcehr 30GB
/TemplatePackage 10GB</v>
      </c>
      <c r="AN188" s="43" t="str" cm="1">
        <f t="array" ref="AN18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88" s="42"/>
      <c r="AP188" s="42" t="str">
        <f>VmSpecs[[#This Row],[Description]]</f>
        <v>WBC / TMPL</v>
      </c>
      <c r="AQ188" s="43"/>
      <c r="AR188" s="43" t="s">
        <v>64</v>
      </c>
      <c r="AS188" s="43" t="s">
        <v>64</v>
      </c>
      <c r="AT188" s="43" t="s">
        <v>64</v>
      </c>
      <c r="AU188" s="43" t="s">
        <v>64</v>
      </c>
      <c r="AV188" s="42" t="s">
        <v>66</v>
      </c>
      <c r="AW188" s="42" t="s">
        <v>67</v>
      </c>
      <c r="AX188" s="42" t="s">
        <v>68</v>
      </c>
      <c r="AY188" s="42" t="s">
        <v>64</v>
      </c>
      <c r="AZ188" s="42" t="s">
        <v>64</v>
      </c>
      <c r="BA18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"WBC / TMPL"
Application Service: "WBC"
Lifecycle: "PFB"</v>
      </c>
      <c r="BB188" s="42" t="s">
        <v>479</v>
      </c>
      <c r="BC188" s="42" t="str">
        <f>VLOOKUP(VmSpecs[[#This Row],[Original Hostname (CMO)]],'SSOT Data'!A:AJ,36,FALSE)</f>
        <v>WBC / TMPL</v>
      </c>
      <c r="BD188" s="87"/>
    </row>
    <row r="189" spans="1:56" ht="29" x14ac:dyDescent="0.35">
      <c r="A189" s="42" t="s">
        <v>58</v>
      </c>
      <c r="B189" s="42" t="str">
        <f>_xlfn.XLOOKUP(VmSpecs[[#This Row],[Subnet]],NetworkReference[Subnet],NetworkReference[Subscription])</f>
        <v>NINP-PERF2</v>
      </c>
      <c r="C189" s="43" t="str">
        <f>_xlfn.XLOOKUP(VmSpecs[[#This Row],[Subnet]],NetworkReference[Subnet],NetworkReference[Virtual Network Resource Group])</f>
        <v>rg-pf2-network-aue-001</v>
      </c>
      <c r="D189" s="43" t="str">
        <f>_xlfn.XLOOKUP(VmSpecs[[#This Row],[Subnet]],NetworkReference[Subnet],NetworkReference[Virtual Network])</f>
        <v>vnet-pf2-workload-aue-001</v>
      </c>
      <c r="E189" s="132" t="s">
        <v>59</v>
      </c>
      <c r="F189" s="43" t="str">
        <f>_xlfn.XLOOKUP(VmSpecs[[#This Row],[Subnet]],NetworkReference[Subnet],NetworkReference[Virtual Network Peering])</f>
        <v>vnet-ninp-conn-pnp-hub-aue</v>
      </c>
      <c r="G189" s="43" t="str">
        <f>_xlfn.XLOOKUP(VmSpecs[[#This Row],[Subnet]],NetworkReference[Subnet],NetworkReference[Route Table])</f>
        <v>rt-sn-pfb-aue-pf2-app</v>
      </c>
      <c r="H189" s="43" t="str">
        <f>LOWER(VLOOKUP(VmSpecs[[#This Row],[Original Hostname (CMO)]],'SSOT Data'!A:K,10,FALSE))</f>
        <v>wbc</v>
      </c>
      <c r="I18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89" s="44" t="s">
        <v>84</v>
      </c>
      <c r="K189" s="43" t="str">
        <f>_xlfn.CONCAT("vm",MID(VmSpecs[[#This Row],[Subnet]],4,3),VLOOKUP(VmSpecs[[#This Row],[Subscription]],NetworkReference[#All],2,FALSE),VmSpecs[[#This Row],[Service]],VmSpecs[[#This Row],[VM iteration (nn)]])</f>
        <v>vmpfbpf2wbc06</v>
      </c>
      <c r="L189" s="45" t="s">
        <v>61</v>
      </c>
      <c r="M189" s="43" t="str">
        <f>VmSpecs[[#This Row],[VM Name]]&amp;".ninp.myhealthrecord.gov.au"</f>
        <v>vmpfbpf2wbc06.ninp.myhealthrecord.gov.au</v>
      </c>
      <c r="N189" s="42" t="str">
        <f t="shared" si="2"/>
        <v>nic-001-vmpfbpf2wbc06</v>
      </c>
      <c r="O189" s="94" t="s">
        <v>480</v>
      </c>
      <c r="P189" s="46" t="s">
        <v>63</v>
      </c>
      <c r="Q189" s="78" t="str">
        <f>VLOOKUP(VmSpecs[[#This Row],[Original Hostname (CMO)]],'SSOT Data'!A:E,5,FALSE)</f>
        <v>OEL7.9</v>
      </c>
      <c r="R189" s="42"/>
      <c r="S189" s="42" t="str">
        <f>_xlfn.CONCAT("avail-",LEFT(VmSpecs[[#This Row],[VM Name]],LEN(VmSpecs[[#This Row],[VM Name]])-2))</f>
        <v>avail-vmpfbpf2wbc</v>
      </c>
      <c r="T189" s="42" t="str">
        <f>_xlfn.CONCAT("asg-",LEFT(VmSpecs[[#This Row],[VM Name]],LEN(VmSpecs[[#This Row],[VM Name]])-2))</f>
        <v>asg-vmpfbpf2wbc</v>
      </c>
      <c r="U189" s="42" t="str">
        <f>_xlfn.CONCAT("nsg-",VmSpecs[[#This Row],[Subnet]])</f>
        <v>nsg-sn-pfb-aue-pf2-app</v>
      </c>
      <c r="V189" s="42" t="s">
        <v>64</v>
      </c>
      <c r="W189" s="43" t="str">
        <f>VLOOKUP(VmSpecs[[#This Row],[Original Hostname (CMO)]],'SSOT Data'!A:AX,50,FALSE)</f>
        <v>Standard_D8s_v4</v>
      </c>
      <c r="X189" s="43">
        <v>64</v>
      </c>
      <c r="Y189" s="43" t="s">
        <v>65</v>
      </c>
      <c r="Z189" s="43" t="str">
        <f>"osdisk-"&amp;VmSpecs[[#This Row],[VM Name]]</f>
        <v>osdisk-vmpfbpf2wbc06</v>
      </c>
      <c r="AA189" s="47" t="s">
        <v>66</v>
      </c>
      <c r="AB189" s="73">
        <v>8</v>
      </c>
      <c r="AC189" s="74" t="s">
        <v>65</v>
      </c>
      <c r="AD189" s="84" t="str">
        <f>"disk-"&amp;VmSpecs[[#This Row],[VM Name]]&amp;"-001"</f>
        <v>disk-vmpfbpf2wbc06-001</v>
      </c>
      <c r="AE189" s="73">
        <v>32</v>
      </c>
      <c r="AF189" s="74" t="s">
        <v>65</v>
      </c>
      <c r="AG189" s="85" t="str">
        <f>"disk-"&amp;VmSpecs[[#This Row],[VM Name]]&amp;"-002"</f>
        <v>disk-vmpfbpf2wbc06-002</v>
      </c>
      <c r="AH189" s="59"/>
      <c r="AI189" s="42"/>
      <c r="AJ189" s="42"/>
      <c r="AK189" s="42"/>
      <c r="AL189" s="42" t="str">
        <f>MID(VmSpecs[[#This Row],[VM Name]],3,9)</f>
        <v>pfbpf2wbc</v>
      </c>
      <c r="AM189" s="43" t="str" cm="1">
        <f t="array" ref="AM189">_xlfn.TEXTJOIN(CHAR(10), TRUE, IF(NfsExports[FMO Single VM IP]=VmSpecs[[#This Row],[IP]],NfsExports[FMO Export Summary],""))</f>
        <v>/apps/pcehr 30GB
/TemplatePackage 10GB</v>
      </c>
      <c r="AN189" s="43" t="str" cm="1">
        <f t="array" ref="AN18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89" s="42"/>
      <c r="AP189" s="42" t="str">
        <f>VmSpecs[[#This Row],[Description]]</f>
        <v>WBC / TMPL</v>
      </c>
      <c r="AQ189" s="43"/>
      <c r="AR189" s="43" t="s">
        <v>64</v>
      </c>
      <c r="AS189" s="43" t="s">
        <v>64</v>
      </c>
      <c r="AT189" s="43" t="s">
        <v>64</v>
      </c>
      <c r="AU189" s="43" t="s">
        <v>64</v>
      </c>
      <c r="AV189" s="42" t="s">
        <v>66</v>
      </c>
      <c r="AW189" s="42" t="s">
        <v>67</v>
      </c>
      <c r="AX189" s="42" t="s">
        <v>68</v>
      </c>
      <c r="AY189" s="42" t="s">
        <v>64</v>
      </c>
      <c r="AZ189" s="42" t="s">
        <v>64</v>
      </c>
      <c r="BA18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"WBC / TMPL"
Application Service: "WBC"
Lifecycle: "PFB"</v>
      </c>
      <c r="BB189" s="42" t="s">
        <v>481</v>
      </c>
      <c r="BC189" s="42" t="str">
        <f>VLOOKUP(VmSpecs[[#This Row],[Original Hostname (CMO)]],'SSOT Data'!A:AJ,36,FALSE)</f>
        <v>WBC / TMPL</v>
      </c>
      <c r="BD189" s="87"/>
    </row>
    <row r="190" spans="1:56" ht="29" x14ac:dyDescent="0.35">
      <c r="A190" s="42" t="s">
        <v>58</v>
      </c>
      <c r="B190" s="42" t="str">
        <f>_xlfn.XLOOKUP(VmSpecs[[#This Row],[Subnet]],NetworkReference[Subnet],NetworkReference[Subscription])</f>
        <v>NINP-PERF2</v>
      </c>
      <c r="C190" s="43" t="str">
        <f>_xlfn.XLOOKUP(VmSpecs[[#This Row],[Subnet]],NetworkReference[Subnet],NetworkReference[Virtual Network Resource Group])</f>
        <v>rg-pf2-network-aue-001</v>
      </c>
      <c r="D190" s="43" t="str">
        <f>_xlfn.XLOOKUP(VmSpecs[[#This Row],[Subnet]],NetworkReference[Subnet],NetworkReference[Virtual Network])</f>
        <v>vnet-pf2-workload-aue-001</v>
      </c>
      <c r="E190" s="132" t="s">
        <v>59</v>
      </c>
      <c r="F190" s="43" t="str">
        <f>_xlfn.XLOOKUP(VmSpecs[[#This Row],[Subnet]],NetworkReference[Subnet],NetworkReference[Virtual Network Peering])</f>
        <v>vnet-ninp-conn-pnp-hub-aue</v>
      </c>
      <c r="G190" s="43" t="str">
        <f>_xlfn.XLOOKUP(VmSpecs[[#This Row],[Subnet]],NetworkReference[Subnet],NetworkReference[Route Table])</f>
        <v>rt-sn-pfb-aue-pf2-app</v>
      </c>
      <c r="H190" s="43" t="str">
        <f>LOWER(VLOOKUP(VmSpecs[[#This Row],[Original Hostname (CMO)]],'SSOT Data'!A:K,10,FALSE))</f>
        <v>wbc</v>
      </c>
      <c r="I19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90" s="44" t="s">
        <v>99</v>
      </c>
      <c r="K190" s="43" t="str">
        <f>_xlfn.CONCAT("vm",MID(VmSpecs[[#This Row],[Subnet]],4,3),VLOOKUP(VmSpecs[[#This Row],[Subscription]],NetworkReference[#All],2,FALSE),VmSpecs[[#This Row],[Service]],VmSpecs[[#This Row],[VM iteration (nn)]])</f>
        <v>vmpfbpf2wbc07</v>
      </c>
      <c r="L190" s="45" t="s">
        <v>61</v>
      </c>
      <c r="M190" s="43" t="str">
        <f>VmSpecs[[#This Row],[VM Name]]&amp;".ninp.myhealthrecord.gov.au"</f>
        <v>vmpfbpf2wbc07.ninp.myhealthrecord.gov.au</v>
      </c>
      <c r="N190" s="42" t="str">
        <f t="shared" si="2"/>
        <v>nic-001-vmpfbpf2wbc07</v>
      </c>
      <c r="O190" s="94" t="s">
        <v>482</v>
      </c>
      <c r="P190" s="46" t="s">
        <v>63</v>
      </c>
      <c r="Q190" s="78" t="str">
        <f>VLOOKUP(VmSpecs[[#This Row],[Original Hostname (CMO)]],'SSOT Data'!A:E,5,FALSE)</f>
        <v>OEL7.9</v>
      </c>
      <c r="R190" s="42"/>
      <c r="S190" s="42" t="str">
        <f>_xlfn.CONCAT("avail-",LEFT(VmSpecs[[#This Row],[VM Name]],LEN(VmSpecs[[#This Row],[VM Name]])-2))</f>
        <v>avail-vmpfbpf2wbc</v>
      </c>
      <c r="T190" s="42" t="str">
        <f>_xlfn.CONCAT("asg-",LEFT(VmSpecs[[#This Row],[VM Name]],LEN(VmSpecs[[#This Row],[VM Name]])-2))</f>
        <v>asg-vmpfbpf2wbc</v>
      </c>
      <c r="U190" s="42" t="str">
        <f>_xlfn.CONCAT("nsg-",VmSpecs[[#This Row],[Subnet]])</f>
        <v>nsg-sn-pfb-aue-pf2-app</v>
      </c>
      <c r="V190" s="42" t="s">
        <v>64</v>
      </c>
      <c r="W190" s="43" t="str">
        <f>VLOOKUP(VmSpecs[[#This Row],[Original Hostname (CMO)]],'SSOT Data'!A:AX,50,FALSE)</f>
        <v>Standard_D8s_v4</v>
      </c>
      <c r="X190" s="43">
        <v>64</v>
      </c>
      <c r="Y190" s="43" t="s">
        <v>65</v>
      </c>
      <c r="Z190" s="43" t="str">
        <f>"osdisk-"&amp;VmSpecs[[#This Row],[VM Name]]</f>
        <v>osdisk-vmpfbpf2wbc07</v>
      </c>
      <c r="AA190" s="47" t="s">
        <v>66</v>
      </c>
      <c r="AB190" s="73">
        <v>8</v>
      </c>
      <c r="AC190" s="74" t="s">
        <v>65</v>
      </c>
      <c r="AD190" s="84" t="str">
        <f>"disk-"&amp;VmSpecs[[#This Row],[VM Name]]&amp;"-001"</f>
        <v>disk-vmpfbpf2wbc07-001</v>
      </c>
      <c r="AE190" s="73">
        <v>32</v>
      </c>
      <c r="AF190" s="74" t="s">
        <v>65</v>
      </c>
      <c r="AG190" s="85" t="str">
        <f>"disk-"&amp;VmSpecs[[#This Row],[VM Name]]&amp;"-002"</f>
        <v>disk-vmpfbpf2wbc07-002</v>
      </c>
      <c r="AH190" s="59"/>
      <c r="AI190" s="42"/>
      <c r="AJ190" s="42"/>
      <c r="AK190" s="42"/>
      <c r="AL190" s="42" t="str">
        <f>MID(VmSpecs[[#This Row],[VM Name]],3,9)</f>
        <v>pfbpf2wbc</v>
      </c>
      <c r="AM190" s="43" t="str" cm="1">
        <f t="array" ref="AM190">_xlfn.TEXTJOIN(CHAR(10), TRUE, IF(NfsExports[FMO Single VM IP]=VmSpecs[[#This Row],[IP]],NfsExports[FMO Export Summary],""))</f>
        <v>/apps/pcehr 30GB
/TemplatePackage 10GB</v>
      </c>
      <c r="AN190" s="43" t="str" cm="1">
        <f t="array" ref="AN19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90" s="42"/>
      <c r="AP190" s="42" t="str">
        <f>VmSpecs[[#This Row],[Description]]</f>
        <v>WBC / TMPL</v>
      </c>
      <c r="AQ190" s="43"/>
      <c r="AR190" s="43" t="s">
        <v>64</v>
      </c>
      <c r="AS190" s="43" t="s">
        <v>64</v>
      </c>
      <c r="AT190" s="43" t="s">
        <v>64</v>
      </c>
      <c r="AU190" s="43" t="s">
        <v>64</v>
      </c>
      <c r="AV190" s="42" t="s">
        <v>66</v>
      </c>
      <c r="AW190" s="42" t="s">
        <v>67</v>
      </c>
      <c r="AX190" s="42" t="s">
        <v>68</v>
      </c>
      <c r="AY190" s="42" t="s">
        <v>64</v>
      </c>
      <c r="AZ190" s="42" t="s">
        <v>64</v>
      </c>
      <c r="BA19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"WBC / TMPL"
Application Service: "WBC"
Lifecycle: "PFB"</v>
      </c>
      <c r="BB190" s="42" t="s">
        <v>483</v>
      </c>
      <c r="BC190" s="42" t="str">
        <f>VLOOKUP(VmSpecs[[#This Row],[Original Hostname (CMO)]],'SSOT Data'!A:AJ,36,FALSE)</f>
        <v>WBC / TMPL</v>
      </c>
      <c r="BD190" s="87"/>
    </row>
    <row r="191" spans="1:56" ht="29" x14ac:dyDescent="0.35">
      <c r="A191" s="42" t="s">
        <v>58</v>
      </c>
      <c r="B191" s="42" t="str">
        <f>_xlfn.XLOOKUP(VmSpecs[[#This Row],[Subnet]],NetworkReference[Subnet],NetworkReference[Subscription])</f>
        <v>NINP-PERF2</v>
      </c>
      <c r="C191" s="43" t="str">
        <f>_xlfn.XLOOKUP(VmSpecs[[#This Row],[Subnet]],NetworkReference[Subnet],NetworkReference[Virtual Network Resource Group])</f>
        <v>rg-pf2-network-aue-001</v>
      </c>
      <c r="D191" s="43" t="str">
        <f>_xlfn.XLOOKUP(VmSpecs[[#This Row],[Subnet]],NetworkReference[Subnet],NetworkReference[Virtual Network])</f>
        <v>vnet-pf2-workload-aue-001</v>
      </c>
      <c r="E191" s="132" t="s">
        <v>59</v>
      </c>
      <c r="F191" s="43" t="str">
        <f>_xlfn.XLOOKUP(VmSpecs[[#This Row],[Subnet]],NetworkReference[Subnet],NetworkReference[Virtual Network Peering])</f>
        <v>vnet-ninp-conn-pnp-hub-aue</v>
      </c>
      <c r="G191" s="43" t="str">
        <f>_xlfn.XLOOKUP(VmSpecs[[#This Row],[Subnet]],NetworkReference[Subnet],NetworkReference[Route Table])</f>
        <v>rt-sn-pfb-aue-pf2-app</v>
      </c>
      <c r="H191" s="43" t="str">
        <f>LOWER(VLOOKUP(VmSpecs[[#This Row],[Original Hostname (CMO)]],'SSOT Data'!A:K,10,FALSE))</f>
        <v>wbc</v>
      </c>
      <c r="I19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91" s="44" t="s">
        <v>102</v>
      </c>
      <c r="K191" s="43" t="str">
        <f>_xlfn.CONCAT("vm",MID(VmSpecs[[#This Row],[Subnet]],4,3),VLOOKUP(VmSpecs[[#This Row],[Subscription]],NetworkReference[#All],2,FALSE),VmSpecs[[#This Row],[Service]],VmSpecs[[#This Row],[VM iteration (nn)]])</f>
        <v>vmpfbpf2wbc08</v>
      </c>
      <c r="L191" s="45" t="s">
        <v>61</v>
      </c>
      <c r="M191" s="43" t="str">
        <f>VmSpecs[[#This Row],[VM Name]]&amp;".ninp.myhealthrecord.gov.au"</f>
        <v>vmpfbpf2wbc08.ninp.myhealthrecord.gov.au</v>
      </c>
      <c r="N191" s="42" t="str">
        <f t="shared" si="2"/>
        <v>nic-001-vmpfbpf2wbc08</v>
      </c>
      <c r="O191" s="94" t="s">
        <v>484</v>
      </c>
      <c r="P191" s="46" t="s">
        <v>63</v>
      </c>
      <c r="Q191" s="78" t="str">
        <f>VLOOKUP(VmSpecs[[#This Row],[Original Hostname (CMO)]],'SSOT Data'!A:E,5,FALSE)</f>
        <v>OEL7.9</v>
      </c>
      <c r="R191" s="42"/>
      <c r="S191" s="42" t="str">
        <f>_xlfn.CONCAT("avail-",LEFT(VmSpecs[[#This Row],[VM Name]],LEN(VmSpecs[[#This Row],[VM Name]])-2))</f>
        <v>avail-vmpfbpf2wbc</v>
      </c>
      <c r="T191" s="42" t="str">
        <f>_xlfn.CONCAT("asg-",LEFT(VmSpecs[[#This Row],[VM Name]],LEN(VmSpecs[[#This Row],[VM Name]])-2))</f>
        <v>asg-vmpfbpf2wbc</v>
      </c>
      <c r="U191" s="42" t="str">
        <f>_xlfn.CONCAT("nsg-",VmSpecs[[#This Row],[Subnet]])</f>
        <v>nsg-sn-pfb-aue-pf2-app</v>
      </c>
      <c r="V191" s="42" t="s">
        <v>64</v>
      </c>
      <c r="W191" s="43" t="str">
        <f>VLOOKUP(VmSpecs[[#This Row],[Original Hostname (CMO)]],'SSOT Data'!A:AX,50,FALSE)</f>
        <v>Standard_D8s_v4</v>
      </c>
      <c r="X191" s="43">
        <v>64</v>
      </c>
      <c r="Y191" s="43" t="s">
        <v>65</v>
      </c>
      <c r="Z191" s="43" t="str">
        <f>"osdisk-"&amp;VmSpecs[[#This Row],[VM Name]]</f>
        <v>osdisk-vmpfbpf2wbc08</v>
      </c>
      <c r="AA191" s="47" t="s">
        <v>66</v>
      </c>
      <c r="AB191" s="73">
        <v>8</v>
      </c>
      <c r="AC191" s="74" t="s">
        <v>65</v>
      </c>
      <c r="AD191" s="84" t="str">
        <f>"disk-"&amp;VmSpecs[[#This Row],[VM Name]]&amp;"-001"</f>
        <v>disk-vmpfbpf2wbc08-001</v>
      </c>
      <c r="AE191" s="73">
        <v>32</v>
      </c>
      <c r="AF191" s="74" t="s">
        <v>65</v>
      </c>
      <c r="AG191" s="85" t="str">
        <f>"disk-"&amp;VmSpecs[[#This Row],[VM Name]]&amp;"-002"</f>
        <v>disk-vmpfbpf2wbc08-002</v>
      </c>
      <c r="AH191" s="59"/>
      <c r="AI191" s="42"/>
      <c r="AJ191" s="42"/>
      <c r="AK191" s="42"/>
      <c r="AL191" s="42" t="str">
        <f>MID(VmSpecs[[#This Row],[VM Name]],3,9)</f>
        <v>pfbpf2wbc</v>
      </c>
      <c r="AM191" s="43" t="str" cm="1">
        <f t="array" ref="AM191">_xlfn.TEXTJOIN(CHAR(10), TRUE, IF(NfsExports[FMO Single VM IP]=VmSpecs[[#This Row],[IP]],NfsExports[FMO Export Summary],""))</f>
        <v>/apps/pcehr 30GB
/TemplatePackage 10GB</v>
      </c>
      <c r="AN191" s="43" t="str" cm="1">
        <f t="array" ref="AN19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91" s="42"/>
      <c r="AP191" s="42" t="str">
        <f>VmSpecs[[#This Row],[Description]]</f>
        <v>WBC / TMPL</v>
      </c>
      <c r="AQ191" s="43"/>
      <c r="AR191" s="43" t="s">
        <v>64</v>
      </c>
      <c r="AS191" s="43" t="s">
        <v>64</v>
      </c>
      <c r="AT191" s="43" t="s">
        <v>64</v>
      </c>
      <c r="AU191" s="43" t="s">
        <v>64</v>
      </c>
      <c r="AV191" s="42" t="s">
        <v>66</v>
      </c>
      <c r="AW191" s="42" t="s">
        <v>67</v>
      </c>
      <c r="AX191" s="42" t="s">
        <v>68</v>
      </c>
      <c r="AY191" s="42" t="s">
        <v>64</v>
      </c>
      <c r="AZ191" s="42" t="s">
        <v>64</v>
      </c>
      <c r="BA19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"WBC / TMPL"
Application Service: "WBC"
Lifecycle: "PFB"</v>
      </c>
      <c r="BB191" s="42" t="s">
        <v>485</v>
      </c>
      <c r="BC191" s="42" t="str">
        <f>VLOOKUP(VmSpecs[[#This Row],[Original Hostname (CMO)]],'SSOT Data'!A:AJ,36,FALSE)</f>
        <v>WBC / TMPL</v>
      </c>
      <c r="BD191" s="87"/>
    </row>
    <row r="192" spans="1:56" ht="29" x14ac:dyDescent="0.35">
      <c r="A192" s="42" t="s">
        <v>58</v>
      </c>
      <c r="B192" s="42" t="str">
        <f>_xlfn.XLOOKUP(VmSpecs[[#This Row],[Subnet]],NetworkReference[Subnet],NetworkReference[Subscription])</f>
        <v>NINP-PERF2</v>
      </c>
      <c r="C192" s="43" t="str">
        <f>_xlfn.XLOOKUP(VmSpecs[[#This Row],[Subnet]],NetworkReference[Subnet],NetworkReference[Virtual Network Resource Group])</f>
        <v>rg-pf2-network-aue-001</v>
      </c>
      <c r="D192" s="43" t="str">
        <f>_xlfn.XLOOKUP(VmSpecs[[#This Row],[Subnet]],NetworkReference[Subnet],NetworkReference[Virtual Network])</f>
        <v>vnet-pf2-workload-aue-001</v>
      </c>
      <c r="E192" s="132" t="s">
        <v>486</v>
      </c>
      <c r="F192" s="43" t="str">
        <f>_xlfn.XLOOKUP(VmSpecs[[#This Row],[Subnet]],NetworkReference[Subnet],NetworkReference[Virtual Network Peering])</f>
        <v>vnet-ninp-conn-pnp-hub-aue</v>
      </c>
      <c r="G192" s="43" t="str">
        <f>_xlfn.XLOOKUP(VmSpecs[[#This Row],[Subnet]],NetworkReference[Subnet],NetworkReference[Route Table])</f>
        <v>rt-sn-pfb-aue-pf2-database</v>
      </c>
      <c r="H192" s="43" t="str">
        <f>LOWER(VLOOKUP(VmSpecs[[#This Row],[Original Hostname (CMO)]],'SSOT Data'!A:K,10,FALSE))</f>
        <v>nes</v>
      </c>
      <c r="I19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rg-pfb-pf2-database-aue-001</v>
      </c>
      <c r="J192" s="44" t="s">
        <v>75</v>
      </c>
      <c r="K192" s="134" t="str">
        <f>_xlfn.CONCAT("vm",MID(VmSpecs[[#This Row],[Subnet]],4,3),VLOOKUP(VmSpecs[[#This Row],[Subscription]],NetworkReference[#All],2,FALSE),VmSpecs[[#This Row],[Service]],VmSpecs[[#This Row],[VM iteration (nn)]])</f>
        <v>vmpfbpf2nes03</v>
      </c>
      <c r="L192" s="45" t="s">
        <v>61</v>
      </c>
      <c r="M192" s="43" t="str">
        <f>VmSpecs[[#This Row],[VM Name]]&amp;".ninp.myhealthrecord.gov.au"</f>
        <v>vmpfbpf2nes03.ninp.myhealthrecord.gov.au</v>
      </c>
      <c r="N192" s="42" t="str">
        <f t="shared" si="2"/>
        <v>nic-001-vmpfbpf2nes03</v>
      </c>
      <c r="O192" s="46" t="s">
        <v>487</v>
      </c>
      <c r="P192" s="46" t="s">
        <v>63</v>
      </c>
      <c r="Q192" s="42" t="str">
        <f>VLOOKUP(VmSpecs[[#This Row],[Original Hostname (CMO)]],'SSOT Data'!A:E,5,FALSE)</f>
        <v>OEL7.9</v>
      </c>
      <c r="R192" s="42"/>
      <c r="S192" s="42" t="str">
        <f>_xlfn.CONCAT("avail-",LEFT(VmSpecs[[#This Row],[VM Name]],LEN(VmSpecs[[#This Row],[VM Name]])-2),"-03")</f>
        <v>avail-vmpfbpf2nes-03</v>
      </c>
      <c r="T192" s="42" t="str">
        <f>_xlfn.CONCAT("asg-",LEFT(VmSpecs[[#This Row],[VM Name]],LEN(VmSpecs[[#This Row],[VM Name]])-2))</f>
        <v>asg-vmpfbpf2nes</v>
      </c>
      <c r="U192" s="42" t="str">
        <f>_xlfn.CONCAT("nsg-",VmSpecs[[#This Row],[Subnet]])</f>
        <v>nsg-sn-pfb-aue-pf2-database</v>
      </c>
      <c r="V192" s="42"/>
      <c r="W192" s="43" t="str">
        <f>VLOOKUP(VmSpecs[[#This Row],[Original Hostname (CMO)]],'SSOT Data'!A:AX,50,FALSE)</f>
        <v>Standard_D2s_v4</v>
      </c>
      <c r="X192" s="43">
        <v>64</v>
      </c>
      <c r="Y192" s="43" t="s">
        <v>65</v>
      </c>
      <c r="Z192" s="43" t="str">
        <f>"osdisk-"&amp;VmSpecs[[#This Row],[VM Name]]</f>
        <v>osdisk-vmpfbpf2nes03</v>
      </c>
      <c r="AA192" s="47" t="s">
        <v>66</v>
      </c>
      <c r="AB192" s="73">
        <v>8</v>
      </c>
      <c r="AC192" s="74" t="s">
        <v>65</v>
      </c>
      <c r="AD192" s="84" t="str">
        <f>"disk-"&amp;VmSpecs[[#This Row],[VM Name]]&amp;"-001"</f>
        <v>disk-vmpfbpf2nes03-001</v>
      </c>
      <c r="AE192" s="73">
        <v>32</v>
      </c>
      <c r="AF192" s="74" t="s">
        <v>65</v>
      </c>
      <c r="AG192" s="85" t="str">
        <f>"disk-"&amp;VmSpecs[[#This Row],[VM Name]]&amp;"-002"</f>
        <v>disk-vmpfbpf2nes03-002</v>
      </c>
      <c r="AH192" s="59" t="s">
        <v>285</v>
      </c>
      <c r="AI192" s="42"/>
      <c r="AJ192" s="42"/>
      <c r="AK192" s="42"/>
      <c r="AL192" s="42" t="str">
        <f>MID(VmSpecs[[#This Row],[VM Name]],3,9)</f>
        <v>pfbpf2nes</v>
      </c>
      <c r="AM192" s="42" t="str" cm="1">
        <f t="array" ref="AM192">_xlfn.TEXTJOIN(CHAR(10), TRUE, IF(NfsExports[FMO Single VM IP]=VmSpecs[[#This Row],[IP]],NfsExports[FMO Export Summary],""))</f>
        <v>/apps/pcehr 30GB
/opt 30GB</v>
      </c>
      <c r="AN192" s="43" t="str" cm="1">
        <f t="array" ref="AN19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92" s="42"/>
      <c r="AP192" s="42" t="str">
        <f>VmSpecs[[#This Row],[Description]]</f>
        <v>DB Nessus Scanner</v>
      </c>
      <c r="AQ192" s="43"/>
      <c r="AR192" s="43"/>
      <c r="AS192" s="43"/>
      <c r="AT192" s="43"/>
      <c r="AU192" s="43"/>
      <c r="AV192" s="42"/>
      <c r="AW192" s="42"/>
      <c r="AX192" s="42"/>
      <c r="AY192" s="42"/>
      <c r="AZ192" s="42"/>
      <c r="BA19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"DB Nessus Scanner"
Application Service: "NES"
Lifecycle: "PFB"</v>
      </c>
      <c r="BB192" s="42" t="s">
        <v>488</v>
      </c>
      <c r="BC192" s="42" t="str">
        <f>VLOOKUP(VmSpecs[[#This Row],[Original Hostname (CMO)]],'SSOT Data'!A:AJ,36,FALSE)</f>
        <v>DB Nessus Scanner</v>
      </c>
      <c r="BD192" s="87"/>
    </row>
    <row r="193" spans="1:56" ht="29" x14ac:dyDescent="0.35">
      <c r="A193" s="42" t="s">
        <v>58</v>
      </c>
      <c r="B193" s="42" t="str">
        <f>_xlfn.XLOOKUP(VmSpecs[[#This Row],[Subnet]],NetworkReference[Subnet],NetworkReference[Subscription])</f>
        <v>NINP-PERF2</v>
      </c>
      <c r="C193" s="43" t="str">
        <f>_xlfn.XLOOKUP(VmSpecs[[#This Row],[Subnet]],NetworkReference[Subnet],NetworkReference[Virtual Network Resource Group])</f>
        <v>rg-pf2-network-aue-001</v>
      </c>
      <c r="D193" s="43" t="str">
        <f>_xlfn.XLOOKUP(VmSpecs[[#This Row],[Subnet]],NetworkReference[Subnet],NetworkReference[Virtual Network])</f>
        <v>vnet-pf2-workload-aue-001</v>
      </c>
      <c r="E193" s="132" t="s">
        <v>489</v>
      </c>
      <c r="F193" s="43" t="str">
        <f>_xlfn.XLOOKUP(VmSpecs[[#This Row],[Subnet]],NetworkReference[Subnet],NetworkReference[Virtual Network Peering])</f>
        <v>vnet-ninp-conn-pnp-hub-aue</v>
      </c>
      <c r="G193" s="43" t="str">
        <f>_xlfn.XLOOKUP(VmSpecs[[#This Row],[Subnet]],NetworkReference[Subnet],NetworkReference[Route Table])</f>
        <v>rt-sn-pfb-aue-pf2-web</v>
      </c>
      <c r="H193" s="43" t="str">
        <f>LOWER(VLOOKUP(VmSpecs[[#This Row],[Original Hostname (CMO)]],'SSOT Data'!A:K,10,FALSE))</f>
        <v>aho</v>
      </c>
      <c r="I19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193" s="44" t="s">
        <v>60</v>
      </c>
      <c r="K193" s="43" t="str">
        <f>_xlfn.CONCAT("vm",MID(VmSpecs[[#This Row],[Subnet]],4,3),VLOOKUP(VmSpecs[[#This Row],[Subscription]],NetworkReference[#All],2,FALSE),VmSpecs[[#This Row],[Service]],VmSpecs[[#This Row],[VM iteration (nn)]])</f>
        <v>vmpfbpf2aho01</v>
      </c>
      <c r="L193" s="45" t="s">
        <v>61</v>
      </c>
      <c r="M193" s="43" t="str">
        <f>VmSpecs[[#This Row],[VM Name]]&amp;".ninp.myhealthrecord.gov.au"</f>
        <v>vmpfbpf2aho01.ninp.myhealthrecord.gov.au</v>
      </c>
      <c r="N193" s="42" t="str">
        <f t="shared" si="2"/>
        <v>nic-001-vmpfbpf2aho01</v>
      </c>
      <c r="O193" s="106" t="s">
        <v>490</v>
      </c>
      <c r="P193" s="46" t="s">
        <v>63</v>
      </c>
      <c r="Q193" s="78" t="str">
        <f>VLOOKUP(VmSpecs[[#This Row],[Original Hostname (CMO)]],'SSOT Data'!A:E,5,FALSE)</f>
        <v>OEL7.9</v>
      </c>
      <c r="R193" s="42"/>
      <c r="S193" s="42" t="str">
        <f>_xlfn.CONCAT("avail-",LEFT(VmSpecs[[#This Row],[VM Name]],LEN(VmSpecs[[#This Row],[VM Name]])-2))</f>
        <v>avail-vmpfbpf2aho</v>
      </c>
      <c r="T193" s="42" t="str">
        <f>_xlfn.CONCAT("asg-",LEFT(VmSpecs[[#This Row],[VM Name]],LEN(VmSpecs[[#This Row],[VM Name]])-2))</f>
        <v>asg-vmpfbpf2aho</v>
      </c>
      <c r="U193" s="42" t="str">
        <f>_xlfn.CONCAT("nsg-",VmSpecs[[#This Row],[Subnet]])</f>
        <v>nsg-sn-pfb-aue-pf2-web</v>
      </c>
      <c r="V193" s="42"/>
      <c r="W193" s="43" t="str">
        <f>VLOOKUP(VmSpecs[[#This Row],[Original Hostname (CMO)]],'SSOT Data'!A:AX,50,FALSE)</f>
        <v>Standard_D4s_v4</v>
      </c>
      <c r="X193" s="43">
        <v>64</v>
      </c>
      <c r="Y193" s="43" t="s">
        <v>65</v>
      </c>
      <c r="Z193" s="43" t="str">
        <f>"osdisk-"&amp;VmSpecs[[#This Row],[VM Name]]</f>
        <v>osdisk-vmpfbpf2aho01</v>
      </c>
      <c r="AA193" s="47" t="s">
        <v>66</v>
      </c>
      <c r="AB193" s="73">
        <v>8</v>
      </c>
      <c r="AC193" s="74" t="s">
        <v>65</v>
      </c>
      <c r="AD193" s="84" t="str">
        <f>"disk-"&amp;VmSpecs[[#This Row],[VM Name]]&amp;"-001"</f>
        <v>disk-vmpfbpf2aho01-001</v>
      </c>
      <c r="AE193" s="73">
        <v>32</v>
      </c>
      <c r="AF193" s="74" t="s">
        <v>65</v>
      </c>
      <c r="AG193" s="85" t="str">
        <f>"disk-"&amp;VmSpecs[[#This Row],[VM Name]]&amp;"-002"</f>
        <v>disk-vmpfbpf2aho01-002</v>
      </c>
      <c r="AH193" s="59"/>
      <c r="AI193" s="42"/>
      <c r="AJ193" s="42"/>
      <c r="AK193" s="42"/>
      <c r="AL193" s="42" t="str">
        <f>MID(VmSpecs[[#This Row],[VM Name]],3,9)</f>
        <v>pfbpf2aho</v>
      </c>
      <c r="AM193" s="43" t="str" cm="1">
        <f t="array" ref="AM193">_xlfn.TEXTJOIN(CHAR(10), TRUE, IF(NfsExports[FMO Single VM IP]=VmSpecs[[#This Row],[IP]],NfsExports[FMO Export Summary],""))</f>
        <v>/apps/pcehr 30GB</v>
      </c>
      <c r="AN193" s="43" t="str" cm="1">
        <f t="array" ref="AN19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93" s="42"/>
      <c r="AP193" s="42" t="str">
        <f>VmSpecs[[#This Row],[Description]]</f>
        <v>OHS-API Gatway N1</v>
      </c>
      <c r="AQ193" s="43"/>
      <c r="AR193" s="43" t="s">
        <v>64</v>
      </c>
      <c r="AS193" s="43" t="s">
        <v>64</v>
      </c>
      <c r="AT193" s="43" t="s">
        <v>64</v>
      </c>
      <c r="AU193" s="43" t="s">
        <v>64</v>
      </c>
      <c r="AV193" s="42" t="s">
        <v>66</v>
      </c>
      <c r="AW193" s="42" t="s">
        <v>67</v>
      </c>
      <c r="AX193" s="42" t="s">
        <v>68</v>
      </c>
      <c r="AY193" s="42" t="s">
        <v>64</v>
      </c>
      <c r="AZ193" s="42" t="s">
        <v>64</v>
      </c>
      <c r="BA19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"OHS-API Gatway N1"
Application Service: "AHO"
Lifecycle: "PFB"</v>
      </c>
      <c r="BB193" s="42" t="s">
        <v>491</v>
      </c>
      <c r="BC193" s="42" t="str">
        <f>VLOOKUP(VmSpecs[[#This Row],[Original Hostname (CMO)]],'SSOT Data'!A:AJ,36,FALSE)</f>
        <v>OHS-API Gatway N1</v>
      </c>
      <c r="BD193" s="87"/>
    </row>
    <row r="194" spans="1:56" ht="29" x14ac:dyDescent="0.35">
      <c r="A194" s="42" t="s">
        <v>58</v>
      </c>
      <c r="B194" s="42" t="str">
        <f>_xlfn.XLOOKUP(VmSpecs[[#This Row],[Subnet]],NetworkReference[Subnet],NetworkReference[Subscription])</f>
        <v>NINP-PERF2</v>
      </c>
      <c r="C194" s="43" t="str">
        <f>_xlfn.XLOOKUP(VmSpecs[[#This Row],[Subnet]],NetworkReference[Subnet],NetworkReference[Virtual Network Resource Group])</f>
        <v>rg-pf2-network-aue-001</v>
      </c>
      <c r="D194" s="43" t="str">
        <f>_xlfn.XLOOKUP(VmSpecs[[#This Row],[Subnet]],NetworkReference[Subnet],NetworkReference[Virtual Network])</f>
        <v>vnet-pf2-workload-aue-001</v>
      </c>
      <c r="E194" s="132" t="s">
        <v>489</v>
      </c>
      <c r="F194" s="43" t="str">
        <f>_xlfn.XLOOKUP(VmSpecs[[#This Row],[Subnet]],NetworkReference[Subnet],NetworkReference[Virtual Network Peering])</f>
        <v>vnet-ninp-conn-pnp-hub-aue</v>
      </c>
      <c r="G194" s="43" t="str">
        <f>_xlfn.XLOOKUP(VmSpecs[[#This Row],[Subnet]],NetworkReference[Subnet],NetworkReference[Route Table])</f>
        <v>rt-sn-pfb-aue-pf2-web</v>
      </c>
      <c r="H194" s="43" t="str">
        <f>LOWER(VLOOKUP(VmSpecs[[#This Row],[Original Hostname (CMO)]],'SSOT Data'!A:K,10,FALSE))</f>
        <v>aho</v>
      </c>
      <c r="I19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194" s="44" t="s">
        <v>72</v>
      </c>
      <c r="K194" s="43" t="str">
        <f>_xlfn.CONCAT("vm",MID(VmSpecs[[#This Row],[Subnet]],4,3),VLOOKUP(VmSpecs[[#This Row],[Subscription]],NetworkReference[#All],2,FALSE),VmSpecs[[#This Row],[Service]],VmSpecs[[#This Row],[VM iteration (nn)]])</f>
        <v>vmpfbpf2aho02</v>
      </c>
      <c r="L194" s="45" t="s">
        <v>61</v>
      </c>
      <c r="M194" s="43" t="str">
        <f>VmSpecs[[#This Row],[VM Name]]&amp;".ninp.myhealthrecord.gov.au"</f>
        <v>vmpfbpf2aho02.ninp.myhealthrecord.gov.au</v>
      </c>
      <c r="N194" s="42" t="str">
        <f t="shared" si="2"/>
        <v>nic-001-vmpfbpf2aho02</v>
      </c>
      <c r="O194" s="106" t="s">
        <v>492</v>
      </c>
      <c r="P194" s="46" t="s">
        <v>63</v>
      </c>
      <c r="Q194" s="78" t="str">
        <f>VLOOKUP(VmSpecs[[#This Row],[Original Hostname (CMO)]],'SSOT Data'!A:E,5,FALSE)</f>
        <v>OEL7.9</v>
      </c>
      <c r="R194" s="42"/>
      <c r="S194" s="42" t="str">
        <f>_xlfn.CONCAT("avail-",LEFT(VmSpecs[[#This Row],[VM Name]],LEN(VmSpecs[[#This Row],[VM Name]])-2))</f>
        <v>avail-vmpfbpf2aho</v>
      </c>
      <c r="T194" s="42" t="str">
        <f>_xlfn.CONCAT("asg-",LEFT(VmSpecs[[#This Row],[VM Name]],LEN(VmSpecs[[#This Row],[VM Name]])-2))</f>
        <v>asg-vmpfbpf2aho</v>
      </c>
      <c r="U194" s="42" t="str">
        <f>_xlfn.CONCAT("nsg-",VmSpecs[[#This Row],[Subnet]])</f>
        <v>nsg-sn-pfb-aue-pf2-web</v>
      </c>
      <c r="V194" s="42"/>
      <c r="W194" s="43" t="str">
        <f>VLOOKUP(VmSpecs[[#This Row],[Original Hostname (CMO)]],'SSOT Data'!A:AX,50,FALSE)</f>
        <v>Standard_D4s_v4</v>
      </c>
      <c r="X194" s="43">
        <v>64</v>
      </c>
      <c r="Y194" s="43" t="s">
        <v>65</v>
      </c>
      <c r="Z194" s="43" t="str">
        <f>"osdisk-"&amp;VmSpecs[[#This Row],[VM Name]]</f>
        <v>osdisk-vmpfbpf2aho02</v>
      </c>
      <c r="AA194" s="47" t="s">
        <v>66</v>
      </c>
      <c r="AB194" s="73">
        <v>8</v>
      </c>
      <c r="AC194" s="74" t="s">
        <v>65</v>
      </c>
      <c r="AD194" s="84" t="str">
        <f>"disk-"&amp;VmSpecs[[#This Row],[VM Name]]&amp;"-001"</f>
        <v>disk-vmpfbpf2aho02-001</v>
      </c>
      <c r="AE194" s="73">
        <v>32</v>
      </c>
      <c r="AF194" s="74" t="s">
        <v>65</v>
      </c>
      <c r="AG194" s="85" t="str">
        <f>"disk-"&amp;VmSpecs[[#This Row],[VM Name]]&amp;"-002"</f>
        <v>disk-vmpfbpf2aho02-002</v>
      </c>
      <c r="AH194" s="59"/>
      <c r="AI194" s="42"/>
      <c r="AJ194" s="42"/>
      <c r="AK194" s="42"/>
      <c r="AL194" s="42" t="str">
        <f>MID(VmSpecs[[#This Row],[VM Name]],3,9)</f>
        <v>pfbpf2aho</v>
      </c>
      <c r="AM194" s="43" t="str" cm="1">
        <f t="array" ref="AM194">_xlfn.TEXTJOIN(CHAR(10), TRUE, IF(NfsExports[FMO Single VM IP]=VmSpecs[[#This Row],[IP]],NfsExports[FMO Export Summary],""))</f>
        <v>/apps/pcehr 30GB</v>
      </c>
      <c r="AN194" s="43" t="str" cm="1">
        <f t="array" ref="AN19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94" s="42"/>
      <c r="AP194" s="42" t="str">
        <f>VmSpecs[[#This Row],[Description]]</f>
        <v>OHS-API Gatway N2</v>
      </c>
      <c r="AQ194" s="43"/>
      <c r="AR194" s="43" t="s">
        <v>64</v>
      </c>
      <c r="AS194" s="43" t="s">
        <v>64</v>
      </c>
      <c r="AT194" s="43" t="s">
        <v>64</v>
      </c>
      <c r="AU194" s="43" t="s">
        <v>64</v>
      </c>
      <c r="AV194" s="42" t="s">
        <v>66</v>
      </c>
      <c r="AW194" s="42" t="s">
        <v>67</v>
      </c>
      <c r="AX194" s="42" t="s">
        <v>68</v>
      </c>
      <c r="AY194" s="42" t="s">
        <v>64</v>
      </c>
      <c r="AZ194" s="42" t="s">
        <v>64</v>
      </c>
      <c r="BA19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"OHS-API Gatway N2"
Application Service: "AHO"
Lifecycle: "PFB"</v>
      </c>
      <c r="BB194" s="42" t="s">
        <v>493</v>
      </c>
      <c r="BC194" s="42" t="str">
        <f>VLOOKUP(VmSpecs[[#This Row],[Original Hostname (CMO)]],'SSOT Data'!A:AJ,36,FALSE)</f>
        <v>OHS-API Gatway N2</v>
      </c>
      <c r="BD194" s="87"/>
    </row>
    <row r="195" spans="1:56" ht="29" x14ac:dyDescent="0.35">
      <c r="A195" s="42" t="s">
        <v>58</v>
      </c>
      <c r="B195" s="42" t="str">
        <f>_xlfn.XLOOKUP(VmSpecs[[#This Row],[Subnet]],NetworkReference[Subnet],NetworkReference[Subscription])</f>
        <v>NINP-PERF2</v>
      </c>
      <c r="C195" s="43" t="str">
        <f>_xlfn.XLOOKUP(VmSpecs[[#This Row],[Subnet]],NetworkReference[Subnet],NetworkReference[Virtual Network Resource Group])</f>
        <v>rg-pf2-network-aue-001</v>
      </c>
      <c r="D195" s="43" t="str">
        <f>_xlfn.XLOOKUP(VmSpecs[[#This Row],[Subnet]],NetworkReference[Subnet],NetworkReference[Virtual Network])</f>
        <v>vnet-pf2-workload-aue-001</v>
      </c>
      <c r="E195" s="132" t="s">
        <v>489</v>
      </c>
      <c r="F195" s="43" t="str">
        <f>_xlfn.XLOOKUP(VmSpecs[[#This Row],[Subnet]],NetworkReference[Subnet],NetworkReference[Virtual Network Peering])</f>
        <v>vnet-ninp-conn-pnp-hub-aue</v>
      </c>
      <c r="G195" s="43" t="str">
        <f>_xlfn.XLOOKUP(VmSpecs[[#This Row],[Subnet]],NetworkReference[Subnet],NetworkReference[Route Table])</f>
        <v>rt-sn-pfb-aue-pf2-web</v>
      </c>
      <c r="H195" s="43" t="str">
        <f>LOWER(VLOOKUP(VmSpecs[[#This Row],[Original Hostname (CMO)]],'SSOT Data'!A:K,10,FALSE))</f>
        <v>aho</v>
      </c>
      <c r="I19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195" s="44" t="s">
        <v>75</v>
      </c>
      <c r="K195" s="43" t="str">
        <f>_xlfn.CONCAT("vm",MID(VmSpecs[[#This Row],[Subnet]],4,3),VLOOKUP(VmSpecs[[#This Row],[Subscription]],NetworkReference[#All],2,FALSE),VmSpecs[[#This Row],[Service]],VmSpecs[[#This Row],[VM iteration (nn)]])</f>
        <v>vmpfbpf2aho03</v>
      </c>
      <c r="L195" s="45" t="s">
        <v>61</v>
      </c>
      <c r="M195" s="43" t="str">
        <f>VmSpecs[[#This Row],[VM Name]]&amp;".ninp.myhealthrecord.gov.au"</f>
        <v>vmpfbpf2aho03.ninp.myhealthrecord.gov.au</v>
      </c>
      <c r="N195" s="42" t="str">
        <f t="shared" ref="N195:N258" si="3">"nic-001-"&amp;K195</f>
        <v>nic-001-vmpfbpf2aho03</v>
      </c>
      <c r="O195" s="106" t="s">
        <v>494</v>
      </c>
      <c r="P195" s="46" t="s">
        <v>63</v>
      </c>
      <c r="Q195" s="78" t="str">
        <f>VLOOKUP(VmSpecs[[#This Row],[Original Hostname (CMO)]],'SSOT Data'!A:E,5,FALSE)</f>
        <v>OEL7.9</v>
      </c>
      <c r="R195" s="42"/>
      <c r="S195" s="42" t="str">
        <f>_xlfn.CONCAT("avail-",LEFT(VmSpecs[[#This Row],[VM Name]],LEN(VmSpecs[[#This Row],[VM Name]])-2))</f>
        <v>avail-vmpfbpf2aho</v>
      </c>
      <c r="T195" s="42" t="str">
        <f>_xlfn.CONCAT("asg-",LEFT(VmSpecs[[#This Row],[VM Name]],LEN(VmSpecs[[#This Row],[VM Name]])-2))</f>
        <v>asg-vmpfbpf2aho</v>
      </c>
      <c r="U195" s="42" t="str">
        <f>_xlfn.CONCAT("nsg-",VmSpecs[[#This Row],[Subnet]])</f>
        <v>nsg-sn-pfb-aue-pf2-web</v>
      </c>
      <c r="V195" s="42"/>
      <c r="W195" s="43" t="str">
        <f>VLOOKUP(VmSpecs[[#This Row],[Original Hostname (CMO)]],'SSOT Data'!A:AX,50,FALSE)</f>
        <v>Standard_D4s_v4</v>
      </c>
      <c r="X195" s="43">
        <v>64</v>
      </c>
      <c r="Y195" s="43" t="s">
        <v>65</v>
      </c>
      <c r="Z195" s="43" t="str">
        <f>"osdisk-"&amp;VmSpecs[[#This Row],[VM Name]]</f>
        <v>osdisk-vmpfbpf2aho03</v>
      </c>
      <c r="AA195" s="47" t="s">
        <v>66</v>
      </c>
      <c r="AB195" s="73">
        <v>8</v>
      </c>
      <c r="AC195" s="74" t="s">
        <v>65</v>
      </c>
      <c r="AD195" s="84" t="str">
        <f>"disk-"&amp;VmSpecs[[#This Row],[VM Name]]&amp;"-001"</f>
        <v>disk-vmpfbpf2aho03-001</v>
      </c>
      <c r="AE195" s="73">
        <v>32</v>
      </c>
      <c r="AF195" s="74" t="s">
        <v>65</v>
      </c>
      <c r="AG195" s="85" t="str">
        <f>"disk-"&amp;VmSpecs[[#This Row],[VM Name]]&amp;"-002"</f>
        <v>disk-vmpfbpf2aho03-002</v>
      </c>
      <c r="AH195" s="59"/>
      <c r="AI195" s="42"/>
      <c r="AJ195" s="42"/>
      <c r="AK195" s="42"/>
      <c r="AL195" s="42" t="str">
        <f>MID(VmSpecs[[#This Row],[VM Name]],3,9)</f>
        <v>pfbpf2aho</v>
      </c>
      <c r="AM195" s="43" t="str" cm="1">
        <f t="array" ref="AM195">_xlfn.TEXTJOIN(CHAR(10), TRUE, IF(NfsExports[FMO Single VM IP]=VmSpecs[[#This Row],[IP]],NfsExports[FMO Export Summary],""))</f>
        <v>/apps/pcehr 30GB</v>
      </c>
      <c r="AN195" s="43" t="str" cm="1">
        <f t="array" ref="AN19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95" s="42"/>
      <c r="AP195" s="42" t="str">
        <f>VmSpecs[[#This Row],[Description]]</f>
        <v>OHS-API Gatway N3</v>
      </c>
      <c r="AQ195" s="43"/>
      <c r="AR195" s="43" t="s">
        <v>64</v>
      </c>
      <c r="AS195" s="43" t="s">
        <v>64</v>
      </c>
      <c r="AT195" s="43" t="s">
        <v>64</v>
      </c>
      <c r="AU195" s="43" t="s">
        <v>64</v>
      </c>
      <c r="AV195" s="42" t="s">
        <v>66</v>
      </c>
      <c r="AW195" s="42" t="s">
        <v>67</v>
      </c>
      <c r="AX195" s="42" t="s">
        <v>68</v>
      </c>
      <c r="AY195" s="42" t="s">
        <v>64</v>
      </c>
      <c r="AZ195" s="42" t="s">
        <v>64</v>
      </c>
      <c r="BA19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"OHS-API Gatway N3"
Application Service: "AHO"
Lifecycle: "PFB"</v>
      </c>
      <c r="BB195" s="42" t="s">
        <v>495</v>
      </c>
      <c r="BC195" s="42" t="str">
        <f>VLOOKUP(VmSpecs[[#This Row],[Original Hostname (CMO)]],'SSOT Data'!A:AJ,36,FALSE)</f>
        <v>OHS-API Gatway N3</v>
      </c>
      <c r="BD195" s="87"/>
    </row>
    <row r="196" spans="1:56" ht="29" x14ac:dyDescent="0.35">
      <c r="A196" s="42" t="s">
        <v>58</v>
      </c>
      <c r="B196" s="42" t="str">
        <f>_xlfn.XLOOKUP(VmSpecs[[#This Row],[Subnet]],NetworkReference[Subnet],NetworkReference[Subscription])</f>
        <v>NINP-PERF2</v>
      </c>
      <c r="C196" s="43" t="str">
        <f>_xlfn.XLOOKUP(VmSpecs[[#This Row],[Subnet]],NetworkReference[Subnet],NetworkReference[Virtual Network Resource Group])</f>
        <v>rg-pf2-network-aue-001</v>
      </c>
      <c r="D196" s="43" t="str">
        <f>_xlfn.XLOOKUP(VmSpecs[[#This Row],[Subnet]],NetworkReference[Subnet],NetworkReference[Virtual Network])</f>
        <v>vnet-pf2-workload-aue-001</v>
      </c>
      <c r="E196" s="132" t="s">
        <v>489</v>
      </c>
      <c r="F196" s="43" t="str">
        <f>_xlfn.XLOOKUP(VmSpecs[[#This Row],[Subnet]],NetworkReference[Subnet],NetworkReference[Virtual Network Peering])</f>
        <v>vnet-ninp-conn-pnp-hub-aue</v>
      </c>
      <c r="G196" s="43" t="str">
        <f>_xlfn.XLOOKUP(VmSpecs[[#This Row],[Subnet]],NetworkReference[Subnet],NetworkReference[Route Table])</f>
        <v>rt-sn-pfb-aue-pf2-web</v>
      </c>
      <c r="H196" s="43" t="str">
        <f>LOWER(VLOOKUP(VmSpecs[[#This Row],[Original Hostname (CMO)]],'SSOT Data'!A:K,10,FALSE))</f>
        <v>aho</v>
      </c>
      <c r="I19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196" s="44" t="s">
        <v>78</v>
      </c>
      <c r="K196" s="43" t="str">
        <f>_xlfn.CONCAT("vm",MID(VmSpecs[[#This Row],[Subnet]],4,3),VLOOKUP(VmSpecs[[#This Row],[Subscription]],NetworkReference[#All],2,FALSE),VmSpecs[[#This Row],[Service]],VmSpecs[[#This Row],[VM iteration (nn)]])</f>
        <v>vmpfbpf2aho04</v>
      </c>
      <c r="L196" s="45" t="s">
        <v>61</v>
      </c>
      <c r="M196" s="43" t="str">
        <f>VmSpecs[[#This Row],[VM Name]]&amp;".ninp.myhealthrecord.gov.au"</f>
        <v>vmpfbpf2aho04.ninp.myhealthrecord.gov.au</v>
      </c>
      <c r="N196" s="42" t="str">
        <f t="shared" si="3"/>
        <v>nic-001-vmpfbpf2aho04</v>
      </c>
      <c r="O196" s="106" t="s">
        <v>496</v>
      </c>
      <c r="P196" s="46" t="s">
        <v>63</v>
      </c>
      <c r="Q196" s="78" t="str">
        <f>VLOOKUP(VmSpecs[[#This Row],[Original Hostname (CMO)]],'SSOT Data'!A:E,5,FALSE)</f>
        <v>OEL7.9</v>
      </c>
      <c r="R196" s="42"/>
      <c r="S196" s="42" t="str">
        <f>_xlfn.CONCAT("avail-",LEFT(VmSpecs[[#This Row],[VM Name]],LEN(VmSpecs[[#This Row],[VM Name]])-2))</f>
        <v>avail-vmpfbpf2aho</v>
      </c>
      <c r="T196" s="42" t="str">
        <f>_xlfn.CONCAT("asg-",LEFT(VmSpecs[[#This Row],[VM Name]],LEN(VmSpecs[[#This Row],[VM Name]])-2))</f>
        <v>asg-vmpfbpf2aho</v>
      </c>
      <c r="U196" s="42" t="str">
        <f>_xlfn.CONCAT("nsg-",VmSpecs[[#This Row],[Subnet]])</f>
        <v>nsg-sn-pfb-aue-pf2-web</v>
      </c>
      <c r="V196" s="42"/>
      <c r="W196" s="43" t="str">
        <f>VLOOKUP(VmSpecs[[#This Row],[Original Hostname (CMO)]],'SSOT Data'!A:AX,50,FALSE)</f>
        <v>Standard_D4s_v4</v>
      </c>
      <c r="X196" s="43">
        <v>64</v>
      </c>
      <c r="Y196" s="43" t="s">
        <v>65</v>
      </c>
      <c r="Z196" s="43" t="str">
        <f>"osdisk-"&amp;VmSpecs[[#This Row],[VM Name]]</f>
        <v>osdisk-vmpfbpf2aho04</v>
      </c>
      <c r="AA196" s="47" t="s">
        <v>66</v>
      </c>
      <c r="AB196" s="73">
        <v>8</v>
      </c>
      <c r="AC196" s="74" t="s">
        <v>65</v>
      </c>
      <c r="AD196" s="84" t="str">
        <f>"disk-"&amp;VmSpecs[[#This Row],[VM Name]]&amp;"-001"</f>
        <v>disk-vmpfbpf2aho04-001</v>
      </c>
      <c r="AE196" s="73">
        <v>32</v>
      </c>
      <c r="AF196" s="74" t="s">
        <v>65</v>
      </c>
      <c r="AG196" s="85" t="str">
        <f>"disk-"&amp;VmSpecs[[#This Row],[VM Name]]&amp;"-002"</f>
        <v>disk-vmpfbpf2aho04-002</v>
      </c>
      <c r="AH196" s="59"/>
      <c r="AI196" s="42"/>
      <c r="AJ196" s="42"/>
      <c r="AK196" s="42"/>
      <c r="AL196" s="42" t="str">
        <f>MID(VmSpecs[[#This Row],[VM Name]],3,9)</f>
        <v>pfbpf2aho</v>
      </c>
      <c r="AM196" s="43" t="str" cm="1">
        <f t="array" ref="AM196">_xlfn.TEXTJOIN(CHAR(10), TRUE, IF(NfsExports[FMO Single VM IP]=VmSpecs[[#This Row],[IP]],NfsExports[FMO Export Summary],""))</f>
        <v>/apps/pcehr 30GB</v>
      </c>
      <c r="AN196" s="43" t="str" cm="1">
        <f t="array" ref="AN19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96" s="42"/>
      <c r="AP196" s="42" t="str">
        <f>VmSpecs[[#This Row],[Description]]</f>
        <v>OHS-API Gatway N4</v>
      </c>
      <c r="AQ196" s="43"/>
      <c r="AR196" s="43" t="s">
        <v>64</v>
      </c>
      <c r="AS196" s="43" t="s">
        <v>64</v>
      </c>
      <c r="AT196" s="43" t="s">
        <v>64</v>
      </c>
      <c r="AU196" s="43" t="s">
        <v>64</v>
      </c>
      <c r="AV196" s="42" t="s">
        <v>66</v>
      </c>
      <c r="AW196" s="42" t="s">
        <v>67</v>
      </c>
      <c r="AX196" s="42" t="s">
        <v>68</v>
      </c>
      <c r="AY196" s="42" t="s">
        <v>64</v>
      </c>
      <c r="AZ196" s="42" t="s">
        <v>64</v>
      </c>
      <c r="BA19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"OHS-API Gatway N4"
Application Service: "AHO"
Lifecycle: "PFB"</v>
      </c>
      <c r="BB196" s="42" t="s">
        <v>497</v>
      </c>
      <c r="BC196" s="42" t="str">
        <f>VLOOKUP(VmSpecs[[#This Row],[Original Hostname (CMO)]],'SSOT Data'!A:AJ,36,FALSE)</f>
        <v>OHS-API Gatway N4</v>
      </c>
      <c r="BD196" s="87"/>
    </row>
    <row r="197" spans="1:56" ht="29" x14ac:dyDescent="0.35">
      <c r="A197" s="42" t="s">
        <v>58</v>
      </c>
      <c r="B197" s="42" t="str">
        <f>_xlfn.XLOOKUP(VmSpecs[[#This Row],[Subnet]],NetworkReference[Subnet],NetworkReference[Subscription])</f>
        <v>NINP-PERF2</v>
      </c>
      <c r="C197" s="87" t="str">
        <f>_xlfn.XLOOKUP(VmSpecs[[#This Row],[Subnet]],NetworkReference[Subnet],NetworkReference[Virtual Network Resource Group])</f>
        <v>rg-pf2-network-aue-001</v>
      </c>
      <c r="D197" s="87" t="str">
        <f>_xlfn.XLOOKUP(VmSpecs[[#This Row],[Subnet]],NetworkReference[Subnet],NetworkReference[Virtual Network])</f>
        <v>vnet-pf2-workload-aue-001</v>
      </c>
      <c r="E197" s="132" t="s">
        <v>489</v>
      </c>
      <c r="F197" s="87" t="str">
        <f>_xlfn.XLOOKUP(VmSpecs[[#This Row],[Subnet]],NetworkReference[Subnet],NetworkReference[Virtual Network Peering])</f>
        <v>vnet-ninp-conn-pnp-hub-aue</v>
      </c>
      <c r="G197" s="43" t="str">
        <f>_xlfn.XLOOKUP(VmSpecs[[#This Row],[Subnet]],NetworkReference[Subnet],NetworkReference[Route Table])</f>
        <v>rt-sn-pfb-aue-pf2-web</v>
      </c>
      <c r="H197" s="43" t="str">
        <f>LOWER(VLOOKUP(VmSpecs[[#This Row],[Original Hostname (CMO)]],'SSOT Data'!A:K,10,FALSE))</f>
        <v>cho</v>
      </c>
      <c r="I197" s="87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197" s="88" t="s">
        <v>60</v>
      </c>
      <c r="K197" s="87" t="str">
        <f>_xlfn.CONCAT("vm",MID(VmSpecs[[#This Row],[Subnet]],4,3),VLOOKUP(VmSpecs[[#This Row],[Subscription]],NetworkReference[#All],2,FALSE),VmSpecs[[#This Row],[Service]],VmSpecs[[#This Row],[VM iteration (nn)]])</f>
        <v>vmpfbpf2cho01</v>
      </c>
      <c r="L197" s="45" t="s">
        <v>61</v>
      </c>
      <c r="M197" s="87" t="str">
        <f>VmSpecs[[#This Row],[VM Name]]&amp;".ninp.myhealthrecord.gov.au"</f>
        <v>vmpfbpf2cho01.ninp.myhealthrecord.gov.au</v>
      </c>
      <c r="N197" s="86" t="str">
        <f t="shared" si="3"/>
        <v>nic-001-vmpfbpf2cho01</v>
      </c>
      <c r="O197" s="106" t="s">
        <v>498</v>
      </c>
      <c r="P197" s="46" t="s">
        <v>63</v>
      </c>
      <c r="Q197" s="78" t="str">
        <f>VLOOKUP(VmSpecs[[#This Row],[Original Hostname (CMO)]],'SSOT Data'!A:E,5,FALSE)</f>
        <v>OEL7.9</v>
      </c>
      <c r="R197" s="86"/>
      <c r="S197" s="42" t="str">
        <f>_xlfn.CONCAT("avail-",LEFT(VmSpecs[[#This Row],[VM Name]],LEN(VmSpecs[[#This Row],[VM Name]])-2))</f>
        <v>avail-vmpfbpf2cho</v>
      </c>
      <c r="T197" s="86" t="str">
        <f>_xlfn.CONCAT("asg-",LEFT(VmSpecs[[#This Row],[VM Name]],LEN(VmSpecs[[#This Row],[VM Name]])-2))</f>
        <v>asg-vmpfbpf2cho</v>
      </c>
      <c r="U197" s="86" t="str">
        <f>_xlfn.CONCAT("nsg-",VmSpecs[[#This Row],[Subnet]])</f>
        <v>nsg-sn-pfb-aue-pf2-web</v>
      </c>
      <c r="V197" s="86"/>
      <c r="W197" s="87" t="str">
        <f>VLOOKUP(VmSpecs[[#This Row],[Original Hostname (CMO)]],'SSOT Data'!A:AX,50,FALSE)</f>
        <v>Standard_D4s_v4</v>
      </c>
      <c r="X197" s="43">
        <v>64</v>
      </c>
      <c r="Y197" s="43" t="s">
        <v>65</v>
      </c>
      <c r="Z197" s="43" t="str">
        <f>"osdisk-"&amp;VmSpecs[[#This Row],[VM Name]]</f>
        <v>osdisk-vmpfbpf2cho01</v>
      </c>
      <c r="AA197" s="47" t="s">
        <v>66</v>
      </c>
      <c r="AB197" s="73">
        <v>8</v>
      </c>
      <c r="AC197" s="74" t="s">
        <v>65</v>
      </c>
      <c r="AD197" s="89" t="str">
        <f>"disk-"&amp;VmSpecs[[#This Row],[VM Name]]&amp;"-001"</f>
        <v>disk-vmpfbpf2cho01-001</v>
      </c>
      <c r="AE197" s="73">
        <v>32</v>
      </c>
      <c r="AF197" s="74" t="s">
        <v>65</v>
      </c>
      <c r="AG197" s="90" t="str">
        <f>"disk-"&amp;VmSpecs[[#This Row],[VM Name]]&amp;"-002"</f>
        <v>disk-vmpfbpf2cho01-002</v>
      </c>
      <c r="AH197" s="91"/>
      <c r="AI197" s="86"/>
      <c r="AJ197" s="86"/>
      <c r="AK197" s="86"/>
      <c r="AL197" s="86" t="str">
        <f>MID(VmSpecs[[#This Row],[VM Name]],3,9)</f>
        <v>pfbpf2cho</v>
      </c>
      <c r="AM197" s="87" t="str" cm="1">
        <f t="array" ref="AM197">_xlfn.TEXTJOIN(CHAR(10), TRUE, IF(NfsExports[FMO Single VM IP]=VmSpecs[[#This Row],[IP]],NfsExports[FMO Export Summary],""))</f>
        <v>/apps/pcehr 30GB</v>
      </c>
      <c r="AN197" s="87" t="str" cm="1">
        <f t="array" ref="AN19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97" s="86"/>
      <c r="AP197" s="86" t="str">
        <f>VmSpecs[[#This Row],[Description]]</f>
        <v>OHS-Common OSB</v>
      </c>
      <c r="AQ197" s="87"/>
      <c r="AR197" s="87" t="s">
        <v>64</v>
      </c>
      <c r="AS197" s="87" t="s">
        <v>64</v>
      </c>
      <c r="AT197" s="87" t="s">
        <v>64</v>
      </c>
      <c r="AU197" s="87" t="s">
        <v>64</v>
      </c>
      <c r="AV197" s="86" t="s">
        <v>66</v>
      </c>
      <c r="AW197" s="86" t="s">
        <v>67</v>
      </c>
      <c r="AX197" s="86" t="s">
        <v>68</v>
      </c>
      <c r="AY197" s="86" t="s">
        <v>64</v>
      </c>
      <c r="AZ197" s="86" t="s">
        <v>64</v>
      </c>
      <c r="BA19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"OHS-Common OSB"
Application Service: "CHO"
Lifecycle: "PFB"</v>
      </c>
      <c r="BB197" s="86" t="s">
        <v>499</v>
      </c>
      <c r="BC197" s="86" t="str">
        <f>VLOOKUP(VmSpecs[[#This Row],[Original Hostname (CMO)]],'SSOT Data'!A:AJ,36,FALSE)</f>
        <v>OHS-Common OSB</v>
      </c>
      <c r="BD197" s="87"/>
    </row>
    <row r="198" spans="1:56" ht="29" x14ac:dyDescent="0.35">
      <c r="A198" s="42" t="s">
        <v>58</v>
      </c>
      <c r="B198" s="42" t="str">
        <f>_xlfn.XLOOKUP(VmSpecs[[#This Row],[Subnet]],NetworkReference[Subnet],NetworkReference[Subscription])</f>
        <v>NINP-PERF2</v>
      </c>
      <c r="C198" s="43" t="str">
        <f>_xlfn.XLOOKUP(VmSpecs[[#This Row],[Subnet]],NetworkReference[Subnet],NetworkReference[Virtual Network Resource Group])</f>
        <v>rg-pf2-network-aue-001</v>
      </c>
      <c r="D198" s="43" t="str">
        <f>_xlfn.XLOOKUP(VmSpecs[[#This Row],[Subnet]],NetworkReference[Subnet],NetworkReference[Virtual Network])</f>
        <v>vnet-pf2-workload-aue-001</v>
      </c>
      <c r="E198" s="132" t="s">
        <v>489</v>
      </c>
      <c r="F198" s="43" t="str">
        <f>_xlfn.XLOOKUP(VmSpecs[[#This Row],[Subnet]],NetworkReference[Subnet],NetworkReference[Virtual Network Peering])</f>
        <v>vnet-ninp-conn-pnp-hub-aue</v>
      </c>
      <c r="G198" s="43" t="str">
        <f>_xlfn.XLOOKUP(VmSpecs[[#This Row],[Subnet]],NetworkReference[Subnet],NetworkReference[Route Table])</f>
        <v>rt-sn-pfb-aue-pf2-web</v>
      </c>
      <c r="H198" s="43" t="str">
        <f>LOWER(VLOOKUP(VmSpecs[[#This Row],[Original Hostname (CMO)]],'SSOT Data'!A:K,10,FALSE))</f>
        <v>cho</v>
      </c>
      <c r="I19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198" s="44" t="s">
        <v>72</v>
      </c>
      <c r="K198" s="43" t="str">
        <f>_xlfn.CONCAT("vm",MID(VmSpecs[[#This Row],[Subnet]],4,3),VLOOKUP(VmSpecs[[#This Row],[Subscription]],NetworkReference[#All],2,FALSE),VmSpecs[[#This Row],[Service]],VmSpecs[[#This Row],[VM iteration (nn)]])</f>
        <v>vmpfbpf2cho02</v>
      </c>
      <c r="L198" s="45" t="s">
        <v>61</v>
      </c>
      <c r="M198" s="43" t="str">
        <f>VmSpecs[[#This Row],[VM Name]]&amp;".ninp.myhealthrecord.gov.au"</f>
        <v>vmpfbpf2cho02.ninp.myhealthrecord.gov.au</v>
      </c>
      <c r="N198" s="42" t="str">
        <f t="shared" si="3"/>
        <v>nic-001-vmpfbpf2cho02</v>
      </c>
      <c r="O198" s="106" t="s">
        <v>500</v>
      </c>
      <c r="P198" s="46" t="s">
        <v>63</v>
      </c>
      <c r="Q198" s="42" t="str">
        <f>VLOOKUP(VmSpecs[[#This Row],[Original Hostname (CMO)]],'SSOT Data'!A:E,5,FALSE)</f>
        <v>OEL7.9</v>
      </c>
      <c r="R198" s="42"/>
      <c r="S198" s="42" t="str">
        <f>_xlfn.CONCAT("avail-",LEFT(VmSpecs[[#This Row],[VM Name]],LEN(VmSpecs[[#This Row],[VM Name]])-2))</f>
        <v>avail-vmpfbpf2cho</v>
      </c>
      <c r="T198" s="42" t="str">
        <f>_xlfn.CONCAT("asg-",LEFT(VmSpecs[[#This Row],[VM Name]],LEN(VmSpecs[[#This Row],[VM Name]])-2))</f>
        <v>asg-vmpfbpf2cho</v>
      </c>
      <c r="U198" s="42" t="str">
        <f>_xlfn.CONCAT("nsg-",VmSpecs[[#This Row],[Subnet]])</f>
        <v>nsg-sn-pfb-aue-pf2-web</v>
      </c>
      <c r="V198" s="42"/>
      <c r="W198" s="43" t="str">
        <f>VLOOKUP(VmSpecs[[#This Row],[Original Hostname (CMO)]],'SSOT Data'!A:AX,50,FALSE)</f>
        <v>Standard_D4s_v4</v>
      </c>
      <c r="X198" s="43">
        <v>64</v>
      </c>
      <c r="Y198" s="43" t="s">
        <v>65</v>
      </c>
      <c r="Z198" s="43" t="str">
        <f>"osdisk-"&amp;VmSpecs[[#This Row],[VM Name]]</f>
        <v>osdisk-vmpfbpf2cho02</v>
      </c>
      <c r="AA198" s="47" t="s">
        <v>66</v>
      </c>
      <c r="AB198" s="73">
        <v>8</v>
      </c>
      <c r="AC198" s="74" t="s">
        <v>65</v>
      </c>
      <c r="AD198" s="84" t="str">
        <f>"disk-"&amp;VmSpecs[[#This Row],[VM Name]]&amp;"-001"</f>
        <v>disk-vmpfbpf2cho02-001</v>
      </c>
      <c r="AE198" s="73">
        <v>32</v>
      </c>
      <c r="AF198" s="74" t="s">
        <v>65</v>
      </c>
      <c r="AG198" s="85" t="str">
        <f>"disk-"&amp;VmSpecs[[#This Row],[VM Name]]&amp;"-002"</f>
        <v>disk-vmpfbpf2cho02-002</v>
      </c>
      <c r="AH198" s="59"/>
      <c r="AI198" s="42"/>
      <c r="AJ198" s="42"/>
      <c r="AK198" s="42"/>
      <c r="AL198" s="42" t="str">
        <f>MID(VmSpecs[[#This Row],[VM Name]],3,9)</f>
        <v>pfbpf2cho</v>
      </c>
      <c r="AM198" s="42" t="str" cm="1">
        <f t="array" ref="AM198">_xlfn.TEXTJOIN(CHAR(10), TRUE, IF(NfsExports[FMO Single VM IP]=VmSpecs[[#This Row],[IP]],NfsExports[FMO Export Summary],""))</f>
        <v>/apps/pcehr 30GB</v>
      </c>
      <c r="AN198" s="43" t="str" cm="1">
        <f t="array" ref="AN19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98" s="42"/>
      <c r="AP198" s="42" t="str">
        <f>VmSpecs[[#This Row],[Description]]</f>
        <v>OHS-Common OSB</v>
      </c>
      <c r="AQ198" s="43"/>
      <c r="AR198" s="43" t="s">
        <v>64</v>
      </c>
      <c r="AS198" s="43" t="s">
        <v>64</v>
      </c>
      <c r="AT198" s="43" t="s">
        <v>64</v>
      </c>
      <c r="AU198" s="43" t="s">
        <v>64</v>
      </c>
      <c r="AV198" s="42" t="s">
        <v>66</v>
      </c>
      <c r="AW198" s="42" t="s">
        <v>67</v>
      </c>
      <c r="AX198" s="42" t="s">
        <v>68</v>
      </c>
      <c r="AY198" s="42" t="s">
        <v>64</v>
      </c>
      <c r="AZ198" s="42" t="s">
        <v>64</v>
      </c>
      <c r="BA19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"OHS-Common OSB"
Application Service: "CHO"
Lifecycle: "PFB"</v>
      </c>
      <c r="BB198" s="42" t="s">
        <v>501</v>
      </c>
      <c r="BC198" s="42" t="str">
        <f>VLOOKUP(VmSpecs[[#This Row],[Original Hostname (CMO)]],'SSOT Data'!A:AJ,36,FALSE)</f>
        <v>OHS-Common OSB</v>
      </c>
      <c r="BD198" s="43"/>
    </row>
    <row r="199" spans="1:56" ht="29" x14ac:dyDescent="0.35">
      <c r="A199" s="42" t="s">
        <v>58</v>
      </c>
      <c r="B199" s="42" t="str">
        <f>_xlfn.XLOOKUP(VmSpecs[[#This Row],[Subnet]],NetworkReference[Subnet],NetworkReference[Subscription])</f>
        <v>NINP-PERF2</v>
      </c>
      <c r="C199" s="43" t="str">
        <f>_xlfn.XLOOKUP(VmSpecs[[#This Row],[Subnet]],NetworkReference[Subnet],NetworkReference[Virtual Network Resource Group])</f>
        <v>rg-pf2-network-aue-001</v>
      </c>
      <c r="D199" s="43" t="str">
        <f>_xlfn.XLOOKUP(VmSpecs[[#This Row],[Subnet]],NetworkReference[Subnet],NetworkReference[Virtual Network])</f>
        <v>vnet-pf2-workload-aue-001</v>
      </c>
      <c r="E199" s="132" t="s">
        <v>489</v>
      </c>
      <c r="F199" s="43" t="str">
        <f>_xlfn.XLOOKUP(VmSpecs[[#This Row],[Subnet]],NetworkReference[Subnet],NetworkReference[Virtual Network Peering])</f>
        <v>vnet-ninp-conn-pnp-hub-aue</v>
      </c>
      <c r="G199" s="43" t="str">
        <f>_xlfn.XLOOKUP(VmSpecs[[#This Row],[Subnet]],NetworkReference[Subnet],NetworkReference[Route Table])</f>
        <v>rt-sn-pfb-aue-pf2-web</v>
      </c>
      <c r="H199" s="43" t="str">
        <f>LOWER(VLOOKUP(VmSpecs[[#This Row],[Original Hostname (CMO)]],'SSOT Data'!A:K,10,FALSE))</f>
        <v>cho</v>
      </c>
      <c r="I19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199" s="44" t="s">
        <v>75</v>
      </c>
      <c r="K199" s="43" t="str">
        <f>_xlfn.CONCAT("vm",MID(VmSpecs[[#This Row],[Subnet]],4,3),VLOOKUP(VmSpecs[[#This Row],[Subscription]],NetworkReference[#All],2,FALSE),VmSpecs[[#This Row],[Service]],VmSpecs[[#This Row],[VM iteration (nn)]])</f>
        <v>vmpfbpf2cho03</v>
      </c>
      <c r="L199" s="45" t="s">
        <v>61</v>
      </c>
      <c r="M199" s="43" t="str">
        <f>VmSpecs[[#This Row],[VM Name]]&amp;".ninp.myhealthrecord.gov.au"</f>
        <v>vmpfbpf2cho03.ninp.myhealthrecord.gov.au</v>
      </c>
      <c r="N199" s="42" t="str">
        <f t="shared" si="3"/>
        <v>nic-001-vmpfbpf2cho03</v>
      </c>
      <c r="O199" s="106" t="s">
        <v>502</v>
      </c>
      <c r="P199" s="46" t="s">
        <v>63</v>
      </c>
      <c r="Q199" s="42" t="str">
        <f>VLOOKUP(VmSpecs[[#This Row],[Original Hostname (CMO)]],'SSOT Data'!A:E,5,FALSE)</f>
        <v>OEL7.9</v>
      </c>
      <c r="R199" s="42"/>
      <c r="S199" s="42" t="str">
        <f>_xlfn.CONCAT("avail-",LEFT(VmSpecs[[#This Row],[VM Name]],LEN(VmSpecs[[#This Row],[VM Name]])-2))</f>
        <v>avail-vmpfbpf2cho</v>
      </c>
      <c r="T199" s="42" t="str">
        <f>_xlfn.CONCAT("asg-",LEFT(VmSpecs[[#This Row],[VM Name]],LEN(VmSpecs[[#This Row],[VM Name]])-2))</f>
        <v>asg-vmpfbpf2cho</v>
      </c>
      <c r="U199" s="42" t="str">
        <f>_xlfn.CONCAT("nsg-",VmSpecs[[#This Row],[Subnet]])</f>
        <v>nsg-sn-pfb-aue-pf2-web</v>
      </c>
      <c r="V199" s="42"/>
      <c r="W199" s="43" t="str">
        <f>VLOOKUP(VmSpecs[[#This Row],[Original Hostname (CMO)]],'SSOT Data'!A:AX,50,FALSE)</f>
        <v>Standard_D4s_v4</v>
      </c>
      <c r="X199" s="43">
        <v>64</v>
      </c>
      <c r="Y199" s="43" t="s">
        <v>65</v>
      </c>
      <c r="Z199" s="43" t="str">
        <f>"osdisk-"&amp;VmSpecs[[#This Row],[VM Name]]</f>
        <v>osdisk-vmpfbpf2cho03</v>
      </c>
      <c r="AA199" s="47" t="s">
        <v>66</v>
      </c>
      <c r="AB199" s="73">
        <v>8</v>
      </c>
      <c r="AC199" s="74" t="s">
        <v>65</v>
      </c>
      <c r="AD199" s="84" t="str">
        <f>"disk-"&amp;VmSpecs[[#This Row],[VM Name]]&amp;"-001"</f>
        <v>disk-vmpfbpf2cho03-001</v>
      </c>
      <c r="AE199" s="73">
        <v>32</v>
      </c>
      <c r="AF199" s="74" t="s">
        <v>65</v>
      </c>
      <c r="AG199" s="85" t="str">
        <f>"disk-"&amp;VmSpecs[[#This Row],[VM Name]]&amp;"-002"</f>
        <v>disk-vmpfbpf2cho03-002</v>
      </c>
      <c r="AH199" s="59"/>
      <c r="AI199" s="42"/>
      <c r="AJ199" s="42"/>
      <c r="AK199" s="42"/>
      <c r="AL199" s="42" t="str">
        <f>MID(VmSpecs[[#This Row],[VM Name]],3,9)</f>
        <v>pfbpf2cho</v>
      </c>
      <c r="AM199" s="42" t="str" cm="1">
        <f t="array" ref="AM199">_xlfn.TEXTJOIN(CHAR(10), TRUE, IF(NfsExports[FMO Single VM IP]=VmSpecs[[#This Row],[IP]],NfsExports[FMO Export Summary],""))</f>
        <v>/apps/pcehr 30GB</v>
      </c>
      <c r="AN199" s="43" t="str" cm="1">
        <f t="array" ref="AN19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99" s="42"/>
      <c r="AP199" s="42" t="str">
        <f>VmSpecs[[#This Row],[Description]]</f>
        <v>OHS-Common OSB</v>
      </c>
      <c r="AQ199" s="43"/>
      <c r="AR199" s="43" t="s">
        <v>64</v>
      </c>
      <c r="AS199" s="43" t="s">
        <v>64</v>
      </c>
      <c r="AT199" s="43" t="s">
        <v>64</v>
      </c>
      <c r="AU199" s="43" t="s">
        <v>64</v>
      </c>
      <c r="AV199" s="42" t="s">
        <v>66</v>
      </c>
      <c r="AW199" s="42" t="s">
        <v>67</v>
      </c>
      <c r="AX199" s="42" t="s">
        <v>68</v>
      </c>
      <c r="AY199" s="42" t="s">
        <v>64</v>
      </c>
      <c r="AZ199" s="42" t="s">
        <v>64</v>
      </c>
      <c r="BA19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"OHS-Common OSB"
Application Service: "CHO"
Lifecycle: "PFB"</v>
      </c>
      <c r="BB199" s="42" t="s">
        <v>503</v>
      </c>
      <c r="BC199" s="42" t="str">
        <f>VLOOKUP(VmSpecs[[#This Row],[Original Hostname (CMO)]],'SSOT Data'!A:AJ,36,FALSE)</f>
        <v>OHS-Common OSB</v>
      </c>
      <c r="BD199" s="43"/>
    </row>
    <row r="200" spans="1:56" ht="29" x14ac:dyDescent="0.35">
      <c r="A200" s="42" t="s">
        <v>58</v>
      </c>
      <c r="B200" s="42" t="str">
        <f>_xlfn.XLOOKUP(VmSpecs[[#This Row],[Subnet]],NetworkReference[Subnet],NetworkReference[Subscription])</f>
        <v>NINP-PERF2</v>
      </c>
      <c r="C200" s="43" t="str">
        <f>_xlfn.XLOOKUP(VmSpecs[[#This Row],[Subnet]],NetworkReference[Subnet],NetworkReference[Virtual Network Resource Group])</f>
        <v>rg-pf2-network-aue-001</v>
      </c>
      <c r="D200" s="43" t="str">
        <f>_xlfn.XLOOKUP(VmSpecs[[#This Row],[Subnet]],NetworkReference[Subnet],NetworkReference[Virtual Network])</f>
        <v>vnet-pf2-workload-aue-001</v>
      </c>
      <c r="E200" s="132" t="s">
        <v>489</v>
      </c>
      <c r="F200" s="43" t="str">
        <f>_xlfn.XLOOKUP(VmSpecs[[#This Row],[Subnet]],NetworkReference[Subnet],NetworkReference[Virtual Network Peering])</f>
        <v>vnet-ninp-conn-pnp-hub-aue</v>
      </c>
      <c r="G200" s="43" t="str">
        <f>_xlfn.XLOOKUP(VmSpecs[[#This Row],[Subnet]],NetworkReference[Subnet],NetworkReference[Route Table])</f>
        <v>rt-sn-pfb-aue-pf2-web</v>
      </c>
      <c r="H200" s="43" t="str">
        <f>LOWER(VLOOKUP(VmSpecs[[#This Row],[Original Hostname (CMO)]],'SSOT Data'!A:K,10,FALSE))</f>
        <v>fhi</v>
      </c>
      <c r="I20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00" s="44" t="s">
        <v>60</v>
      </c>
      <c r="K200" s="43" t="str">
        <f>_xlfn.CONCAT("vm",MID(VmSpecs[[#This Row],[Subnet]],4,3),VLOOKUP(VmSpecs[[#This Row],[Subscription]],NetworkReference[#All],2,FALSE),VmSpecs[[#This Row],[Service]],VmSpecs[[#This Row],[VM iteration (nn)]])</f>
        <v>vmpfbpf2fhi01</v>
      </c>
      <c r="L200" s="45" t="s">
        <v>61</v>
      </c>
      <c r="M200" s="43" t="str">
        <f>VmSpecs[[#This Row],[VM Name]]&amp;".ninp.myhealthrecord.gov.au"</f>
        <v>vmpfbpf2fhi01.ninp.myhealthrecord.gov.au</v>
      </c>
      <c r="N200" s="42" t="str">
        <f t="shared" si="3"/>
        <v>nic-001-vmpfbpf2fhi01</v>
      </c>
      <c r="O200" s="106" t="s">
        <v>504</v>
      </c>
      <c r="P200" s="46" t="s">
        <v>63</v>
      </c>
      <c r="Q200" s="42" t="str">
        <f>VLOOKUP(VmSpecs[[#This Row],[Original Hostname (CMO)]],'SSOT Data'!A:E,5,FALSE)</f>
        <v>OEL6.10</v>
      </c>
      <c r="R200" s="42"/>
      <c r="S200" s="42" t="str">
        <f>_xlfn.CONCAT("avail-",LEFT(VmSpecs[[#This Row],[VM Name]],LEN(VmSpecs[[#This Row],[VM Name]])-2))</f>
        <v>avail-vmpfbpf2fhi</v>
      </c>
      <c r="T200" s="42" t="str">
        <f>_xlfn.CONCAT("asg-",LEFT(VmSpecs[[#This Row],[VM Name]],LEN(VmSpecs[[#This Row],[VM Name]])-2))</f>
        <v>asg-vmpfbpf2fhi</v>
      </c>
      <c r="U200" s="42" t="str">
        <f>_xlfn.CONCAT("nsg-",VmSpecs[[#This Row],[Subnet]])</f>
        <v>nsg-sn-pfb-aue-pf2-web</v>
      </c>
      <c r="V200" s="42" t="s">
        <v>64</v>
      </c>
      <c r="W200" s="43" t="str">
        <f>VLOOKUP(VmSpecs[[#This Row],[Original Hostname (CMO)]],'SSOT Data'!A:AX,50,FALSE)</f>
        <v>Standard_D8s_v4</v>
      </c>
      <c r="X200" s="43">
        <v>64</v>
      </c>
      <c r="Y200" s="43" t="s">
        <v>65</v>
      </c>
      <c r="Z200" s="43" t="str">
        <f>"osdisk-"&amp;VmSpecs[[#This Row],[VM Name]]</f>
        <v>osdisk-vmpfbpf2fhi01</v>
      </c>
      <c r="AA200" s="47" t="s">
        <v>66</v>
      </c>
      <c r="AB200" s="73">
        <v>8</v>
      </c>
      <c r="AC200" s="74" t="s">
        <v>65</v>
      </c>
      <c r="AD200" s="84" t="str">
        <f>"disk-"&amp;VmSpecs[[#This Row],[VM Name]]&amp;"-001"</f>
        <v>disk-vmpfbpf2fhi01-001</v>
      </c>
      <c r="AE200" s="73">
        <v>32</v>
      </c>
      <c r="AF200" s="74" t="s">
        <v>65</v>
      </c>
      <c r="AG200" s="85" t="str">
        <f>"disk-"&amp;VmSpecs[[#This Row],[VM Name]]&amp;"-002"</f>
        <v>disk-vmpfbpf2fhi01-002</v>
      </c>
      <c r="AH200" s="59" t="s">
        <v>285</v>
      </c>
      <c r="AI200" s="42"/>
      <c r="AJ200" s="42"/>
      <c r="AK200" s="42"/>
      <c r="AL200" s="42" t="str">
        <f>MID(VmSpecs[[#This Row],[VM Name]],3,9)</f>
        <v>pfbpf2fhi</v>
      </c>
      <c r="AM200" s="43" t="str" cm="1">
        <f t="array" ref="AM200">_xlfn.TEXTJOIN(CHAR(10), TRUE, IF(NfsExports[FMO Single VM IP]=VmSpecs[[#This Row],[IP]],NfsExports[FMO Export Summary],""))</f>
        <v>/apps/pcehr 40GB</v>
      </c>
      <c r="AN200" s="43" t="str" cm="1">
        <f t="array" ref="AN20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00" s="42"/>
      <c r="AP200" s="42" t="str">
        <f>VmSpecs[[#This Row],[Description]]</f>
        <v>FHIR-OAG N1</v>
      </c>
      <c r="AQ200" s="43"/>
      <c r="AR200" s="43" t="s">
        <v>64</v>
      </c>
      <c r="AS200" s="43" t="s">
        <v>64</v>
      </c>
      <c r="AT200" s="43" t="s">
        <v>64</v>
      </c>
      <c r="AU200" s="43" t="s">
        <v>64</v>
      </c>
      <c r="AV200" s="42" t="s">
        <v>66</v>
      </c>
      <c r="AW200" s="42" t="s">
        <v>67</v>
      </c>
      <c r="AX200" s="42" t="s">
        <v>68</v>
      </c>
      <c r="AY200" s="42" t="s">
        <v>64</v>
      </c>
      <c r="AZ200" s="42" t="s">
        <v>64</v>
      </c>
      <c r="BA20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"FHIR-OAG N1"
Application Service: "FHI"
Lifecycle: "PFB"</v>
      </c>
      <c r="BB200" s="42" t="s">
        <v>505</v>
      </c>
      <c r="BC200" s="42" t="str">
        <f>VLOOKUP(VmSpecs[[#This Row],[Original Hostname (CMO)]],'SSOT Data'!A:AJ,36,FALSE)</f>
        <v>FHIR-OAG N1</v>
      </c>
      <c r="BD200" s="43"/>
    </row>
    <row r="201" spans="1:56" ht="29" x14ac:dyDescent="0.35">
      <c r="A201" s="42" t="s">
        <v>58</v>
      </c>
      <c r="B201" s="42" t="str">
        <f>_xlfn.XLOOKUP(VmSpecs[[#This Row],[Subnet]],NetworkReference[Subnet],NetworkReference[Subscription])</f>
        <v>NINP-PERF2</v>
      </c>
      <c r="C201" s="43" t="str">
        <f>_xlfn.XLOOKUP(VmSpecs[[#This Row],[Subnet]],NetworkReference[Subnet],NetworkReference[Virtual Network Resource Group])</f>
        <v>rg-pf2-network-aue-001</v>
      </c>
      <c r="D201" s="43" t="str">
        <f>_xlfn.XLOOKUP(VmSpecs[[#This Row],[Subnet]],NetworkReference[Subnet],NetworkReference[Virtual Network])</f>
        <v>vnet-pf2-workload-aue-001</v>
      </c>
      <c r="E201" s="132" t="s">
        <v>489</v>
      </c>
      <c r="F201" s="43" t="str">
        <f>_xlfn.XLOOKUP(VmSpecs[[#This Row],[Subnet]],NetworkReference[Subnet],NetworkReference[Virtual Network Peering])</f>
        <v>vnet-ninp-conn-pnp-hub-aue</v>
      </c>
      <c r="G201" s="43" t="str">
        <f>_xlfn.XLOOKUP(VmSpecs[[#This Row],[Subnet]],NetworkReference[Subnet],NetworkReference[Route Table])</f>
        <v>rt-sn-pfb-aue-pf2-web</v>
      </c>
      <c r="H201" s="43" t="str">
        <f>LOWER(VLOOKUP(VmSpecs[[#This Row],[Original Hostname (CMO)]],'SSOT Data'!A:K,10,FALSE))</f>
        <v>fhi</v>
      </c>
      <c r="I20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01" s="44" t="s">
        <v>72</v>
      </c>
      <c r="K201" s="43" t="str">
        <f>_xlfn.CONCAT("vm",MID(VmSpecs[[#This Row],[Subnet]],4,3),VLOOKUP(VmSpecs[[#This Row],[Subscription]],NetworkReference[#All],2,FALSE),VmSpecs[[#This Row],[Service]],VmSpecs[[#This Row],[VM iteration (nn)]])</f>
        <v>vmpfbpf2fhi02</v>
      </c>
      <c r="L201" s="45" t="s">
        <v>61</v>
      </c>
      <c r="M201" s="43" t="str">
        <f>VmSpecs[[#This Row],[VM Name]]&amp;".ninp.myhealthrecord.gov.au"</f>
        <v>vmpfbpf2fhi02.ninp.myhealthrecord.gov.au</v>
      </c>
      <c r="N201" s="42" t="str">
        <f t="shared" si="3"/>
        <v>nic-001-vmpfbpf2fhi02</v>
      </c>
      <c r="O201" s="106" t="s">
        <v>506</v>
      </c>
      <c r="P201" s="46" t="s">
        <v>63</v>
      </c>
      <c r="Q201" s="42" t="str">
        <f>VLOOKUP(VmSpecs[[#This Row],[Original Hostname (CMO)]],'SSOT Data'!A:E,5,FALSE)</f>
        <v>OEL6.10</v>
      </c>
      <c r="R201" s="42"/>
      <c r="S201" s="42" t="str">
        <f>_xlfn.CONCAT("avail-",LEFT(VmSpecs[[#This Row],[VM Name]],LEN(VmSpecs[[#This Row],[VM Name]])-2))</f>
        <v>avail-vmpfbpf2fhi</v>
      </c>
      <c r="T201" s="42" t="str">
        <f>_xlfn.CONCAT("asg-",LEFT(VmSpecs[[#This Row],[VM Name]],LEN(VmSpecs[[#This Row],[VM Name]])-2))</f>
        <v>asg-vmpfbpf2fhi</v>
      </c>
      <c r="U201" s="42" t="str">
        <f>_xlfn.CONCAT("nsg-",VmSpecs[[#This Row],[Subnet]])</f>
        <v>nsg-sn-pfb-aue-pf2-web</v>
      </c>
      <c r="V201" s="42" t="s">
        <v>64</v>
      </c>
      <c r="W201" s="43" t="str">
        <f>VLOOKUP(VmSpecs[[#This Row],[Original Hostname (CMO)]],'SSOT Data'!A:AX,50,FALSE)</f>
        <v>Standard_D8s_v4</v>
      </c>
      <c r="X201" s="43">
        <v>64</v>
      </c>
      <c r="Y201" s="43" t="s">
        <v>65</v>
      </c>
      <c r="Z201" s="43" t="str">
        <f>"osdisk-"&amp;VmSpecs[[#This Row],[VM Name]]</f>
        <v>osdisk-vmpfbpf2fhi02</v>
      </c>
      <c r="AA201" s="47" t="s">
        <v>66</v>
      </c>
      <c r="AB201" s="73">
        <v>8</v>
      </c>
      <c r="AC201" s="74" t="s">
        <v>65</v>
      </c>
      <c r="AD201" s="84" t="str">
        <f>"disk-"&amp;VmSpecs[[#This Row],[VM Name]]&amp;"-001"</f>
        <v>disk-vmpfbpf2fhi02-001</v>
      </c>
      <c r="AE201" s="73">
        <v>32</v>
      </c>
      <c r="AF201" s="74" t="s">
        <v>65</v>
      </c>
      <c r="AG201" s="85" t="str">
        <f>"disk-"&amp;VmSpecs[[#This Row],[VM Name]]&amp;"-002"</f>
        <v>disk-vmpfbpf2fhi02-002</v>
      </c>
      <c r="AH201" s="59" t="s">
        <v>285</v>
      </c>
      <c r="AI201" s="42"/>
      <c r="AJ201" s="42"/>
      <c r="AK201" s="42"/>
      <c r="AL201" s="42" t="str">
        <f>MID(VmSpecs[[#This Row],[VM Name]],3,9)</f>
        <v>pfbpf2fhi</v>
      </c>
      <c r="AM201" s="43" t="str" cm="1">
        <f t="array" ref="AM201">_xlfn.TEXTJOIN(CHAR(10), TRUE, IF(NfsExports[FMO Single VM IP]=VmSpecs[[#This Row],[IP]],NfsExports[FMO Export Summary],""))</f>
        <v>/apps/pcehr 40GB</v>
      </c>
      <c r="AN201" s="43" t="str" cm="1">
        <f t="array" ref="AN20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01" s="42"/>
      <c r="AP201" s="42" t="str">
        <f>VmSpecs[[#This Row],[Description]]</f>
        <v>FHIR-OAG N2</v>
      </c>
      <c r="AQ201" s="43"/>
      <c r="AR201" s="43" t="s">
        <v>64</v>
      </c>
      <c r="AS201" s="43" t="s">
        <v>64</v>
      </c>
      <c r="AT201" s="43" t="s">
        <v>64</v>
      </c>
      <c r="AU201" s="43" t="s">
        <v>64</v>
      </c>
      <c r="AV201" s="42" t="s">
        <v>66</v>
      </c>
      <c r="AW201" s="42" t="s">
        <v>67</v>
      </c>
      <c r="AX201" s="42" t="s">
        <v>68</v>
      </c>
      <c r="AY201" s="42" t="s">
        <v>64</v>
      </c>
      <c r="AZ201" s="42" t="s">
        <v>64</v>
      </c>
      <c r="BA20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"FHIR-OAG N2"
Application Service: "FHI"
Lifecycle: "PFB"</v>
      </c>
      <c r="BB201" s="42" t="s">
        <v>507</v>
      </c>
      <c r="BC201" s="42" t="str">
        <f>VLOOKUP(VmSpecs[[#This Row],[Original Hostname (CMO)]],'SSOT Data'!A:AJ,36,FALSE)</f>
        <v>FHIR-OAG N2</v>
      </c>
      <c r="BD201" s="43"/>
    </row>
    <row r="202" spans="1:56" ht="29" x14ac:dyDescent="0.35">
      <c r="A202" s="42" t="s">
        <v>58</v>
      </c>
      <c r="B202" s="42" t="str">
        <f>_xlfn.XLOOKUP(VmSpecs[[#This Row],[Subnet]],NetworkReference[Subnet],NetworkReference[Subscription])</f>
        <v>NINP-PERF2</v>
      </c>
      <c r="C202" s="43" t="str">
        <f>_xlfn.XLOOKUP(VmSpecs[[#This Row],[Subnet]],NetworkReference[Subnet],NetworkReference[Virtual Network Resource Group])</f>
        <v>rg-pf2-network-aue-001</v>
      </c>
      <c r="D202" s="43" t="str">
        <f>_xlfn.XLOOKUP(VmSpecs[[#This Row],[Subnet]],NetworkReference[Subnet],NetworkReference[Virtual Network])</f>
        <v>vnet-pf2-workload-aue-001</v>
      </c>
      <c r="E202" s="132" t="s">
        <v>489</v>
      </c>
      <c r="F202" s="43" t="str">
        <f>_xlfn.XLOOKUP(VmSpecs[[#This Row],[Subnet]],NetworkReference[Subnet],NetworkReference[Virtual Network Peering])</f>
        <v>vnet-ninp-conn-pnp-hub-aue</v>
      </c>
      <c r="G202" s="43" t="str">
        <f>_xlfn.XLOOKUP(VmSpecs[[#This Row],[Subnet]],NetworkReference[Subnet],NetworkReference[Route Table])</f>
        <v>rt-sn-pfb-aue-pf2-web</v>
      </c>
      <c r="H202" s="43" t="str">
        <f>LOWER(VLOOKUP(VmSpecs[[#This Row],[Original Hostname (CMO)]],'SSOT Data'!A:K,10,FALSE))</f>
        <v>fhi</v>
      </c>
      <c r="I20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02" s="44" t="s">
        <v>75</v>
      </c>
      <c r="K202" s="43" t="str">
        <f>_xlfn.CONCAT("vm",MID(VmSpecs[[#This Row],[Subnet]],4,3),VLOOKUP(VmSpecs[[#This Row],[Subscription]],NetworkReference[#All],2,FALSE),VmSpecs[[#This Row],[Service]],VmSpecs[[#This Row],[VM iteration (nn)]])</f>
        <v>vmpfbpf2fhi03</v>
      </c>
      <c r="L202" s="45" t="s">
        <v>61</v>
      </c>
      <c r="M202" s="43" t="str">
        <f>VmSpecs[[#This Row],[VM Name]]&amp;".ninp.myhealthrecord.gov.au"</f>
        <v>vmpfbpf2fhi03.ninp.myhealthrecord.gov.au</v>
      </c>
      <c r="N202" s="42" t="str">
        <f t="shared" si="3"/>
        <v>nic-001-vmpfbpf2fhi03</v>
      </c>
      <c r="O202" s="106" t="s">
        <v>508</v>
      </c>
      <c r="P202" s="46" t="s">
        <v>63</v>
      </c>
      <c r="Q202" s="42" t="str">
        <f>VLOOKUP(VmSpecs[[#This Row],[Original Hostname (CMO)]],'SSOT Data'!A:E,5,FALSE)</f>
        <v>OEL6.10</v>
      </c>
      <c r="R202" s="42"/>
      <c r="S202" s="42" t="str">
        <f>_xlfn.CONCAT("avail-",LEFT(VmSpecs[[#This Row],[VM Name]],LEN(VmSpecs[[#This Row],[VM Name]])-2))</f>
        <v>avail-vmpfbpf2fhi</v>
      </c>
      <c r="T202" s="42" t="str">
        <f>_xlfn.CONCAT("asg-",LEFT(VmSpecs[[#This Row],[VM Name]],LEN(VmSpecs[[#This Row],[VM Name]])-2))</f>
        <v>asg-vmpfbpf2fhi</v>
      </c>
      <c r="U202" s="42" t="str">
        <f>_xlfn.CONCAT("nsg-",VmSpecs[[#This Row],[Subnet]])</f>
        <v>nsg-sn-pfb-aue-pf2-web</v>
      </c>
      <c r="V202" s="42" t="s">
        <v>64</v>
      </c>
      <c r="W202" s="43" t="str">
        <f>VLOOKUP(VmSpecs[[#This Row],[Original Hostname (CMO)]],'SSOT Data'!A:AX,50,FALSE)</f>
        <v>Standard_D8s_v4</v>
      </c>
      <c r="X202" s="43">
        <v>64</v>
      </c>
      <c r="Y202" s="43" t="s">
        <v>65</v>
      </c>
      <c r="Z202" s="43" t="str">
        <f>"osdisk-"&amp;VmSpecs[[#This Row],[VM Name]]</f>
        <v>osdisk-vmpfbpf2fhi03</v>
      </c>
      <c r="AA202" s="47" t="s">
        <v>66</v>
      </c>
      <c r="AB202" s="73">
        <v>8</v>
      </c>
      <c r="AC202" s="74" t="s">
        <v>65</v>
      </c>
      <c r="AD202" s="84" t="str">
        <f>"disk-"&amp;VmSpecs[[#This Row],[VM Name]]&amp;"-001"</f>
        <v>disk-vmpfbpf2fhi03-001</v>
      </c>
      <c r="AE202" s="73">
        <v>32</v>
      </c>
      <c r="AF202" s="74" t="s">
        <v>65</v>
      </c>
      <c r="AG202" s="85" t="str">
        <f>"disk-"&amp;VmSpecs[[#This Row],[VM Name]]&amp;"-002"</f>
        <v>disk-vmpfbpf2fhi03-002</v>
      </c>
      <c r="AH202" s="59" t="s">
        <v>285</v>
      </c>
      <c r="AI202" s="42"/>
      <c r="AJ202" s="42"/>
      <c r="AK202" s="42"/>
      <c r="AL202" s="42" t="str">
        <f>MID(VmSpecs[[#This Row],[VM Name]],3,9)</f>
        <v>pfbpf2fhi</v>
      </c>
      <c r="AM202" s="43" t="str" cm="1">
        <f t="array" ref="AM202">_xlfn.TEXTJOIN(CHAR(10), TRUE, IF(NfsExports[FMO Single VM IP]=VmSpecs[[#This Row],[IP]],NfsExports[FMO Export Summary],""))</f>
        <v>/apps/pcehr 40GB</v>
      </c>
      <c r="AN202" s="43" t="str" cm="1">
        <f t="array" ref="AN20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02" s="42"/>
      <c r="AP202" s="42" t="str">
        <f>VmSpecs[[#This Row],[Description]]</f>
        <v>FHIR-OAG N3</v>
      </c>
      <c r="AQ202" s="43"/>
      <c r="AR202" s="43" t="s">
        <v>64</v>
      </c>
      <c r="AS202" s="43" t="s">
        <v>64</v>
      </c>
      <c r="AT202" s="43" t="s">
        <v>64</v>
      </c>
      <c r="AU202" s="43" t="s">
        <v>64</v>
      </c>
      <c r="AV202" s="42" t="s">
        <v>66</v>
      </c>
      <c r="AW202" s="42" t="s">
        <v>67</v>
      </c>
      <c r="AX202" s="42" t="s">
        <v>68</v>
      </c>
      <c r="AY202" s="42" t="s">
        <v>64</v>
      </c>
      <c r="AZ202" s="42" t="s">
        <v>64</v>
      </c>
      <c r="BA20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"FHIR-OAG N3"
Application Service: "FHI"
Lifecycle: "PFB"</v>
      </c>
      <c r="BB202" s="42" t="s">
        <v>509</v>
      </c>
      <c r="BC202" s="42" t="str">
        <f>VLOOKUP(VmSpecs[[#This Row],[Original Hostname (CMO)]],'SSOT Data'!A:AJ,36,FALSE)</f>
        <v>FHIR-OAG N3</v>
      </c>
      <c r="BD202" s="43"/>
    </row>
    <row r="203" spans="1:56" ht="29" x14ac:dyDescent="0.35">
      <c r="A203" s="42" t="s">
        <v>58</v>
      </c>
      <c r="B203" s="42" t="str">
        <f>_xlfn.XLOOKUP(VmSpecs[[#This Row],[Subnet]],NetworkReference[Subnet],NetworkReference[Subscription])</f>
        <v>NINP-PERF2</v>
      </c>
      <c r="C203" s="43" t="str">
        <f>_xlfn.XLOOKUP(VmSpecs[[#This Row],[Subnet]],NetworkReference[Subnet],NetworkReference[Virtual Network Resource Group])</f>
        <v>rg-pf2-network-aue-001</v>
      </c>
      <c r="D203" s="43" t="str">
        <f>_xlfn.XLOOKUP(VmSpecs[[#This Row],[Subnet]],NetworkReference[Subnet],NetworkReference[Virtual Network])</f>
        <v>vnet-pf2-workload-aue-001</v>
      </c>
      <c r="E203" s="132" t="s">
        <v>489</v>
      </c>
      <c r="F203" s="43" t="str">
        <f>_xlfn.XLOOKUP(VmSpecs[[#This Row],[Subnet]],NetworkReference[Subnet],NetworkReference[Virtual Network Peering])</f>
        <v>vnet-ninp-conn-pnp-hub-aue</v>
      </c>
      <c r="G203" s="43" t="str">
        <f>_xlfn.XLOOKUP(VmSpecs[[#This Row],[Subnet]],NetworkReference[Subnet],NetworkReference[Route Table])</f>
        <v>rt-sn-pfb-aue-pf2-web</v>
      </c>
      <c r="H203" s="43" t="str">
        <f>LOWER(VLOOKUP(VmSpecs[[#This Row],[Original Hostname (CMO)]],'SSOT Data'!A:K,10,FALSE))</f>
        <v>fhi</v>
      </c>
      <c r="I20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03" s="44" t="s">
        <v>78</v>
      </c>
      <c r="K203" s="43" t="str">
        <f>_xlfn.CONCAT("vm",MID(VmSpecs[[#This Row],[Subnet]],4,3),VLOOKUP(VmSpecs[[#This Row],[Subscription]],NetworkReference[#All],2,FALSE),VmSpecs[[#This Row],[Service]],VmSpecs[[#This Row],[VM iteration (nn)]])</f>
        <v>vmpfbpf2fhi04</v>
      </c>
      <c r="L203" s="45" t="s">
        <v>61</v>
      </c>
      <c r="M203" s="43" t="str">
        <f>VmSpecs[[#This Row],[VM Name]]&amp;".ninp.myhealthrecord.gov.au"</f>
        <v>vmpfbpf2fhi04.ninp.myhealthrecord.gov.au</v>
      </c>
      <c r="N203" s="42" t="str">
        <f t="shared" si="3"/>
        <v>nic-001-vmpfbpf2fhi04</v>
      </c>
      <c r="O203" s="106" t="s">
        <v>510</v>
      </c>
      <c r="P203" s="46" t="s">
        <v>63</v>
      </c>
      <c r="Q203" s="42" t="str">
        <f>VLOOKUP(VmSpecs[[#This Row],[Original Hostname (CMO)]],'SSOT Data'!A:E,5,FALSE)</f>
        <v>OEL6.10</v>
      </c>
      <c r="R203" s="42"/>
      <c r="S203" s="42" t="str">
        <f>_xlfn.CONCAT("avail-",LEFT(VmSpecs[[#This Row],[VM Name]],LEN(VmSpecs[[#This Row],[VM Name]])-2))</f>
        <v>avail-vmpfbpf2fhi</v>
      </c>
      <c r="T203" s="42" t="str">
        <f>_xlfn.CONCAT("asg-",LEFT(VmSpecs[[#This Row],[VM Name]],LEN(VmSpecs[[#This Row],[VM Name]])-2))</f>
        <v>asg-vmpfbpf2fhi</v>
      </c>
      <c r="U203" s="42" t="str">
        <f>_xlfn.CONCAT("nsg-",VmSpecs[[#This Row],[Subnet]])</f>
        <v>nsg-sn-pfb-aue-pf2-web</v>
      </c>
      <c r="V203" s="42" t="s">
        <v>64</v>
      </c>
      <c r="W203" s="43" t="str">
        <f>VLOOKUP(VmSpecs[[#This Row],[Original Hostname (CMO)]],'SSOT Data'!A:AX,50,FALSE)</f>
        <v>Standard_D8s_v4</v>
      </c>
      <c r="X203" s="43">
        <v>64</v>
      </c>
      <c r="Y203" s="43" t="s">
        <v>65</v>
      </c>
      <c r="Z203" s="43" t="str">
        <f>"osdisk-"&amp;VmSpecs[[#This Row],[VM Name]]</f>
        <v>osdisk-vmpfbpf2fhi04</v>
      </c>
      <c r="AA203" s="47" t="s">
        <v>66</v>
      </c>
      <c r="AB203" s="73">
        <v>8</v>
      </c>
      <c r="AC203" s="74" t="s">
        <v>65</v>
      </c>
      <c r="AD203" s="84" t="str">
        <f>"disk-"&amp;VmSpecs[[#This Row],[VM Name]]&amp;"-001"</f>
        <v>disk-vmpfbpf2fhi04-001</v>
      </c>
      <c r="AE203" s="73">
        <v>32</v>
      </c>
      <c r="AF203" s="74" t="s">
        <v>65</v>
      </c>
      <c r="AG203" s="85" t="str">
        <f>"disk-"&amp;VmSpecs[[#This Row],[VM Name]]&amp;"-002"</f>
        <v>disk-vmpfbpf2fhi04-002</v>
      </c>
      <c r="AH203" s="59" t="s">
        <v>285</v>
      </c>
      <c r="AI203" s="42"/>
      <c r="AJ203" s="42"/>
      <c r="AK203" s="42"/>
      <c r="AL203" s="42" t="str">
        <f>MID(VmSpecs[[#This Row],[VM Name]],3,9)</f>
        <v>pfbpf2fhi</v>
      </c>
      <c r="AM203" s="43" t="str" cm="1">
        <f t="array" ref="AM203">_xlfn.TEXTJOIN(CHAR(10), TRUE, IF(NfsExports[FMO Single VM IP]=VmSpecs[[#This Row],[IP]],NfsExports[FMO Export Summary],""))</f>
        <v>/apps/pcehr 40GB</v>
      </c>
      <c r="AN203" s="43" t="str" cm="1">
        <f t="array" ref="AN20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03" s="42"/>
      <c r="AP203" s="42" t="str">
        <f>VmSpecs[[#This Row],[Description]]</f>
        <v>FHIR-OAG N4</v>
      </c>
      <c r="AQ203" s="43"/>
      <c r="AR203" s="43" t="s">
        <v>64</v>
      </c>
      <c r="AS203" s="43" t="s">
        <v>64</v>
      </c>
      <c r="AT203" s="43" t="s">
        <v>64</v>
      </c>
      <c r="AU203" s="43" t="s">
        <v>64</v>
      </c>
      <c r="AV203" s="42" t="s">
        <v>66</v>
      </c>
      <c r="AW203" s="42" t="s">
        <v>67</v>
      </c>
      <c r="AX203" s="42" t="s">
        <v>68</v>
      </c>
      <c r="AY203" s="42" t="s">
        <v>64</v>
      </c>
      <c r="AZ203" s="42" t="s">
        <v>64</v>
      </c>
      <c r="BA20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"FHIR-OAG N4"
Application Service: "FHI"
Lifecycle: "PFB"</v>
      </c>
      <c r="BB203" s="42" t="s">
        <v>511</v>
      </c>
      <c r="BC203" s="42" t="str">
        <f>VLOOKUP(VmSpecs[[#This Row],[Original Hostname (CMO)]],'SSOT Data'!A:AJ,36,FALSE)</f>
        <v>FHIR-OAG N4</v>
      </c>
      <c r="BD203" s="43"/>
    </row>
    <row r="204" spans="1:56" ht="29" x14ac:dyDescent="0.35">
      <c r="A204" s="42"/>
      <c r="B204" s="42" t="str">
        <f>_xlfn.XLOOKUP(VmSpecs[[#This Row],[Subnet]],NetworkReference[Subnet],NetworkReference[Subscription])</f>
        <v>NINP-PERF2</v>
      </c>
      <c r="C204" s="43" t="str">
        <f>_xlfn.XLOOKUP(VmSpecs[[#This Row],[Subnet]],NetworkReference[Subnet],NetworkReference[Virtual Network Resource Group])</f>
        <v>rg-pf2-network-aue-001</v>
      </c>
      <c r="D204" s="43" t="str">
        <f>_xlfn.XLOOKUP(VmSpecs[[#This Row],[Subnet]],NetworkReference[Subnet],NetworkReference[Virtual Network])</f>
        <v>vnet-pf2-workload-aue-001</v>
      </c>
      <c r="E204" s="132" t="s">
        <v>489</v>
      </c>
      <c r="F204" s="43" t="str">
        <f>_xlfn.XLOOKUP(VmSpecs[[#This Row],[Subnet]],NetworkReference[Subnet],NetworkReference[Virtual Network Peering])</f>
        <v>vnet-ninp-conn-pnp-hub-aue</v>
      </c>
      <c r="G204" s="43" t="str">
        <f>_xlfn.XLOOKUP(VmSpecs[[#This Row],[Subnet]],NetworkReference[Subnet],NetworkReference[Route Table])</f>
        <v>rt-sn-pfb-aue-pf2-web</v>
      </c>
      <c r="H204" s="43" t="str">
        <f>LOWER(VLOOKUP(VmSpecs[[#This Row],[Original Hostname (CMO)]],'SSOT Data'!A:K,10,FALSE))</f>
        <v>fhi</v>
      </c>
      <c r="I20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04" s="44" t="s">
        <v>81</v>
      </c>
      <c r="K204" s="43" t="str">
        <f>_xlfn.CONCAT("vm",MID(VmSpecs[[#This Row],[Subnet]],4,3),VLOOKUP(VmSpecs[[#This Row],[Subscription]],NetworkReference[#All],2,FALSE),VmSpecs[[#This Row],[Service]],VmSpecs[[#This Row],[VM iteration (nn)]])</f>
        <v>vmpfbpf2fhi05</v>
      </c>
      <c r="L204" s="45" t="s">
        <v>61</v>
      </c>
      <c r="M204" s="43" t="str">
        <f>VmSpecs[[#This Row],[VM Name]]&amp;".ninp.myhealthrecord.gov.au"</f>
        <v>vmpfbpf2fhi05.ninp.myhealthrecord.gov.au</v>
      </c>
      <c r="N204" s="42" t="str">
        <f t="shared" si="3"/>
        <v>nic-001-vmpfbpf2fhi05</v>
      </c>
      <c r="O204" s="106" t="s">
        <v>512</v>
      </c>
      <c r="P204" s="46" t="s">
        <v>63</v>
      </c>
      <c r="Q204" s="42" t="str">
        <f>VLOOKUP(VmSpecs[[#This Row],[Original Hostname (CMO)]],'SSOT Data'!A:E,5,FALSE)</f>
        <v>OEL6.10</v>
      </c>
      <c r="R204" s="42"/>
      <c r="S204" s="42" t="str">
        <f>_xlfn.CONCAT("avail-",LEFT(VmSpecs[[#This Row],[VM Name]],LEN(VmSpecs[[#This Row],[VM Name]])-2))</f>
        <v>avail-vmpfbpf2fhi</v>
      </c>
      <c r="T204" s="42" t="str">
        <f>_xlfn.CONCAT("asg-",LEFT(VmSpecs[[#This Row],[VM Name]],LEN(VmSpecs[[#This Row],[VM Name]])-2))</f>
        <v>asg-vmpfbpf2fhi</v>
      </c>
      <c r="U204" s="42" t="str">
        <f>_xlfn.CONCAT("nsg-",VmSpecs[[#This Row],[Subnet]])</f>
        <v>nsg-sn-pfb-aue-pf2-web</v>
      </c>
      <c r="V204" s="42"/>
      <c r="W204" s="43" t="str">
        <f>VLOOKUP(VmSpecs[[#This Row],[Original Hostname (CMO)]],'SSOT Data'!A:AX,50,FALSE)</f>
        <v>Standard_D8s_v4</v>
      </c>
      <c r="X204" s="43">
        <v>64</v>
      </c>
      <c r="Y204" s="43" t="s">
        <v>65</v>
      </c>
      <c r="Z204" s="43" t="str">
        <f>"osdisk-"&amp;VmSpecs[[#This Row],[VM Name]]</f>
        <v>osdisk-vmpfbpf2fhi05</v>
      </c>
      <c r="AA204" s="47" t="s">
        <v>66</v>
      </c>
      <c r="AB204" s="73">
        <v>8</v>
      </c>
      <c r="AC204" s="74" t="s">
        <v>65</v>
      </c>
      <c r="AD204" s="84" t="str">
        <f>"disk-"&amp;VmSpecs[[#This Row],[VM Name]]&amp;"-001"</f>
        <v>disk-vmpfbpf2fhi05-001</v>
      </c>
      <c r="AE204" s="73">
        <v>32</v>
      </c>
      <c r="AF204" s="74" t="s">
        <v>65</v>
      </c>
      <c r="AG204" s="85" t="str">
        <f>"disk-"&amp;VmSpecs[[#This Row],[VM Name]]&amp;"-002"</f>
        <v>disk-vmpfbpf2fhi05-002</v>
      </c>
      <c r="AH204" s="59"/>
      <c r="AI204" s="42"/>
      <c r="AJ204" s="42"/>
      <c r="AK204" s="42"/>
      <c r="AL204" s="42" t="str">
        <f>MID(VmSpecs[[#This Row],[VM Name]],3,9)</f>
        <v>pfbpf2fhi</v>
      </c>
      <c r="AM204" s="42" t="str" cm="1">
        <f t="array" ref="AM204">_xlfn.TEXTJOIN(CHAR(10), TRUE, IF(NfsExports[FMO Single VM IP]=VmSpecs[[#This Row],[IP]],NfsExports[FMO Export Summary],""))</f>
        <v>/apps/pcehr 40GB</v>
      </c>
      <c r="AN204" s="43" t="str" cm="1">
        <f t="array" ref="AN20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04" s="42"/>
      <c r="AP204" s="42" t="str">
        <f>VmSpecs[[#This Row],[Description]]</f>
        <v>FHIR-OAG N5</v>
      </c>
      <c r="AQ204" s="43"/>
      <c r="AR204" s="43"/>
      <c r="AS204" s="43"/>
      <c r="AT204" s="43"/>
      <c r="AU204" s="43"/>
      <c r="AV204" s="42"/>
      <c r="AW204" s="42"/>
      <c r="AX204" s="42"/>
      <c r="AY204" s="42"/>
      <c r="AZ204" s="42"/>
      <c r="BA204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"FHIR-OAG N5"
Application Service: "FHI"
Lifecycle: "PFB"</v>
      </c>
      <c r="BB204" s="42" t="s">
        <v>513</v>
      </c>
      <c r="BC204" s="42" t="str">
        <f>VLOOKUP(VmSpecs[[#This Row],[Original Hostname (CMO)]],'SSOT Data'!A:AJ,36,FALSE)</f>
        <v>FHIR-OAG N5</v>
      </c>
      <c r="BD204" s="126">
        <f>VLOOKUP(VmSpecs[[#This Row],[Original Hostname (CMO)]],'SSOT Data'!A:AQ,43,FALSE)</f>
        <v>1</v>
      </c>
    </row>
    <row r="205" spans="1:56" ht="29" x14ac:dyDescent="0.35">
      <c r="A205" s="42"/>
      <c r="B205" s="42" t="str">
        <f>_xlfn.XLOOKUP(VmSpecs[[#This Row],[Subnet]],NetworkReference[Subnet],NetworkReference[Subscription])</f>
        <v>NINP-PERF2</v>
      </c>
      <c r="C205" s="43" t="str">
        <f>_xlfn.XLOOKUP(VmSpecs[[#This Row],[Subnet]],NetworkReference[Subnet],NetworkReference[Virtual Network Resource Group])</f>
        <v>rg-pf2-network-aue-001</v>
      </c>
      <c r="D205" s="43" t="str">
        <f>_xlfn.XLOOKUP(VmSpecs[[#This Row],[Subnet]],NetworkReference[Subnet],NetworkReference[Virtual Network])</f>
        <v>vnet-pf2-workload-aue-001</v>
      </c>
      <c r="E205" s="132" t="s">
        <v>489</v>
      </c>
      <c r="F205" s="43" t="str">
        <f>_xlfn.XLOOKUP(VmSpecs[[#This Row],[Subnet]],NetworkReference[Subnet],NetworkReference[Virtual Network Peering])</f>
        <v>vnet-ninp-conn-pnp-hub-aue</v>
      </c>
      <c r="G205" s="43" t="str">
        <f>_xlfn.XLOOKUP(VmSpecs[[#This Row],[Subnet]],NetworkReference[Subnet],NetworkReference[Route Table])</f>
        <v>rt-sn-pfb-aue-pf2-web</v>
      </c>
      <c r="H205" s="43" t="str">
        <f>LOWER(VLOOKUP(VmSpecs[[#This Row],[Original Hostname (CMO)]],'SSOT Data'!A:K,10,FALSE))</f>
        <v>fhi</v>
      </c>
      <c r="I20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05" s="44" t="s">
        <v>84</v>
      </c>
      <c r="K205" s="43" t="str">
        <f>_xlfn.CONCAT("vm",MID(VmSpecs[[#This Row],[Subnet]],4,3),VLOOKUP(VmSpecs[[#This Row],[Subscription]],NetworkReference[#All],2,FALSE),VmSpecs[[#This Row],[Service]],VmSpecs[[#This Row],[VM iteration (nn)]])</f>
        <v>vmpfbpf2fhi06</v>
      </c>
      <c r="L205" s="45" t="s">
        <v>61</v>
      </c>
      <c r="M205" s="43" t="str">
        <f>VmSpecs[[#This Row],[VM Name]]&amp;".ninp.myhealthrecord.gov.au"</f>
        <v>vmpfbpf2fhi06.ninp.myhealthrecord.gov.au</v>
      </c>
      <c r="N205" s="42" t="str">
        <f t="shared" si="3"/>
        <v>nic-001-vmpfbpf2fhi06</v>
      </c>
      <c r="O205" s="106" t="s">
        <v>514</v>
      </c>
      <c r="P205" s="46" t="s">
        <v>63</v>
      </c>
      <c r="Q205" s="42" t="str">
        <f>VLOOKUP(VmSpecs[[#This Row],[Original Hostname (CMO)]],'SSOT Data'!A:E,5,FALSE)</f>
        <v>OEL6.10</v>
      </c>
      <c r="R205" s="42"/>
      <c r="S205" s="42" t="str">
        <f>_xlfn.CONCAT("avail-",LEFT(VmSpecs[[#This Row],[VM Name]],LEN(VmSpecs[[#This Row],[VM Name]])-2))</f>
        <v>avail-vmpfbpf2fhi</v>
      </c>
      <c r="T205" s="42" t="str">
        <f>_xlfn.CONCAT("asg-",LEFT(VmSpecs[[#This Row],[VM Name]],LEN(VmSpecs[[#This Row],[VM Name]])-2))</f>
        <v>asg-vmpfbpf2fhi</v>
      </c>
      <c r="U205" s="42" t="str">
        <f>_xlfn.CONCAT("nsg-",VmSpecs[[#This Row],[Subnet]])</f>
        <v>nsg-sn-pfb-aue-pf2-web</v>
      </c>
      <c r="V205" s="42"/>
      <c r="W205" s="43" t="str">
        <f>VLOOKUP(VmSpecs[[#This Row],[Original Hostname (CMO)]],'SSOT Data'!A:AX,50,FALSE)</f>
        <v>Standard_D8s_v4</v>
      </c>
      <c r="X205" s="43">
        <v>64</v>
      </c>
      <c r="Y205" s="43" t="s">
        <v>65</v>
      </c>
      <c r="Z205" s="43" t="str">
        <f>"osdisk-"&amp;VmSpecs[[#This Row],[VM Name]]</f>
        <v>osdisk-vmpfbpf2fhi06</v>
      </c>
      <c r="AA205" s="47" t="s">
        <v>66</v>
      </c>
      <c r="AB205" s="73">
        <v>8</v>
      </c>
      <c r="AC205" s="74" t="s">
        <v>65</v>
      </c>
      <c r="AD205" s="84" t="str">
        <f>"disk-"&amp;VmSpecs[[#This Row],[VM Name]]&amp;"-001"</f>
        <v>disk-vmpfbpf2fhi06-001</v>
      </c>
      <c r="AE205" s="73">
        <v>32</v>
      </c>
      <c r="AF205" s="74" t="s">
        <v>65</v>
      </c>
      <c r="AG205" s="85" t="str">
        <f>"disk-"&amp;VmSpecs[[#This Row],[VM Name]]&amp;"-002"</f>
        <v>disk-vmpfbpf2fhi06-002</v>
      </c>
      <c r="AH205" s="59"/>
      <c r="AI205" s="42"/>
      <c r="AJ205" s="42"/>
      <c r="AK205" s="42"/>
      <c r="AL205" s="42" t="str">
        <f>MID(VmSpecs[[#This Row],[VM Name]],3,9)</f>
        <v>pfbpf2fhi</v>
      </c>
      <c r="AM205" s="42" t="str" cm="1">
        <f t="array" ref="AM205">_xlfn.TEXTJOIN(CHAR(10), TRUE, IF(NfsExports[FMO Single VM IP]=VmSpecs[[#This Row],[IP]],NfsExports[FMO Export Summary],""))</f>
        <v>/apps/pcehr 40GB</v>
      </c>
      <c r="AN205" s="43" t="str" cm="1">
        <f t="array" ref="AN20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05" s="42"/>
      <c r="AP205" s="42" t="str">
        <f>VmSpecs[[#This Row],[Description]]</f>
        <v>FHIR-OAG N6</v>
      </c>
      <c r="AQ205" s="43"/>
      <c r="AR205" s="43"/>
      <c r="AS205" s="43"/>
      <c r="AT205" s="43"/>
      <c r="AU205" s="43"/>
      <c r="AV205" s="42"/>
      <c r="AW205" s="42"/>
      <c r="AX205" s="42"/>
      <c r="AY205" s="42"/>
      <c r="AZ205" s="42"/>
      <c r="BA205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"FHIR-OAG N6"
Application Service: "FHI"
Lifecycle: "PFB"</v>
      </c>
      <c r="BB205" s="42" t="s">
        <v>515</v>
      </c>
      <c r="BC205" s="42" t="str">
        <f>VLOOKUP(VmSpecs[[#This Row],[Original Hostname (CMO)]],'SSOT Data'!A:AJ,36,FALSE)</f>
        <v>FHIR-OAG N6</v>
      </c>
      <c r="BD205" s="126">
        <f>VLOOKUP(VmSpecs[[#This Row],[Original Hostname (CMO)]],'SSOT Data'!A:AQ,43,FALSE)</f>
        <v>1</v>
      </c>
    </row>
    <row r="206" spans="1:56" ht="29" x14ac:dyDescent="0.35">
      <c r="A206" s="42"/>
      <c r="B206" s="86" t="str">
        <f>_xlfn.XLOOKUP(VmSpecs[[#This Row],[Subnet]],NetworkReference[Subnet],NetworkReference[Subscription])</f>
        <v>NINP-PERF2</v>
      </c>
      <c r="C206" s="87" t="str">
        <f>_xlfn.XLOOKUP(VmSpecs[[#This Row],[Subnet]],NetworkReference[Subnet],NetworkReference[Virtual Network Resource Group])</f>
        <v>rg-pf2-network-aue-001</v>
      </c>
      <c r="D206" s="87" t="str">
        <f>_xlfn.XLOOKUP(VmSpecs[[#This Row],[Subnet]],NetworkReference[Subnet],NetworkReference[Virtual Network])</f>
        <v>vnet-pf2-workload-aue-001</v>
      </c>
      <c r="E206" s="132" t="s">
        <v>489</v>
      </c>
      <c r="F206" s="87" t="str">
        <f>_xlfn.XLOOKUP(VmSpecs[[#This Row],[Subnet]],NetworkReference[Subnet],NetworkReference[Virtual Network Peering])</f>
        <v>vnet-ninp-conn-pnp-hub-aue</v>
      </c>
      <c r="G206" s="43" t="str">
        <f>_xlfn.XLOOKUP(VmSpecs[[#This Row],[Subnet]],NetworkReference[Subnet],NetworkReference[Route Table])</f>
        <v>rt-sn-pfb-aue-pf2-web</v>
      </c>
      <c r="H206" s="43" t="str">
        <f>LOWER(VLOOKUP(VmSpecs[[#This Row],[Original Hostname (CMO)]],'SSOT Data'!A:K,10,FALSE))</f>
        <v>fhi</v>
      </c>
      <c r="I206" s="87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06" s="88" t="s">
        <v>99</v>
      </c>
      <c r="K206" s="87" t="str">
        <f>_xlfn.CONCAT("vm",MID(VmSpecs[[#This Row],[Subnet]],4,3),VLOOKUP(VmSpecs[[#This Row],[Subscription]],NetworkReference[#All],2,FALSE),VmSpecs[[#This Row],[Service]],VmSpecs[[#This Row],[VM iteration (nn)]])</f>
        <v>vmpfbpf2fhi07</v>
      </c>
      <c r="L206" s="45" t="s">
        <v>61</v>
      </c>
      <c r="M206" s="87" t="str">
        <f>VmSpecs[[#This Row],[VM Name]]&amp;".ninp.myhealthrecord.gov.au"</f>
        <v>vmpfbpf2fhi07.ninp.myhealthrecord.gov.au</v>
      </c>
      <c r="N206" s="86" t="str">
        <f t="shared" si="3"/>
        <v>nic-001-vmpfbpf2fhi07</v>
      </c>
      <c r="O206" s="106" t="s">
        <v>516</v>
      </c>
      <c r="P206" s="46" t="s">
        <v>63</v>
      </c>
      <c r="Q206" s="42" t="str">
        <f>VLOOKUP(VmSpecs[[#This Row],[Original Hostname (CMO)]],'SSOT Data'!A:E,5,FALSE)</f>
        <v>OEL6.10</v>
      </c>
      <c r="R206" s="86"/>
      <c r="S206" s="42" t="str">
        <f>_xlfn.CONCAT("avail-",LEFT(VmSpecs[[#This Row],[VM Name]],LEN(VmSpecs[[#This Row],[VM Name]])-2))</f>
        <v>avail-vmpfbpf2fhi</v>
      </c>
      <c r="T206" s="86" t="str">
        <f>_xlfn.CONCAT("asg-",LEFT(VmSpecs[[#This Row],[VM Name]],LEN(VmSpecs[[#This Row],[VM Name]])-2))</f>
        <v>asg-vmpfbpf2fhi</v>
      </c>
      <c r="U206" s="86" t="str">
        <f>_xlfn.CONCAT("nsg-",VmSpecs[[#This Row],[Subnet]])</f>
        <v>nsg-sn-pfb-aue-pf2-web</v>
      </c>
      <c r="V206" s="86"/>
      <c r="W206" s="87" t="str">
        <f>VLOOKUP(VmSpecs[[#This Row],[Original Hostname (CMO)]],'SSOT Data'!A:AX,50,FALSE)</f>
        <v>Standard_D8s_v4</v>
      </c>
      <c r="X206" s="43">
        <v>64</v>
      </c>
      <c r="Y206" s="43" t="s">
        <v>65</v>
      </c>
      <c r="Z206" s="43" t="str">
        <f>"osdisk-"&amp;VmSpecs[[#This Row],[VM Name]]</f>
        <v>osdisk-vmpfbpf2fhi07</v>
      </c>
      <c r="AA206" s="47" t="s">
        <v>66</v>
      </c>
      <c r="AB206" s="73">
        <v>8</v>
      </c>
      <c r="AC206" s="74" t="s">
        <v>65</v>
      </c>
      <c r="AD206" s="89" t="str">
        <f>"disk-"&amp;VmSpecs[[#This Row],[VM Name]]&amp;"-001"</f>
        <v>disk-vmpfbpf2fhi07-001</v>
      </c>
      <c r="AE206" s="73">
        <v>32</v>
      </c>
      <c r="AF206" s="74" t="s">
        <v>65</v>
      </c>
      <c r="AG206" s="90" t="str">
        <f>"disk-"&amp;VmSpecs[[#This Row],[VM Name]]&amp;"-002"</f>
        <v>disk-vmpfbpf2fhi07-002</v>
      </c>
      <c r="AH206" s="91"/>
      <c r="AI206" s="86"/>
      <c r="AJ206" s="86"/>
      <c r="AK206" s="86"/>
      <c r="AL206" s="86" t="str">
        <f>MID(VmSpecs[[#This Row],[VM Name]],3,9)</f>
        <v>pfbpf2fhi</v>
      </c>
      <c r="AM206" s="86" t="str" cm="1">
        <f t="array" ref="AM206">_xlfn.TEXTJOIN(CHAR(10), TRUE, IF(NfsExports[FMO Single VM IP]=VmSpecs[[#This Row],[IP]],NfsExports[FMO Export Summary],""))</f>
        <v>/apps/pcehr 40GB</v>
      </c>
      <c r="AN206" s="87" t="str" cm="1">
        <f t="array" ref="AN20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06" s="86"/>
      <c r="AP206" s="86" t="str">
        <f>VmSpecs[[#This Row],[Description]]</f>
        <v>FHIR-OAG N7</v>
      </c>
      <c r="AQ206" s="87"/>
      <c r="AR206" s="43"/>
      <c r="AS206" s="43"/>
      <c r="AT206" s="43"/>
      <c r="AU206" s="43"/>
      <c r="AV206" s="42"/>
      <c r="AW206" s="42"/>
      <c r="AX206" s="42"/>
      <c r="AY206" s="42"/>
      <c r="AZ206" s="42"/>
      <c r="BA206" s="110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"FHIR-OAG N7"
Application Service: "FHI"
Lifecycle: "PFB"</v>
      </c>
      <c r="BB206" s="86" t="s">
        <v>517</v>
      </c>
      <c r="BC206" s="86" t="str">
        <f>VLOOKUP(VmSpecs[[#This Row],[Original Hostname (CMO)]],'SSOT Data'!A:AJ,36,FALSE)</f>
        <v>FHIR-OAG N7</v>
      </c>
      <c r="BD206" s="126">
        <f>VLOOKUP(VmSpecs[[#This Row],[Original Hostname (CMO)]],'SSOT Data'!A:AQ,43,FALSE)</f>
        <v>1</v>
      </c>
    </row>
    <row r="207" spans="1:56" ht="29" x14ac:dyDescent="0.35">
      <c r="A207" s="78"/>
      <c r="B207" s="42" t="str">
        <f>_xlfn.XLOOKUP(VmSpecs[[#This Row],[Subnet]],NetworkReference[Subnet],NetworkReference[Subscription])</f>
        <v>NINP-PERF2</v>
      </c>
      <c r="C207" s="43" t="str">
        <f>_xlfn.XLOOKUP(VmSpecs[[#This Row],[Subnet]],NetworkReference[Subnet],NetworkReference[Virtual Network Resource Group])</f>
        <v>rg-pf2-network-aue-001</v>
      </c>
      <c r="D207" s="43" t="str">
        <f>_xlfn.XLOOKUP(VmSpecs[[#This Row],[Subnet]],NetworkReference[Subnet],NetworkReference[Virtual Network])</f>
        <v>vnet-pf2-workload-aue-001</v>
      </c>
      <c r="E207" s="132" t="s">
        <v>489</v>
      </c>
      <c r="F207" s="43" t="str">
        <f>_xlfn.XLOOKUP(VmSpecs[[#This Row],[Subnet]],NetworkReference[Subnet],NetworkReference[Virtual Network Peering])</f>
        <v>vnet-ninp-conn-pnp-hub-aue</v>
      </c>
      <c r="G207" s="43" t="str">
        <f>_xlfn.XLOOKUP(VmSpecs[[#This Row],[Subnet]],NetworkReference[Subnet],NetworkReference[Route Table])</f>
        <v>rt-sn-pfb-aue-pf2-web</v>
      </c>
      <c r="H207" s="43" t="str">
        <f>LOWER(VLOOKUP(VmSpecs[[#This Row],[Original Hostname (CMO)]],'SSOT Data'!A:K,10,FALSE))</f>
        <v>fhi</v>
      </c>
      <c r="I20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07" s="44" t="s">
        <v>102</v>
      </c>
      <c r="K207" s="43" t="str">
        <f>_xlfn.CONCAT("vm",MID(VmSpecs[[#This Row],[Subnet]],4,3),VLOOKUP(VmSpecs[[#This Row],[Subscription]],NetworkReference[#All],2,FALSE),VmSpecs[[#This Row],[Service]],VmSpecs[[#This Row],[VM iteration (nn)]])</f>
        <v>vmpfbpf2fhi08</v>
      </c>
      <c r="L207" s="45" t="s">
        <v>61</v>
      </c>
      <c r="M207" s="43" t="str">
        <f>VmSpecs[[#This Row],[VM Name]]&amp;".ninp.myhealthrecord.gov.au"</f>
        <v>vmpfbpf2fhi08.ninp.myhealthrecord.gov.au</v>
      </c>
      <c r="N207" s="42" t="str">
        <f t="shared" si="3"/>
        <v>nic-001-vmpfbpf2fhi08</v>
      </c>
      <c r="O207" s="106" t="s">
        <v>518</v>
      </c>
      <c r="P207" s="46" t="s">
        <v>63</v>
      </c>
      <c r="Q207" s="42" t="str">
        <f>VLOOKUP(VmSpecs[[#This Row],[Original Hostname (CMO)]],'SSOT Data'!A:E,5,FALSE)</f>
        <v>OEL6.10</v>
      </c>
      <c r="R207" s="42"/>
      <c r="S207" s="42" t="str">
        <f>_xlfn.CONCAT("avail-",LEFT(VmSpecs[[#This Row],[VM Name]],LEN(VmSpecs[[#This Row],[VM Name]])-2))</f>
        <v>avail-vmpfbpf2fhi</v>
      </c>
      <c r="T207" s="42" t="str">
        <f>_xlfn.CONCAT("asg-",LEFT(VmSpecs[[#This Row],[VM Name]],LEN(VmSpecs[[#This Row],[VM Name]])-2))</f>
        <v>asg-vmpfbpf2fhi</v>
      </c>
      <c r="U207" s="42" t="str">
        <f>_xlfn.CONCAT("nsg-",VmSpecs[[#This Row],[Subnet]])</f>
        <v>nsg-sn-pfb-aue-pf2-web</v>
      </c>
      <c r="V207" s="42"/>
      <c r="W207" s="43" t="str">
        <f>VLOOKUP(VmSpecs[[#This Row],[Original Hostname (CMO)]],'SSOT Data'!A:AX,50,FALSE)</f>
        <v>Standard_D8s_v4</v>
      </c>
      <c r="X207" s="43">
        <v>64</v>
      </c>
      <c r="Y207" s="43" t="s">
        <v>65</v>
      </c>
      <c r="Z207" s="43" t="str">
        <f>"osdisk-"&amp;VmSpecs[[#This Row],[VM Name]]</f>
        <v>osdisk-vmpfbpf2fhi08</v>
      </c>
      <c r="AA207" s="47" t="s">
        <v>66</v>
      </c>
      <c r="AB207" s="73">
        <v>8</v>
      </c>
      <c r="AC207" s="74" t="s">
        <v>65</v>
      </c>
      <c r="AD207" s="84" t="str">
        <f>"disk-"&amp;VmSpecs[[#This Row],[VM Name]]&amp;"-001"</f>
        <v>disk-vmpfbpf2fhi08-001</v>
      </c>
      <c r="AE207" s="73">
        <v>32</v>
      </c>
      <c r="AF207" s="74" t="s">
        <v>65</v>
      </c>
      <c r="AG207" s="85" t="str">
        <f>"disk-"&amp;VmSpecs[[#This Row],[VM Name]]&amp;"-002"</f>
        <v>disk-vmpfbpf2fhi08-002</v>
      </c>
      <c r="AH207" s="59"/>
      <c r="AI207" s="42"/>
      <c r="AJ207" s="42"/>
      <c r="AK207" s="42"/>
      <c r="AL207" s="42" t="str">
        <f>MID(VmSpecs[[#This Row],[VM Name]],3,9)</f>
        <v>pfbpf2fhi</v>
      </c>
      <c r="AM207" s="42" t="str" cm="1">
        <f t="array" ref="AM207">_xlfn.TEXTJOIN(CHAR(10), TRUE, IF(NfsExports[FMO Single VM IP]=VmSpecs[[#This Row],[IP]],NfsExports[FMO Export Summary],""))</f>
        <v>/apps/pcehr 40GB</v>
      </c>
      <c r="AN207" s="43" t="str" cm="1">
        <f t="array" ref="AN20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07" s="42"/>
      <c r="AP207" s="42" t="str">
        <f>VmSpecs[[#This Row],[Description]]</f>
        <v>FHIR-OAG N8</v>
      </c>
      <c r="AQ207" s="43"/>
      <c r="AR207" s="43"/>
      <c r="AS207" s="43"/>
      <c r="AT207" s="43"/>
      <c r="AU207" s="43"/>
      <c r="AV207" s="42"/>
      <c r="AW207" s="42"/>
      <c r="AX207" s="42"/>
      <c r="AY207" s="42"/>
      <c r="AZ207" s="42"/>
      <c r="BA207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"FHIR-OAG N8"
Application Service: "FHI"
Lifecycle: "PFB"</v>
      </c>
      <c r="BB207" s="78" t="s">
        <v>519</v>
      </c>
      <c r="BC207" s="42" t="str">
        <f>VLOOKUP(VmSpecs[[#This Row],[Original Hostname (CMO)]],'SSOT Data'!A:AJ,36,FALSE)</f>
        <v>FHIR-OAG N8</v>
      </c>
      <c r="BD207" s="126">
        <f>VLOOKUP(VmSpecs[[#This Row],[Original Hostname (CMO)]],'SSOT Data'!A:AQ,43,FALSE)</f>
        <v>1</v>
      </c>
    </row>
    <row r="208" spans="1:56" ht="29" x14ac:dyDescent="0.35">
      <c r="A208" s="78" t="s">
        <v>58</v>
      </c>
      <c r="B208" s="42" t="str">
        <f>_xlfn.XLOOKUP(VmSpecs[[#This Row],[Subnet]],NetworkReference[Subnet],NetworkReference[Subscription])</f>
        <v>NINP-PERF2</v>
      </c>
      <c r="C208" s="43" t="str">
        <f>_xlfn.XLOOKUP(VmSpecs[[#This Row],[Subnet]],NetworkReference[Subnet],NetworkReference[Virtual Network Resource Group])</f>
        <v>rg-pf2-network-aue-001</v>
      </c>
      <c r="D208" s="43" t="str">
        <f>_xlfn.XLOOKUP(VmSpecs[[#This Row],[Subnet]],NetworkReference[Subnet],NetworkReference[Virtual Network])</f>
        <v>vnet-pf2-workload-aue-001</v>
      </c>
      <c r="E208" s="132" t="s">
        <v>489</v>
      </c>
      <c r="F208" s="43" t="str">
        <f>_xlfn.XLOOKUP(VmSpecs[[#This Row],[Subnet]],NetworkReference[Subnet],NetworkReference[Virtual Network Peering])</f>
        <v>vnet-ninp-conn-pnp-hub-aue</v>
      </c>
      <c r="G208" s="43" t="str">
        <f>_xlfn.XLOOKUP(VmSpecs[[#This Row],[Subnet]],NetworkReference[Subnet],NetworkReference[Route Table])</f>
        <v>rt-sn-pfb-aue-pf2-web</v>
      </c>
      <c r="H208" s="43" t="str">
        <f>LOWER(VLOOKUP(VmSpecs[[#This Row],[Original Hostname (CMO)]],'SSOT Data'!A:K,10,FALSE))</f>
        <v>inj</v>
      </c>
      <c r="I20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08" s="44" t="s">
        <v>60</v>
      </c>
      <c r="K208" s="43" t="str">
        <f>_xlfn.CONCAT("vm",MID(VmSpecs[[#This Row],[Subnet]],4,3),VLOOKUP(VmSpecs[[#This Row],[Subscription]],NetworkReference[#All],2,FALSE),VmSpecs[[#This Row],[Service]],VmSpecs[[#This Row],[VM iteration (nn)]])</f>
        <v>vmpfbpf2inj01</v>
      </c>
      <c r="L208" s="45" t="s">
        <v>61</v>
      </c>
      <c r="M208" s="43" t="str">
        <f>VmSpecs[[#This Row],[VM Name]]&amp;".ninp.myhealthrecord.gov.au"</f>
        <v>vmpfbpf2inj01.ninp.myhealthrecord.gov.au</v>
      </c>
      <c r="N208" s="42" t="str">
        <f t="shared" si="3"/>
        <v>nic-001-vmpfbpf2inj01</v>
      </c>
      <c r="O208" s="106" t="s">
        <v>520</v>
      </c>
      <c r="P208" s="46" t="s">
        <v>521</v>
      </c>
      <c r="Q208" s="42" t="s">
        <v>522</v>
      </c>
      <c r="R208" s="42"/>
      <c r="S208" s="42" t="str">
        <f>_xlfn.CONCAT("avail-",LEFT(VmSpecs[[#This Row],[VM Name]],LEN(VmSpecs[[#This Row],[VM Name]])-2))</f>
        <v>avail-vmpfbpf2inj</v>
      </c>
      <c r="T208" s="42" t="str">
        <f>_xlfn.CONCAT("asg-",LEFT(VmSpecs[[#This Row],[VM Name]],LEN(VmSpecs[[#This Row],[VM Name]])-2))</f>
        <v>asg-vmpfbpf2inj</v>
      </c>
      <c r="U208" s="42" t="str">
        <f>_xlfn.CONCAT("nsg-",VmSpecs[[#This Row],[Subnet]])</f>
        <v>nsg-sn-pfb-aue-pf2-web</v>
      </c>
      <c r="V208" s="42"/>
      <c r="W208" s="43" t="str">
        <f>VLOOKUP(VmSpecs[[#This Row],[Original Hostname (CMO)]],'SSOT Data'!A:AX,50,FALSE)</f>
        <v>Standard_D4s_v4</v>
      </c>
      <c r="X208" s="43">
        <v>128</v>
      </c>
      <c r="Y208" s="43" t="s">
        <v>65</v>
      </c>
      <c r="Z208" s="43" t="str">
        <f>"osdisk-"&amp;VmSpecs[[#This Row],[VM Name]]</f>
        <v>osdisk-vmpfbpf2inj01</v>
      </c>
      <c r="AA208" s="47" t="s">
        <v>66</v>
      </c>
      <c r="AB208" s="73">
        <v>8</v>
      </c>
      <c r="AC208" s="74" t="s">
        <v>65</v>
      </c>
      <c r="AD208" s="84" t="str">
        <f>"disk-"&amp;VmSpecs[[#This Row],[VM Name]]&amp;"-001"</f>
        <v>disk-vmpfbpf2inj01-001</v>
      </c>
      <c r="AE208" s="73">
        <v>32</v>
      </c>
      <c r="AF208" s="74" t="s">
        <v>65</v>
      </c>
      <c r="AG208" s="85" t="str">
        <f>"disk-"&amp;VmSpecs[[#This Row],[VM Name]]&amp;"-002"</f>
        <v>disk-vmpfbpf2inj01-002</v>
      </c>
      <c r="AH208" s="59"/>
      <c r="AI208" s="42"/>
      <c r="AJ208" s="42"/>
      <c r="AK208" s="42"/>
      <c r="AL208" s="42" t="str">
        <f>MID(VmSpecs[[#This Row],[VM Name]],3,9)</f>
        <v>pfbpf2inj</v>
      </c>
      <c r="AM208" s="42" t="str" cm="1">
        <f t="array" ref="AM208">_xlfn.TEXTJOIN(CHAR(10), TRUE, IF(NfsExports[FMO Single VM IP]=VmSpecs[[#This Row],[IP]],NfsExports[FMO Export Summary],""))</f>
        <v/>
      </c>
      <c r="AN208" s="43"/>
      <c r="AO208" s="42"/>
      <c r="AP208" s="42" t="str">
        <f>"PerfTest " &amp; VmSpecs[[#This Row],[VM iteration (nn)]]</f>
        <v>PerfTest 01</v>
      </c>
      <c r="AQ208" s="43"/>
      <c r="AR208" s="43" t="s">
        <v>64</v>
      </c>
      <c r="AS208" s="43" t="s">
        <v>64</v>
      </c>
      <c r="AT208" s="43" t="s">
        <v>64</v>
      </c>
      <c r="AU208" s="43" t="s">
        <v>64</v>
      </c>
      <c r="AV208" s="42" t="s">
        <v>66</v>
      </c>
      <c r="AW208" s="42" t="s">
        <v>67</v>
      </c>
      <c r="AX208" s="42" t="s">
        <v>68</v>
      </c>
      <c r="AY208" s="42" t="s">
        <v>64</v>
      </c>
      <c r="AZ208" s="42" t="s">
        <v>64</v>
      </c>
      <c r="BA20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01"
Application Service: "INJ"
Lifecycle: "PFB"</v>
      </c>
      <c r="BB208" s="78" t="s">
        <v>523</v>
      </c>
      <c r="BC208" s="42" t="str">
        <f>VLOOKUP(VmSpecs[[#This Row],[Original Hostname (CMO)]],'SSOT Data'!A:AJ,36,FALSE)</f>
        <v>PerfTest 1</v>
      </c>
      <c r="BD208" s="43"/>
    </row>
    <row r="209" spans="1:56" ht="29" x14ac:dyDescent="0.35">
      <c r="A209" s="78" t="s">
        <v>58</v>
      </c>
      <c r="B209" s="42" t="str">
        <f>_xlfn.XLOOKUP(VmSpecs[[#This Row],[Subnet]],NetworkReference[Subnet],NetworkReference[Subscription])</f>
        <v>NINP-PERF2</v>
      </c>
      <c r="C209" s="43" t="str">
        <f>_xlfn.XLOOKUP(VmSpecs[[#This Row],[Subnet]],NetworkReference[Subnet],NetworkReference[Virtual Network Resource Group])</f>
        <v>rg-pf2-network-aue-001</v>
      </c>
      <c r="D209" s="43" t="str">
        <f>_xlfn.XLOOKUP(VmSpecs[[#This Row],[Subnet]],NetworkReference[Subnet],NetworkReference[Virtual Network])</f>
        <v>vnet-pf2-workload-aue-001</v>
      </c>
      <c r="E209" s="132" t="s">
        <v>489</v>
      </c>
      <c r="F209" s="43" t="str">
        <f>_xlfn.XLOOKUP(VmSpecs[[#This Row],[Subnet]],NetworkReference[Subnet],NetworkReference[Virtual Network Peering])</f>
        <v>vnet-ninp-conn-pnp-hub-aue</v>
      </c>
      <c r="G209" s="43" t="str">
        <f>_xlfn.XLOOKUP(VmSpecs[[#This Row],[Subnet]],NetworkReference[Subnet],NetworkReference[Route Table])</f>
        <v>rt-sn-pfb-aue-pf2-web</v>
      </c>
      <c r="H209" s="43" t="str">
        <f>LOWER(VLOOKUP(VmSpecs[[#This Row],[Original Hostname (CMO)]],'SSOT Data'!A:K,10,FALSE))</f>
        <v>inj</v>
      </c>
      <c r="I20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09" s="44" t="s">
        <v>72</v>
      </c>
      <c r="K209" s="43" t="str">
        <f>_xlfn.CONCAT("vm",MID(VmSpecs[[#This Row],[Subnet]],4,3),VLOOKUP(VmSpecs[[#This Row],[Subscription]],NetworkReference[#All],2,FALSE),VmSpecs[[#This Row],[Service]],VmSpecs[[#This Row],[VM iteration (nn)]])</f>
        <v>vmpfbpf2inj02</v>
      </c>
      <c r="L209" s="45" t="s">
        <v>61</v>
      </c>
      <c r="M209" s="43" t="str">
        <f>VmSpecs[[#This Row],[VM Name]]&amp;".ninp.myhealthrecord.gov.au"</f>
        <v>vmpfbpf2inj02.ninp.myhealthrecord.gov.au</v>
      </c>
      <c r="N209" s="42" t="str">
        <f t="shared" si="3"/>
        <v>nic-001-vmpfbpf2inj02</v>
      </c>
      <c r="O209" s="106" t="s">
        <v>524</v>
      </c>
      <c r="P209" s="46" t="s">
        <v>521</v>
      </c>
      <c r="Q209" s="42" t="s">
        <v>522</v>
      </c>
      <c r="R209" s="42"/>
      <c r="S209" s="42" t="str">
        <f>_xlfn.CONCAT("avail-",LEFT(VmSpecs[[#This Row],[VM Name]],LEN(VmSpecs[[#This Row],[VM Name]])-2))</f>
        <v>avail-vmpfbpf2inj</v>
      </c>
      <c r="T209" s="42" t="str">
        <f>_xlfn.CONCAT("asg-",LEFT(VmSpecs[[#This Row],[VM Name]],LEN(VmSpecs[[#This Row],[VM Name]])-2))</f>
        <v>asg-vmpfbpf2inj</v>
      </c>
      <c r="U209" s="42" t="str">
        <f>_xlfn.CONCAT("nsg-",VmSpecs[[#This Row],[Subnet]])</f>
        <v>nsg-sn-pfb-aue-pf2-web</v>
      </c>
      <c r="V209" s="42"/>
      <c r="W209" s="43" t="str">
        <f>VLOOKUP(VmSpecs[[#This Row],[Original Hostname (CMO)]],'SSOT Data'!A:AX,50,FALSE)</f>
        <v>Standard_D2s_v4</v>
      </c>
      <c r="X209" s="43">
        <v>128</v>
      </c>
      <c r="Y209" s="43" t="s">
        <v>65</v>
      </c>
      <c r="Z209" s="43" t="str">
        <f>"osdisk-"&amp;VmSpecs[[#This Row],[VM Name]]</f>
        <v>osdisk-vmpfbpf2inj02</v>
      </c>
      <c r="AA209" s="47" t="s">
        <v>66</v>
      </c>
      <c r="AB209" s="73">
        <v>8</v>
      </c>
      <c r="AC209" s="74" t="s">
        <v>65</v>
      </c>
      <c r="AD209" s="84" t="str">
        <f>"disk-"&amp;VmSpecs[[#This Row],[VM Name]]&amp;"-001"</f>
        <v>disk-vmpfbpf2inj02-001</v>
      </c>
      <c r="AE209" s="73">
        <v>32</v>
      </c>
      <c r="AF209" s="74" t="s">
        <v>65</v>
      </c>
      <c r="AG209" s="85" t="str">
        <f>"disk-"&amp;VmSpecs[[#This Row],[VM Name]]&amp;"-002"</f>
        <v>disk-vmpfbpf2inj02-002</v>
      </c>
      <c r="AH209" s="59"/>
      <c r="AI209" s="42"/>
      <c r="AJ209" s="42"/>
      <c r="AK209" s="42"/>
      <c r="AL209" s="42" t="str">
        <f>MID(VmSpecs[[#This Row],[VM Name]],3,9)</f>
        <v>pfbpf2inj</v>
      </c>
      <c r="AM209" s="42" t="str" cm="1">
        <f t="array" ref="AM209">_xlfn.TEXTJOIN(CHAR(10), TRUE, IF(NfsExports[FMO Single VM IP]=VmSpecs[[#This Row],[IP]],NfsExports[FMO Export Summary],""))</f>
        <v/>
      </c>
      <c r="AN209" s="43"/>
      <c r="AO209" s="42"/>
      <c r="AP209" s="42" t="str">
        <f>"PerfTest " &amp; VmSpecs[[#This Row],[VM iteration (nn)]]</f>
        <v>PerfTest 02</v>
      </c>
      <c r="AQ209" s="43"/>
      <c r="AR209" s="43" t="s">
        <v>64</v>
      </c>
      <c r="AS209" s="43" t="s">
        <v>64</v>
      </c>
      <c r="AT209" s="43" t="s">
        <v>64</v>
      </c>
      <c r="AU209" s="43" t="s">
        <v>64</v>
      </c>
      <c r="AV209" s="42" t="s">
        <v>66</v>
      </c>
      <c r="AW209" s="42" t="s">
        <v>67</v>
      </c>
      <c r="AX209" s="42" t="s">
        <v>68</v>
      </c>
      <c r="AY209" s="42" t="s">
        <v>64</v>
      </c>
      <c r="AZ209" s="42" t="s">
        <v>64</v>
      </c>
      <c r="BA20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02"
Application Service: "INJ"
Lifecycle: "PFB"</v>
      </c>
      <c r="BB209" s="78" t="s">
        <v>525</v>
      </c>
      <c r="BC209" s="42" t="str">
        <f>VLOOKUP(VmSpecs[[#This Row],[Original Hostname (CMO)]],'SSOT Data'!A:AJ,36,FALSE)</f>
        <v>PerfTest 10</v>
      </c>
      <c r="BD209" s="43"/>
    </row>
    <row r="210" spans="1:56" ht="29" x14ac:dyDescent="0.35">
      <c r="A210" s="78" t="s">
        <v>58</v>
      </c>
      <c r="B210" s="42" t="str">
        <f>_xlfn.XLOOKUP(VmSpecs[[#This Row],[Subnet]],NetworkReference[Subnet],NetworkReference[Subscription])</f>
        <v>NINP-PERF2</v>
      </c>
      <c r="C210" s="43" t="str">
        <f>_xlfn.XLOOKUP(VmSpecs[[#This Row],[Subnet]],NetworkReference[Subnet],NetworkReference[Virtual Network Resource Group])</f>
        <v>rg-pf2-network-aue-001</v>
      </c>
      <c r="D210" s="43" t="str">
        <f>_xlfn.XLOOKUP(VmSpecs[[#This Row],[Subnet]],NetworkReference[Subnet],NetworkReference[Virtual Network])</f>
        <v>vnet-pf2-workload-aue-001</v>
      </c>
      <c r="E210" s="132" t="s">
        <v>489</v>
      </c>
      <c r="F210" s="43" t="str">
        <f>_xlfn.XLOOKUP(VmSpecs[[#This Row],[Subnet]],NetworkReference[Subnet],NetworkReference[Virtual Network Peering])</f>
        <v>vnet-ninp-conn-pnp-hub-aue</v>
      </c>
      <c r="G210" s="43" t="str">
        <f>_xlfn.XLOOKUP(VmSpecs[[#This Row],[Subnet]],NetworkReference[Subnet],NetworkReference[Route Table])</f>
        <v>rt-sn-pfb-aue-pf2-web</v>
      </c>
      <c r="H210" s="43" t="str">
        <f>LOWER(VLOOKUP(VmSpecs[[#This Row],[Original Hostname (CMO)]],'SSOT Data'!A:K,10,FALSE))</f>
        <v>inj</v>
      </c>
      <c r="I21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10" s="44" t="s">
        <v>75</v>
      </c>
      <c r="K210" s="43" t="str">
        <f>_xlfn.CONCAT("vm",MID(VmSpecs[[#This Row],[Subnet]],4,3),VLOOKUP(VmSpecs[[#This Row],[Subscription]],NetworkReference[#All],2,FALSE),VmSpecs[[#This Row],[Service]],VmSpecs[[#This Row],[VM iteration (nn)]])</f>
        <v>vmpfbpf2inj03</v>
      </c>
      <c r="L210" s="45" t="s">
        <v>61</v>
      </c>
      <c r="M210" s="43" t="str">
        <f>VmSpecs[[#This Row],[VM Name]]&amp;".ninp.myhealthrecord.gov.au"</f>
        <v>vmpfbpf2inj03.ninp.myhealthrecord.gov.au</v>
      </c>
      <c r="N210" s="42" t="str">
        <f t="shared" si="3"/>
        <v>nic-001-vmpfbpf2inj03</v>
      </c>
      <c r="O210" s="106" t="s">
        <v>526</v>
      </c>
      <c r="P210" s="46" t="s">
        <v>521</v>
      </c>
      <c r="Q210" s="42" t="s">
        <v>522</v>
      </c>
      <c r="R210" s="42"/>
      <c r="S210" s="42" t="str">
        <f>_xlfn.CONCAT("avail-",LEFT(VmSpecs[[#This Row],[VM Name]],LEN(VmSpecs[[#This Row],[VM Name]])-2))</f>
        <v>avail-vmpfbpf2inj</v>
      </c>
      <c r="T210" s="42" t="str">
        <f>_xlfn.CONCAT("asg-",LEFT(VmSpecs[[#This Row],[VM Name]],LEN(VmSpecs[[#This Row],[VM Name]])-2))</f>
        <v>asg-vmpfbpf2inj</v>
      </c>
      <c r="U210" s="42" t="str">
        <f>_xlfn.CONCAT("nsg-",VmSpecs[[#This Row],[Subnet]])</f>
        <v>nsg-sn-pfb-aue-pf2-web</v>
      </c>
      <c r="V210" s="42"/>
      <c r="W210" s="43" t="str">
        <f>VLOOKUP(VmSpecs[[#This Row],[Original Hostname (CMO)]],'SSOT Data'!A:AX,50,FALSE)</f>
        <v>Standard_D2s_v4</v>
      </c>
      <c r="X210" s="43">
        <v>128</v>
      </c>
      <c r="Y210" s="43" t="s">
        <v>65</v>
      </c>
      <c r="Z210" s="43" t="str">
        <f>"osdisk-"&amp;VmSpecs[[#This Row],[VM Name]]</f>
        <v>osdisk-vmpfbpf2inj03</v>
      </c>
      <c r="AA210" s="47" t="s">
        <v>66</v>
      </c>
      <c r="AB210" s="73">
        <v>8</v>
      </c>
      <c r="AC210" s="74" t="s">
        <v>65</v>
      </c>
      <c r="AD210" s="84" t="str">
        <f>"disk-"&amp;VmSpecs[[#This Row],[VM Name]]&amp;"-001"</f>
        <v>disk-vmpfbpf2inj03-001</v>
      </c>
      <c r="AE210" s="73">
        <v>32</v>
      </c>
      <c r="AF210" s="74" t="s">
        <v>65</v>
      </c>
      <c r="AG210" s="85" t="str">
        <f>"disk-"&amp;VmSpecs[[#This Row],[VM Name]]&amp;"-002"</f>
        <v>disk-vmpfbpf2inj03-002</v>
      </c>
      <c r="AH210" s="59"/>
      <c r="AI210" s="42"/>
      <c r="AJ210" s="42"/>
      <c r="AK210" s="42"/>
      <c r="AL210" s="42" t="str">
        <f>MID(VmSpecs[[#This Row],[VM Name]],3,9)</f>
        <v>pfbpf2inj</v>
      </c>
      <c r="AM210" s="42" t="str" cm="1">
        <f t="array" ref="AM210">_xlfn.TEXTJOIN(CHAR(10), TRUE, IF(NfsExports[FMO Single VM IP]=VmSpecs[[#This Row],[IP]],NfsExports[FMO Export Summary],""))</f>
        <v/>
      </c>
      <c r="AN210" s="43"/>
      <c r="AO210" s="42"/>
      <c r="AP210" s="42" t="str">
        <f>"PerfTest " &amp; VmSpecs[[#This Row],[VM iteration (nn)]]</f>
        <v>PerfTest 03</v>
      </c>
      <c r="AQ210" s="43"/>
      <c r="AR210" s="43" t="s">
        <v>64</v>
      </c>
      <c r="AS210" s="43" t="s">
        <v>64</v>
      </c>
      <c r="AT210" s="43" t="s">
        <v>64</v>
      </c>
      <c r="AU210" s="43" t="s">
        <v>64</v>
      </c>
      <c r="AV210" s="42" t="s">
        <v>66</v>
      </c>
      <c r="AW210" s="42" t="s">
        <v>67</v>
      </c>
      <c r="AX210" s="42" t="s">
        <v>68</v>
      </c>
      <c r="AY210" s="42" t="s">
        <v>64</v>
      </c>
      <c r="AZ210" s="42" t="s">
        <v>64</v>
      </c>
      <c r="BA21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03"
Application Service: "INJ"
Lifecycle: "PFB"</v>
      </c>
      <c r="BB210" s="78" t="s">
        <v>527</v>
      </c>
      <c r="BC210" s="42" t="str">
        <f>VLOOKUP(VmSpecs[[#This Row],[Original Hostname (CMO)]],'SSOT Data'!A:AJ,36,FALSE)</f>
        <v>PerfTest 11</v>
      </c>
      <c r="BD210" s="43"/>
    </row>
    <row r="211" spans="1:56" ht="29" x14ac:dyDescent="0.35">
      <c r="A211" s="78" t="s">
        <v>58</v>
      </c>
      <c r="B211" s="42" t="str">
        <f>_xlfn.XLOOKUP(VmSpecs[[#This Row],[Subnet]],NetworkReference[Subnet],NetworkReference[Subscription])</f>
        <v>NINP-PERF2</v>
      </c>
      <c r="C211" s="43" t="str">
        <f>_xlfn.XLOOKUP(VmSpecs[[#This Row],[Subnet]],NetworkReference[Subnet],NetworkReference[Virtual Network Resource Group])</f>
        <v>rg-pf2-network-aue-001</v>
      </c>
      <c r="D211" s="43" t="str">
        <f>_xlfn.XLOOKUP(VmSpecs[[#This Row],[Subnet]],NetworkReference[Subnet],NetworkReference[Virtual Network])</f>
        <v>vnet-pf2-workload-aue-001</v>
      </c>
      <c r="E211" s="132" t="s">
        <v>489</v>
      </c>
      <c r="F211" s="43" t="str">
        <f>_xlfn.XLOOKUP(VmSpecs[[#This Row],[Subnet]],NetworkReference[Subnet],NetworkReference[Virtual Network Peering])</f>
        <v>vnet-ninp-conn-pnp-hub-aue</v>
      </c>
      <c r="G211" s="43" t="str">
        <f>_xlfn.XLOOKUP(VmSpecs[[#This Row],[Subnet]],NetworkReference[Subnet],NetworkReference[Route Table])</f>
        <v>rt-sn-pfb-aue-pf2-web</v>
      </c>
      <c r="H211" s="43" t="str">
        <f>LOWER(VLOOKUP(VmSpecs[[#This Row],[Original Hostname (CMO)]],'SSOT Data'!A:K,10,FALSE))</f>
        <v>inj</v>
      </c>
      <c r="I21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11" s="44" t="s">
        <v>78</v>
      </c>
      <c r="K211" s="43" t="str">
        <f>_xlfn.CONCAT("vm",MID(VmSpecs[[#This Row],[Subnet]],4,3),VLOOKUP(VmSpecs[[#This Row],[Subscription]],NetworkReference[#All],2,FALSE),VmSpecs[[#This Row],[Service]],VmSpecs[[#This Row],[VM iteration (nn)]])</f>
        <v>vmpfbpf2inj04</v>
      </c>
      <c r="L211" s="45" t="s">
        <v>61</v>
      </c>
      <c r="M211" s="43" t="str">
        <f>VmSpecs[[#This Row],[VM Name]]&amp;".ninp.myhealthrecord.gov.au"</f>
        <v>vmpfbpf2inj04.ninp.myhealthrecord.gov.au</v>
      </c>
      <c r="N211" s="42" t="str">
        <f t="shared" si="3"/>
        <v>nic-001-vmpfbpf2inj04</v>
      </c>
      <c r="O211" s="106" t="s">
        <v>528</v>
      </c>
      <c r="P211" s="46" t="s">
        <v>521</v>
      </c>
      <c r="Q211" s="42" t="s">
        <v>522</v>
      </c>
      <c r="R211" s="42"/>
      <c r="S211" s="42" t="str">
        <f>_xlfn.CONCAT("avail-",LEFT(VmSpecs[[#This Row],[VM Name]],LEN(VmSpecs[[#This Row],[VM Name]])-2))</f>
        <v>avail-vmpfbpf2inj</v>
      </c>
      <c r="T211" s="42" t="str">
        <f>_xlfn.CONCAT("asg-",LEFT(VmSpecs[[#This Row],[VM Name]],LEN(VmSpecs[[#This Row],[VM Name]])-2))</f>
        <v>asg-vmpfbpf2inj</v>
      </c>
      <c r="U211" s="42" t="str">
        <f>_xlfn.CONCAT("nsg-",VmSpecs[[#This Row],[Subnet]])</f>
        <v>nsg-sn-pfb-aue-pf2-web</v>
      </c>
      <c r="V211" s="42"/>
      <c r="W211" s="43" t="str">
        <f>VLOOKUP(VmSpecs[[#This Row],[Original Hostname (CMO)]],'SSOT Data'!A:AX,50,FALSE)</f>
        <v>Standard_D2s_v4</v>
      </c>
      <c r="X211" s="43">
        <v>128</v>
      </c>
      <c r="Y211" s="43" t="s">
        <v>65</v>
      </c>
      <c r="Z211" s="43" t="str">
        <f>"osdisk-"&amp;VmSpecs[[#This Row],[VM Name]]</f>
        <v>osdisk-vmpfbpf2inj04</v>
      </c>
      <c r="AA211" s="47" t="s">
        <v>66</v>
      </c>
      <c r="AB211" s="73">
        <v>8</v>
      </c>
      <c r="AC211" s="74" t="s">
        <v>65</v>
      </c>
      <c r="AD211" s="84" t="str">
        <f>"disk-"&amp;VmSpecs[[#This Row],[VM Name]]&amp;"-001"</f>
        <v>disk-vmpfbpf2inj04-001</v>
      </c>
      <c r="AE211" s="73">
        <v>32</v>
      </c>
      <c r="AF211" s="74" t="s">
        <v>65</v>
      </c>
      <c r="AG211" s="85" t="str">
        <f>"disk-"&amp;VmSpecs[[#This Row],[VM Name]]&amp;"-002"</f>
        <v>disk-vmpfbpf2inj04-002</v>
      </c>
      <c r="AH211" s="59"/>
      <c r="AI211" s="42"/>
      <c r="AJ211" s="42"/>
      <c r="AK211" s="42"/>
      <c r="AL211" s="42" t="str">
        <f>MID(VmSpecs[[#This Row],[VM Name]],3,9)</f>
        <v>pfbpf2inj</v>
      </c>
      <c r="AM211" s="42" t="str" cm="1">
        <f t="array" ref="AM211">_xlfn.TEXTJOIN(CHAR(10), TRUE, IF(NfsExports[FMO Single VM IP]=VmSpecs[[#This Row],[IP]],NfsExports[FMO Export Summary],""))</f>
        <v/>
      </c>
      <c r="AN211" s="43"/>
      <c r="AO211" s="42"/>
      <c r="AP211" s="42" t="str">
        <f>"PerfTest " &amp; VmSpecs[[#This Row],[VM iteration (nn)]]</f>
        <v>PerfTest 04</v>
      </c>
      <c r="AQ211" s="43"/>
      <c r="AR211" s="43" t="s">
        <v>64</v>
      </c>
      <c r="AS211" s="43" t="s">
        <v>64</v>
      </c>
      <c r="AT211" s="43" t="s">
        <v>64</v>
      </c>
      <c r="AU211" s="43" t="s">
        <v>64</v>
      </c>
      <c r="AV211" s="42" t="s">
        <v>66</v>
      </c>
      <c r="AW211" s="42" t="s">
        <v>67</v>
      </c>
      <c r="AX211" s="42" t="s">
        <v>68</v>
      </c>
      <c r="AY211" s="42" t="s">
        <v>64</v>
      </c>
      <c r="AZ211" s="42" t="s">
        <v>64</v>
      </c>
      <c r="BA21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04"
Application Service: "INJ"
Lifecycle: "PFB"</v>
      </c>
      <c r="BB211" s="78" t="s">
        <v>529</v>
      </c>
      <c r="BC211" s="42" t="str">
        <f>VLOOKUP(VmSpecs[[#This Row],[Original Hostname (CMO)]],'SSOT Data'!A:AJ,36,FALSE)</f>
        <v>PerfTest 12</v>
      </c>
      <c r="BD211" s="43"/>
    </row>
    <row r="212" spans="1:56" ht="29" x14ac:dyDescent="0.35">
      <c r="A212" s="78" t="s">
        <v>58</v>
      </c>
      <c r="B212" s="42" t="str">
        <f>_xlfn.XLOOKUP(VmSpecs[[#This Row],[Subnet]],NetworkReference[Subnet],NetworkReference[Subscription])</f>
        <v>NINP-PERF2</v>
      </c>
      <c r="C212" s="43" t="str">
        <f>_xlfn.XLOOKUP(VmSpecs[[#This Row],[Subnet]],NetworkReference[Subnet],NetworkReference[Virtual Network Resource Group])</f>
        <v>rg-pf2-network-aue-001</v>
      </c>
      <c r="D212" s="43" t="str">
        <f>_xlfn.XLOOKUP(VmSpecs[[#This Row],[Subnet]],NetworkReference[Subnet],NetworkReference[Virtual Network])</f>
        <v>vnet-pf2-workload-aue-001</v>
      </c>
      <c r="E212" s="132" t="s">
        <v>489</v>
      </c>
      <c r="F212" s="43" t="str">
        <f>_xlfn.XLOOKUP(VmSpecs[[#This Row],[Subnet]],NetworkReference[Subnet],NetworkReference[Virtual Network Peering])</f>
        <v>vnet-ninp-conn-pnp-hub-aue</v>
      </c>
      <c r="G212" s="43" t="str">
        <f>_xlfn.XLOOKUP(VmSpecs[[#This Row],[Subnet]],NetworkReference[Subnet],NetworkReference[Route Table])</f>
        <v>rt-sn-pfb-aue-pf2-web</v>
      </c>
      <c r="H212" s="43" t="str">
        <f>LOWER(VLOOKUP(VmSpecs[[#This Row],[Original Hostname (CMO)]],'SSOT Data'!A:K,10,FALSE))</f>
        <v>inj</v>
      </c>
      <c r="I21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12" s="44" t="s">
        <v>81</v>
      </c>
      <c r="K212" s="43" t="str">
        <f>_xlfn.CONCAT("vm",MID(VmSpecs[[#This Row],[Subnet]],4,3),VLOOKUP(VmSpecs[[#This Row],[Subscription]],NetworkReference[#All],2,FALSE),VmSpecs[[#This Row],[Service]],VmSpecs[[#This Row],[VM iteration (nn)]])</f>
        <v>vmpfbpf2inj05</v>
      </c>
      <c r="L212" s="45" t="s">
        <v>61</v>
      </c>
      <c r="M212" s="43" t="str">
        <f>VmSpecs[[#This Row],[VM Name]]&amp;".ninp.myhealthrecord.gov.au"</f>
        <v>vmpfbpf2inj05.ninp.myhealthrecord.gov.au</v>
      </c>
      <c r="N212" s="42" t="str">
        <f t="shared" si="3"/>
        <v>nic-001-vmpfbpf2inj05</v>
      </c>
      <c r="O212" s="106" t="s">
        <v>530</v>
      </c>
      <c r="P212" s="46" t="s">
        <v>521</v>
      </c>
      <c r="Q212" s="42" t="s">
        <v>522</v>
      </c>
      <c r="R212" s="42"/>
      <c r="S212" s="42" t="str">
        <f>_xlfn.CONCAT("avail-",LEFT(VmSpecs[[#This Row],[VM Name]],LEN(VmSpecs[[#This Row],[VM Name]])-2))</f>
        <v>avail-vmpfbpf2inj</v>
      </c>
      <c r="T212" s="42" t="str">
        <f>_xlfn.CONCAT("asg-",LEFT(VmSpecs[[#This Row],[VM Name]],LEN(VmSpecs[[#This Row],[VM Name]])-2))</f>
        <v>asg-vmpfbpf2inj</v>
      </c>
      <c r="U212" s="42" t="str">
        <f>_xlfn.CONCAT("nsg-",VmSpecs[[#This Row],[Subnet]])</f>
        <v>nsg-sn-pfb-aue-pf2-web</v>
      </c>
      <c r="V212" s="42"/>
      <c r="W212" s="43" t="str">
        <f>VLOOKUP(VmSpecs[[#This Row],[Original Hostname (CMO)]],'SSOT Data'!A:AX,50,FALSE)</f>
        <v>Standard_D2s_v4</v>
      </c>
      <c r="X212" s="43">
        <v>128</v>
      </c>
      <c r="Y212" s="43" t="s">
        <v>65</v>
      </c>
      <c r="Z212" s="43" t="str">
        <f>"osdisk-"&amp;VmSpecs[[#This Row],[VM Name]]</f>
        <v>osdisk-vmpfbpf2inj05</v>
      </c>
      <c r="AA212" s="47" t="s">
        <v>66</v>
      </c>
      <c r="AB212" s="73">
        <v>8</v>
      </c>
      <c r="AC212" s="74" t="s">
        <v>65</v>
      </c>
      <c r="AD212" s="84" t="str">
        <f>"disk-"&amp;VmSpecs[[#This Row],[VM Name]]&amp;"-001"</f>
        <v>disk-vmpfbpf2inj05-001</v>
      </c>
      <c r="AE212" s="73">
        <v>32</v>
      </c>
      <c r="AF212" s="74" t="s">
        <v>65</v>
      </c>
      <c r="AG212" s="85" t="str">
        <f>"disk-"&amp;VmSpecs[[#This Row],[VM Name]]&amp;"-002"</f>
        <v>disk-vmpfbpf2inj05-002</v>
      </c>
      <c r="AH212" s="59"/>
      <c r="AI212" s="42"/>
      <c r="AJ212" s="42"/>
      <c r="AK212" s="42"/>
      <c r="AL212" s="42" t="str">
        <f>MID(VmSpecs[[#This Row],[VM Name]],3,9)</f>
        <v>pfbpf2inj</v>
      </c>
      <c r="AM212" s="42" t="str" cm="1">
        <f t="array" ref="AM212">_xlfn.TEXTJOIN(CHAR(10), TRUE, IF(NfsExports[FMO Single VM IP]=VmSpecs[[#This Row],[IP]],NfsExports[FMO Export Summary],""))</f>
        <v/>
      </c>
      <c r="AN212" s="43"/>
      <c r="AO212" s="42"/>
      <c r="AP212" s="42" t="str">
        <f>"PerfTest " &amp; VmSpecs[[#This Row],[VM iteration (nn)]]</f>
        <v>PerfTest 05</v>
      </c>
      <c r="AQ212" s="43"/>
      <c r="AR212" s="43" t="s">
        <v>64</v>
      </c>
      <c r="AS212" s="43" t="s">
        <v>64</v>
      </c>
      <c r="AT212" s="43" t="s">
        <v>64</v>
      </c>
      <c r="AU212" s="43" t="s">
        <v>64</v>
      </c>
      <c r="AV212" s="42" t="s">
        <v>66</v>
      </c>
      <c r="AW212" s="42" t="s">
        <v>67</v>
      </c>
      <c r="AX212" s="42" t="s">
        <v>68</v>
      </c>
      <c r="AY212" s="42" t="s">
        <v>64</v>
      </c>
      <c r="AZ212" s="42" t="s">
        <v>64</v>
      </c>
      <c r="BA21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05"
Application Service: "INJ"
Lifecycle: "PFB"</v>
      </c>
      <c r="BB212" s="78" t="s">
        <v>531</v>
      </c>
      <c r="BC212" s="42" t="str">
        <f>VLOOKUP(VmSpecs[[#This Row],[Original Hostname (CMO)]],'SSOT Data'!A:AJ,36,FALSE)</f>
        <v>PerfTest 13</v>
      </c>
      <c r="BD212" s="43"/>
    </row>
    <row r="213" spans="1:56" ht="29" x14ac:dyDescent="0.35">
      <c r="A213" s="78" t="s">
        <v>58</v>
      </c>
      <c r="B213" s="42" t="str">
        <f>_xlfn.XLOOKUP(VmSpecs[[#This Row],[Subnet]],NetworkReference[Subnet],NetworkReference[Subscription])</f>
        <v>NINP-PERF2</v>
      </c>
      <c r="C213" s="43" t="str">
        <f>_xlfn.XLOOKUP(VmSpecs[[#This Row],[Subnet]],NetworkReference[Subnet],NetworkReference[Virtual Network Resource Group])</f>
        <v>rg-pf2-network-aue-001</v>
      </c>
      <c r="D213" s="43" t="str">
        <f>_xlfn.XLOOKUP(VmSpecs[[#This Row],[Subnet]],NetworkReference[Subnet],NetworkReference[Virtual Network])</f>
        <v>vnet-pf2-workload-aue-001</v>
      </c>
      <c r="E213" s="132" t="s">
        <v>489</v>
      </c>
      <c r="F213" s="43" t="str">
        <f>_xlfn.XLOOKUP(VmSpecs[[#This Row],[Subnet]],NetworkReference[Subnet],NetworkReference[Virtual Network Peering])</f>
        <v>vnet-ninp-conn-pnp-hub-aue</v>
      </c>
      <c r="G213" s="43" t="str">
        <f>_xlfn.XLOOKUP(VmSpecs[[#This Row],[Subnet]],NetworkReference[Subnet],NetworkReference[Route Table])</f>
        <v>rt-sn-pfb-aue-pf2-web</v>
      </c>
      <c r="H213" s="43" t="str">
        <f>LOWER(VLOOKUP(VmSpecs[[#This Row],[Original Hostname (CMO)]],'SSOT Data'!A:K,10,FALSE))</f>
        <v>inj</v>
      </c>
      <c r="I21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13" s="44" t="s">
        <v>84</v>
      </c>
      <c r="K213" s="43" t="str">
        <f>_xlfn.CONCAT("vm",MID(VmSpecs[[#This Row],[Subnet]],4,3),VLOOKUP(VmSpecs[[#This Row],[Subscription]],NetworkReference[#All],2,FALSE),VmSpecs[[#This Row],[Service]],VmSpecs[[#This Row],[VM iteration (nn)]])</f>
        <v>vmpfbpf2inj06</v>
      </c>
      <c r="L213" s="45" t="s">
        <v>61</v>
      </c>
      <c r="M213" s="43" t="str">
        <f>VmSpecs[[#This Row],[VM Name]]&amp;".ninp.myhealthrecord.gov.au"</f>
        <v>vmpfbpf2inj06.ninp.myhealthrecord.gov.au</v>
      </c>
      <c r="N213" s="42" t="str">
        <f t="shared" si="3"/>
        <v>nic-001-vmpfbpf2inj06</v>
      </c>
      <c r="O213" s="106" t="s">
        <v>532</v>
      </c>
      <c r="P213" s="46" t="s">
        <v>521</v>
      </c>
      <c r="Q213" s="42" t="s">
        <v>522</v>
      </c>
      <c r="R213" s="42"/>
      <c r="S213" s="42" t="str">
        <f>_xlfn.CONCAT("avail-",LEFT(VmSpecs[[#This Row],[VM Name]],LEN(VmSpecs[[#This Row],[VM Name]])-2))</f>
        <v>avail-vmpfbpf2inj</v>
      </c>
      <c r="T213" s="42" t="str">
        <f>_xlfn.CONCAT("asg-",LEFT(VmSpecs[[#This Row],[VM Name]],LEN(VmSpecs[[#This Row],[VM Name]])-2))</f>
        <v>asg-vmpfbpf2inj</v>
      </c>
      <c r="U213" s="42" t="str">
        <f>_xlfn.CONCAT("nsg-",VmSpecs[[#This Row],[Subnet]])</f>
        <v>nsg-sn-pfb-aue-pf2-web</v>
      </c>
      <c r="V213" s="42"/>
      <c r="W213" s="43" t="str">
        <f>VLOOKUP(VmSpecs[[#This Row],[Original Hostname (CMO)]],'SSOT Data'!A:AX,50,FALSE)</f>
        <v>Standard_D2s_v4</v>
      </c>
      <c r="X213" s="43">
        <v>128</v>
      </c>
      <c r="Y213" s="43" t="s">
        <v>65</v>
      </c>
      <c r="Z213" s="43" t="str">
        <f>"osdisk-"&amp;VmSpecs[[#This Row],[VM Name]]</f>
        <v>osdisk-vmpfbpf2inj06</v>
      </c>
      <c r="AA213" s="47" t="s">
        <v>66</v>
      </c>
      <c r="AB213" s="73">
        <v>8</v>
      </c>
      <c r="AC213" s="74" t="s">
        <v>65</v>
      </c>
      <c r="AD213" s="84" t="str">
        <f>"disk-"&amp;VmSpecs[[#This Row],[VM Name]]&amp;"-001"</f>
        <v>disk-vmpfbpf2inj06-001</v>
      </c>
      <c r="AE213" s="73">
        <v>32</v>
      </c>
      <c r="AF213" s="74" t="s">
        <v>65</v>
      </c>
      <c r="AG213" s="85" t="str">
        <f>"disk-"&amp;VmSpecs[[#This Row],[VM Name]]&amp;"-002"</f>
        <v>disk-vmpfbpf2inj06-002</v>
      </c>
      <c r="AH213" s="59"/>
      <c r="AI213" s="42"/>
      <c r="AJ213" s="42"/>
      <c r="AK213" s="42"/>
      <c r="AL213" s="42" t="str">
        <f>MID(VmSpecs[[#This Row],[VM Name]],3,9)</f>
        <v>pfbpf2inj</v>
      </c>
      <c r="AM213" s="42" t="str" cm="1">
        <f t="array" ref="AM213">_xlfn.TEXTJOIN(CHAR(10), TRUE, IF(NfsExports[FMO Single VM IP]=VmSpecs[[#This Row],[IP]],NfsExports[FMO Export Summary],""))</f>
        <v/>
      </c>
      <c r="AN213" s="43"/>
      <c r="AO213" s="42"/>
      <c r="AP213" s="42" t="str">
        <f>"PerfTest " &amp; VmSpecs[[#This Row],[VM iteration (nn)]]</f>
        <v>PerfTest 06</v>
      </c>
      <c r="AQ213" s="43"/>
      <c r="AR213" s="43" t="s">
        <v>64</v>
      </c>
      <c r="AS213" s="43" t="s">
        <v>64</v>
      </c>
      <c r="AT213" s="43" t="s">
        <v>64</v>
      </c>
      <c r="AU213" s="43" t="s">
        <v>64</v>
      </c>
      <c r="AV213" s="42" t="s">
        <v>66</v>
      </c>
      <c r="AW213" s="42" t="s">
        <v>67</v>
      </c>
      <c r="AX213" s="42" t="s">
        <v>68</v>
      </c>
      <c r="AY213" s="42" t="s">
        <v>64</v>
      </c>
      <c r="AZ213" s="42" t="s">
        <v>64</v>
      </c>
      <c r="BA21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06"
Application Service: "INJ"
Lifecycle: "PFB"</v>
      </c>
      <c r="BB213" s="78" t="s">
        <v>533</v>
      </c>
      <c r="BC213" s="42" t="str">
        <f>VLOOKUP(VmSpecs[[#This Row],[Original Hostname (CMO)]],'SSOT Data'!A:AJ,36,FALSE)</f>
        <v>PerfTest 14</v>
      </c>
      <c r="BD213" s="43"/>
    </row>
    <row r="214" spans="1:56" ht="29" x14ac:dyDescent="0.35">
      <c r="A214" s="78" t="s">
        <v>58</v>
      </c>
      <c r="B214" s="42" t="str">
        <f>_xlfn.XLOOKUP(VmSpecs[[#This Row],[Subnet]],NetworkReference[Subnet],NetworkReference[Subscription])</f>
        <v>NINP-PERF2</v>
      </c>
      <c r="C214" s="43" t="str">
        <f>_xlfn.XLOOKUP(VmSpecs[[#This Row],[Subnet]],NetworkReference[Subnet],NetworkReference[Virtual Network Resource Group])</f>
        <v>rg-pf2-network-aue-001</v>
      </c>
      <c r="D214" s="43" t="str">
        <f>_xlfn.XLOOKUP(VmSpecs[[#This Row],[Subnet]],NetworkReference[Subnet],NetworkReference[Virtual Network])</f>
        <v>vnet-pf2-workload-aue-001</v>
      </c>
      <c r="E214" s="132" t="s">
        <v>489</v>
      </c>
      <c r="F214" s="43" t="str">
        <f>_xlfn.XLOOKUP(VmSpecs[[#This Row],[Subnet]],NetworkReference[Subnet],NetworkReference[Virtual Network Peering])</f>
        <v>vnet-ninp-conn-pnp-hub-aue</v>
      </c>
      <c r="G214" s="43" t="str">
        <f>_xlfn.XLOOKUP(VmSpecs[[#This Row],[Subnet]],NetworkReference[Subnet],NetworkReference[Route Table])</f>
        <v>rt-sn-pfb-aue-pf2-web</v>
      </c>
      <c r="H214" s="43" t="str">
        <f>LOWER(VLOOKUP(VmSpecs[[#This Row],[Original Hostname (CMO)]],'SSOT Data'!A:K,10,FALSE))</f>
        <v>inj</v>
      </c>
      <c r="I21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14" s="44" t="s">
        <v>99</v>
      </c>
      <c r="K214" s="43" t="str">
        <f>_xlfn.CONCAT("vm",MID(VmSpecs[[#This Row],[Subnet]],4,3),VLOOKUP(VmSpecs[[#This Row],[Subscription]],NetworkReference[#All],2,FALSE),VmSpecs[[#This Row],[Service]],VmSpecs[[#This Row],[VM iteration (nn)]])</f>
        <v>vmpfbpf2inj07</v>
      </c>
      <c r="L214" s="45" t="s">
        <v>61</v>
      </c>
      <c r="M214" s="43" t="str">
        <f>VmSpecs[[#This Row],[VM Name]]&amp;".ninp.myhealthrecord.gov.au"</f>
        <v>vmpfbpf2inj07.ninp.myhealthrecord.gov.au</v>
      </c>
      <c r="N214" s="42" t="str">
        <f t="shared" si="3"/>
        <v>nic-001-vmpfbpf2inj07</v>
      </c>
      <c r="O214" s="106" t="s">
        <v>534</v>
      </c>
      <c r="P214" s="46" t="s">
        <v>521</v>
      </c>
      <c r="Q214" s="42" t="s">
        <v>522</v>
      </c>
      <c r="R214" s="42"/>
      <c r="S214" s="42" t="str">
        <f>_xlfn.CONCAT("avail-",LEFT(VmSpecs[[#This Row],[VM Name]],LEN(VmSpecs[[#This Row],[VM Name]])-2))</f>
        <v>avail-vmpfbpf2inj</v>
      </c>
      <c r="T214" s="42" t="str">
        <f>_xlfn.CONCAT("asg-",LEFT(VmSpecs[[#This Row],[VM Name]],LEN(VmSpecs[[#This Row],[VM Name]])-2))</f>
        <v>asg-vmpfbpf2inj</v>
      </c>
      <c r="U214" s="42" t="str">
        <f>_xlfn.CONCAT("nsg-",VmSpecs[[#This Row],[Subnet]])</f>
        <v>nsg-sn-pfb-aue-pf2-web</v>
      </c>
      <c r="V214" s="42"/>
      <c r="W214" s="43" t="str">
        <f>VLOOKUP(VmSpecs[[#This Row],[Original Hostname (CMO)]],'SSOT Data'!A:AX,50,FALSE)</f>
        <v>Standard_D2s_v4</v>
      </c>
      <c r="X214" s="43">
        <v>128</v>
      </c>
      <c r="Y214" s="43" t="s">
        <v>65</v>
      </c>
      <c r="Z214" s="43" t="str">
        <f>"osdisk-"&amp;VmSpecs[[#This Row],[VM Name]]</f>
        <v>osdisk-vmpfbpf2inj07</v>
      </c>
      <c r="AA214" s="47" t="s">
        <v>66</v>
      </c>
      <c r="AB214" s="73">
        <v>8</v>
      </c>
      <c r="AC214" s="74" t="s">
        <v>65</v>
      </c>
      <c r="AD214" s="84" t="str">
        <f>"disk-"&amp;VmSpecs[[#This Row],[VM Name]]&amp;"-001"</f>
        <v>disk-vmpfbpf2inj07-001</v>
      </c>
      <c r="AE214" s="73">
        <v>32</v>
      </c>
      <c r="AF214" s="74" t="s">
        <v>65</v>
      </c>
      <c r="AG214" s="85" t="str">
        <f>"disk-"&amp;VmSpecs[[#This Row],[VM Name]]&amp;"-002"</f>
        <v>disk-vmpfbpf2inj07-002</v>
      </c>
      <c r="AH214" s="59"/>
      <c r="AI214" s="42"/>
      <c r="AJ214" s="42"/>
      <c r="AK214" s="42"/>
      <c r="AL214" s="42" t="str">
        <f>MID(VmSpecs[[#This Row],[VM Name]],3,9)</f>
        <v>pfbpf2inj</v>
      </c>
      <c r="AM214" s="42" t="str" cm="1">
        <f t="array" ref="AM214">_xlfn.TEXTJOIN(CHAR(10), TRUE, IF(NfsExports[FMO Single VM IP]=VmSpecs[[#This Row],[IP]],NfsExports[FMO Export Summary],""))</f>
        <v/>
      </c>
      <c r="AN214" s="43"/>
      <c r="AO214" s="42"/>
      <c r="AP214" s="42" t="str">
        <f>"PerfTest " &amp; VmSpecs[[#This Row],[VM iteration (nn)]]</f>
        <v>PerfTest 07</v>
      </c>
      <c r="AQ214" s="43"/>
      <c r="AR214" s="43" t="s">
        <v>64</v>
      </c>
      <c r="AS214" s="43" t="s">
        <v>64</v>
      </c>
      <c r="AT214" s="43" t="s">
        <v>64</v>
      </c>
      <c r="AU214" s="43" t="s">
        <v>64</v>
      </c>
      <c r="AV214" s="42" t="s">
        <v>66</v>
      </c>
      <c r="AW214" s="42" t="s">
        <v>67</v>
      </c>
      <c r="AX214" s="42" t="s">
        <v>68</v>
      </c>
      <c r="AY214" s="42" t="s">
        <v>64</v>
      </c>
      <c r="AZ214" s="42" t="s">
        <v>64</v>
      </c>
      <c r="BA21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07"
Application Service: "INJ"
Lifecycle: "PFB"</v>
      </c>
      <c r="BB214" s="78" t="s">
        <v>535</v>
      </c>
      <c r="BC214" s="42" t="str">
        <f>VLOOKUP(VmSpecs[[#This Row],[Original Hostname (CMO)]],'SSOT Data'!A:AJ,36,FALSE)</f>
        <v>PerfTest 15</v>
      </c>
      <c r="BD214" s="43"/>
    </row>
    <row r="215" spans="1:56" ht="29" x14ac:dyDescent="0.35">
      <c r="A215" s="78" t="s">
        <v>58</v>
      </c>
      <c r="B215" s="42" t="str">
        <f>_xlfn.XLOOKUP(VmSpecs[[#This Row],[Subnet]],NetworkReference[Subnet],NetworkReference[Subscription])</f>
        <v>NINP-PERF2</v>
      </c>
      <c r="C215" s="43" t="str">
        <f>_xlfn.XLOOKUP(VmSpecs[[#This Row],[Subnet]],NetworkReference[Subnet],NetworkReference[Virtual Network Resource Group])</f>
        <v>rg-pf2-network-aue-001</v>
      </c>
      <c r="D215" s="43" t="str">
        <f>_xlfn.XLOOKUP(VmSpecs[[#This Row],[Subnet]],NetworkReference[Subnet],NetworkReference[Virtual Network])</f>
        <v>vnet-pf2-workload-aue-001</v>
      </c>
      <c r="E215" s="132" t="s">
        <v>489</v>
      </c>
      <c r="F215" s="43" t="str">
        <f>_xlfn.XLOOKUP(VmSpecs[[#This Row],[Subnet]],NetworkReference[Subnet],NetworkReference[Virtual Network Peering])</f>
        <v>vnet-ninp-conn-pnp-hub-aue</v>
      </c>
      <c r="G215" s="43" t="str">
        <f>_xlfn.XLOOKUP(VmSpecs[[#This Row],[Subnet]],NetworkReference[Subnet],NetworkReference[Route Table])</f>
        <v>rt-sn-pfb-aue-pf2-web</v>
      </c>
      <c r="H215" s="43" t="str">
        <f>LOWER(VLOOKUP(VmSpecs[[#This Row],[Original Hostname (CMO)]],'SSOT Data'!A:K,10,FALSE))</f>
        <v>inj</v>
      </c>
      <c r="I21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15" s="44" t="s">
        <v>102</v>
      </c>
      <c r="K215" s="43" t="str">
        <f>_xlfn.CONCAT("vm",MID(VmSpecs[[#This Row],[Subnet]],4,3),VLOOKUP(VmSpecs[[#This Row],[Subscription]],NetworkReference[#All],2,FALSE),VmSpecs[[#This Row],[Service]],VmSpecs[[#This Row],[VM iteration (nn)]])</f>
        <v>vmpfbpf2inj08</v>
      </c>
      <c r="L215" s="45" t="s">
        <v>61</v>
      </c>
      <c r="M215" s="43" t="str">
        <f>VmSpecs[[#This Row],[VM Name]]&amp;".ninp.myhealthrecord.gov.au"</f>
        <v>vmpfbpf2inj08.ninp.myhealthrecord.gov.au</v>
      </c>
      <c r="N215" s="42" t="str">
        <f t="shared" si="3"/>
        <v>nic-001-vmpfbpf2inj08</v>
      </c>
      <c r="O215" s="106" t="s">
        <v>536</v>
      </c>
      <c r="P215" s="46" t="s">
        <v>521</v>
      </c>
      <c r="Q215" s="42" t="s">
        <v>522</v>
      </c>
      <c r="R215" s="42"/>
      <c r="S215" s="42" t="str">
        <f>_xlfn.CONCAT("avail-",LEFT(VmSpecs[[#This Row],[VM Name]],LEN(VmSpecs[[#This Row],[VM Name]])-2))</f>
        <v>avail-vmpfbpf2inj</v>
      </c>
      <c r="T215" s="42" t="str">
        <f>_xlfn.CONCAT("asg-",LEFT(VmSpecs[[#This Row],[VM Name]],LEN(VmSpecs[[#This Row],[VM Name]])-2))</f>
        <v>asg-vmpfbpf2inj</v>
      </c>
      <c r="U215" s="42" t="str">
        <f>_xlfn.CONCAT("nsg-",VmSpecs[[#This Row],[Subnet]])</f>
        <v>nsg-sn-pfb-aue-pf2-web</v>
      </c>
      <c r="V215" s="42"/>
      <c r="W215" s="43" t="str">
        <f>VLOOKUP(VmSpecs[[#This Row],[Original Hostname (CMO)]],'SSOT Data'!A:AX,50,FALSE)</f>
        <v>Standard_D2s_v4</v>
      </c>
      <c r="X215" s="43">
        <v>128</v>
      </c>
      <c r="Y215" s="43" t="s">
        <v>65</v>
      </c>
      <c r="Z215" s="43" t="str">
        <f>"osdisk-"&amp;VmSpecs[[#This Row],[VM Name]]</f>
        <v>osdisk-vmpfbpf2inj08</v>
      </c>
      <c r="AA215" s="47" t="s">
        <v>66</v>
      </c>
      <c r="AB215" s="73">
        <v>8</v>
      </c>
      <c r="AC215" s="74" t="s">
        <v>65</v>
      </c>
      <c r="AD215" s="84" t="str">
        <f>"disk-"&amp;VmSpecs[[#This Row],[VM Name]]&amp;"-001"</f>
        <v>disk-vmpfbpf2inj08-001</v>
      </c>
      <c r="AE215" s="73">
        <v>32</v>
      </c>
      <c r="AF215" s="74" t="s">
        <v>65</v>
      </c>
      <c r="AG215" s="85" t="str">
        <f>"disk-"&amp;VmSpecs[[#This Row],[VM Name]]&amp;"-002"</f>
        <v>disk-vmpfbpf2inj08-002</v>
      </c>
      <c r="AH215" s="59"/>
      <c r="AI215" s="42"/>
      <c r="AJ215" s="42"/>
      <c r="AK215" s="42"/>
      <c r="AL215" s="42" t="str">
        <f>MID(VmSpecs[[#This Row],[VM Name]],3,9)</f>
        <v>pfbpf2inj</v>
      </c>
      <c r="AM215" s="42" t="str" cm="1">
        <f t="array" ref="AM215">_xlfn.TEXTJOIN(CHAR(10), TRUE, IF(NfsExports[FMO Single VM IP]=VmSpecs[[#This Row],[IP]],NfsExports[FMO Export Summary],""))</f>
        <v/>
      </c>
      <c r="AN215" s="43"/>
      <c r="AO215" s="42"/>
      <c r="AP215" s="42" t="str">
        <f>"PerfTest " &amp; VmSpecs[[#This Row],[VM iteration (nn)]]</f>
        <v>PerfTest 08</v>
      </c>
      <c r="AQ215" s="43"/>
      <c r="AR215" s="43" t="s">
        <v>64</v>
      </c>
      <c r="AS215" s="43" t="s">
        <v>64</v>
      </c>
      <c r="AT215" s="43" t="s">
        <v>64</v>
      </c>
      <c r="AU215" s="43" t="s">
        <v>64</v>
      </c>
      <c r="AV215" s="42" t="s">
        <v>66</v>
      </c>
      <c r="AW215" s="42" t="s">
        <v>67</v>
      </c>
      <c r="AX215" s="42" t="s">
        <v>68</v>
      </c>
      <c r="AY215" s="42" t="s">
        <v>64</v>
      </c>
      <c r="AZ215" s="42" t="s">
        <v>64</v>
      </c>
      <c r="BA21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08"
Application Service: "INJ"
Lifecycle: "PFB"</v>
      </c>
      <c r="BB215" s="78" t="s">
        <v>537</v>
      </c>
      <c r="BC215" s="42" t="str">
        <f>VLOOKUP(VmSpecs[[#This Row],[Original Hostname (CMO)]],'SSOT Data'!A:AJ,36,FALSE)</f>
        <v>PerfTest 16</v>
      </c>
      <c r="BD215" s="43"/>
    </row>
    <row r="216" spans="1:56" ht="29" x14ac:dyDescent="0.35">
      <c r="A216" s="78" t="s">
        <v>58</v>
      </c>
      <c r="B216" s="42" t="str">
        <f>_xlfn.XLOOKUP(VmSpecs[[#This Row],[Subnet]],NetworkReference[Subnet],NetworkReference[Subscription])</f>
        <v>NINP-PERF2</v>
      </c>
      <c r="C216" s="43" t="str">
        <f>_xlfn.XLOOKUP(VmSpecs[[#This Row],[Subnet]],NetworkReference[Subnet],NetworkReference[Virtual Network Resource Group])</f>
        <v>rg-pf2-network-aue-001</v>
      </c>
      <c r="D216" s="43" t="str">
        <f>_xlfn.XLOOKUP(VmSpecs[[#This Row],[Subnet]],NetworkReference[Subnet],NetworkReference[Virtual Network])</f>
        <v>vnet-pf2-workload-aue-001</v>
      </c>
      <c r="E216" s="132" t="s">
        <v>489</v>
      </c>
      <c r="F216" s="43" t="str">
        <f>_xlfn.XLOOKUP(VmSpecs[[#This Row],[Subnet]],NetworkReference[Subnet],NetworkReference[Virtual Network Peering])</f>
        <v>vnet-ninp-conn-pnp-hub-aue</v>
      </c>
      <c r="G216" s="43" t="str">
        <f>_xlfn.XLOOKUP(VmSpecs[[#This Row],[Subnet]],NetworkReference[Subnet],NetworkReference[Route Table])</f>
        <v>rt-sn-pfb-aue-pf2-web</v>
      </c>
      <c r="H216" s="43" t="str">
        <f>LOWER(VLOOKUP(VmSpecs[[#This Row],[Original Hostname (CMO)]],'SSOT Data'!A:K,10,FALSE))</f>
        <v>inj</v>
      </c>
      <c r="I21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16" s="44" t="s">
        <v>129</v>
      </c>
      <c r="K216" s="43" t="str">
        <f>_xlfn.CONCAT("vm",MID(VmSpecs[[#This Row],[Subnet]],4,3),VLOOKUP(VmSpecs[[#This Row],[Subscription]],NetworkReference[#All],2,FALSE),VmSpecs[[#This Row],[Service]],VmSpecs[[#This Row],[VM iteration (nn)]])</f>
        <v>vmpfbpf2inj09</v>
      </c>
      <c r="L216" s="45" t="s">
        <v>61</v>
      </c>
      <c r="M216" s="43" t="str">
        <f>VmSpecs[[#This Row],[VM Name]]&amp;".ninp.myhealthrecord.gov.au"</f>
        <v>vmpfbpf2inj09.ninp.myhealthrecord.gov.au</v>
      </c>
      <c r="N216" s="42" t="str">
        <f t="shared" si="3"/>
        <v>nic-001-vmpfbpf2inj09</v>
      </c>
      <c r="O216" s="106" t="s">
        <v>538</v>
      </c>
      <c r="P216" s="46" t="s">
        <v>521</v>
      </c>
      <c r="Q216" s="42" t="s">
        <v>522</v>
      </c>
      <c r="R216" s="42"/>
      <c r="S216" s="42" t="str">
        <f>_xlfn.CONCAT("avail-",LEFT(VmSpecs[[#This Row],[VM Name]],LEN(VmSpecs[[#This Row],[VM Name]])-2))</f>
        <v>avail-vmpfbpf2inj</v>
      </c>
      <c r="T216" s="42" t="str">
        <f>_xlfn.CONCAT("asg-",LEFT(VmSpecs[[#This Row],[VM Name]],LEN(VmSpecs[[#This Row],[VM Name]])-2))</f>
        <v>asg-vmpfbpf2inj</v>
      </c>
      <c r="U216" s="42" t="str">
        <f>_xlfn.CONCAT("nsg-",VmSpecs[[#This Row],[Subnet]])</f>
        <v>nsg-sn-pfb-aue-pf2-web</v>
      </c>
      <c r="V216" s="42"/>
      <c r="W216" s="43" t="str">
        <f>VLOOKUP(VmSpecs[[#This Row],[Original Hostname (CMO)]],'SSOT Data'!A:AX,50,FALSE)</f>
        <v>Standard_D4s_v4</v>
      </c>
      <c r="X216" s="43">
        <v>128</v>
      </c>
      <c r="Y216" s="43" t="s">
        <v>65</v>
      </c>
      <c r="Z216" s="43" t="str">
        <f>"osdisk-"&amp;VmSpecs[[#This Row],[VM Name]]</f>
        <v>osdisk-vmpfbpf2inj09</v>
      </c>
      <c r="AA216" s="47" t="s">
        <v>66</v>
      </c>
      <c r="AB216" s="73">
        <v>8</v>
      </c>
      <c r="AC216" s="74" t="s">
        <v>65</v>
      </c>
      <c r="AD216" s="84" t="str">
        <f>"disk-"&amp;VmSpecs[[#This Row],[VM Name]]&amp;"-001"</f>
        <v>disk-vmpfbpf2inj09-001</v>
      </c>
      <c r="AE216" s="73">
        <v>32</v>
      </c>
      <c r="AF216" s="74" t="s">
        <v>65</v>
      </c>
      <c r="AG216" s="85" t="str">
        <f>"disk-"&amp;VmSpecs[[#This Row],[VM Name]]&amp;"-002"</f>
        <v>disk-vmpfbpf2inj09-002</v>
      </c>
      <c r="AH216" s="59"/>
      <c r="AI216" s="42"/>
      <c r="AJ216" s="42"/>
      <c r="AK216" s="42"/>
      <c r="AL216" s="42" t="str">
        <f>MID(VmSpecs[[#This Row],[VM Name]],3,9)</f>
        <v>pfbpf2inj</v>
      </c>
      <c r="AM216" s="42" t="str" cm="1">
        <f t="array" ref="AM216">_xlfn.TEXTJOIN(CHAR(10), TRUE, IF(NfsExports[FMO Single VM IP]=VmSpecs[[#This Row],[IP]],NfsExports[FMO Export Summary],""))</f>
        <v/>
      </c>
      <c r="AN216" s="43"/>
      <c r="AO216" s="42"/>
      <c r="AP216" s="42" t="str">
        <f>"PerfTest " &amp; VmSpecs[[#This Row],[VM iteration (nn)]]</f>
        <v>PerfTest 09</v>
      </c>
      <c r="AQ216" s="43"/>
      <c r="AR216" s="43" t="s">
        <v>64</v>
      </c>
      <c r="AS216" s="43" t="s">
        <v>64</v>
      </c>
      <c r="AT216" s="43" t="s">
        <v>64</v>
      </c>
      <c r="AU216" s="43" t="s">
        <v>64</v>
      </c>
      <c r="AV216" s="42" t="s">
        <v>66</v>
      </c>
      <c r="AW216" s="42" t="s">
        <v>67</v>
      </c>
      <c r="AX216" s="42" t="s">
        <v>68</v>
      </c>
      <c r="AY216" s="42" t="s">
        <v>64</v>
      </c>
      <c r="AZ216" s="42" t="s">
        <v>64</v>
      </c>
      <c r="BA21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09"
Application Service: "INJ"
Lifecycle: "PFB"</v>
      </c>
      <c r="BB216" s="78" t="s">
        <v>539</v>
      </c>
      <c r="BC216" s="42" t="str">
        <f>VLOOKUP(VmSpecs[[#This Row],[Original Hostname (CMO)]],'SSOT Data'!A:AJ,36,FALSE)</f>
        <v>PerfTest 17</v>
      </c>
      <c r="BD216" s="43"/>
    </row>
    <row r="217" spans="1:56" ht="29" x14ac:dyDescent="0.35">
      <c r="A217" s="78" t="s">
        <v>58</v>
      </c>
      <c r="B217" s="42" t="str">
        <f>_xlfn.XLOOKUP(VmSpecs[[#This Row],[Subnet]],NetworkReference[Subnet],NetworkReference[Subscription])</f>
        <v>NINP-PERF2</v>
      </c>
      <c r="C217" s="43" t="str">
        <f>_xlfn.XLOOKUP(VmSpecs[[#This Row],[Subnet]],NetworkReference[Subnet],NetworkReference[Virtual Network Resource Group])</f>
        <v>rg-pf2-network-aue-001</v>
      </c>
      <c r="D217" s="43" t="str">
        <f>_xlfn.XLOOKUP(VmSpecs[[#This Row],[Subnet]],NetworkReference[Subnet],NetworkReference[Virtual Network])</f>
        <v>vnet-pf2-workload-aue-001</v>
      </c>
      <c r="E217" s="132" t="s">
        <v>489</v>
      </c>
      <c r="F217" s="43" t="str">
        <f>_xlfn.XLOOKUP(VmSpecs[[#This Row],[Subnet]],NetworkReference[Subnet],NetworkReference[Virtual Network Peering])</f>
        <v>vnet-ninp-conn-pnp-hub-aue</v>
      </c>
      <c r="G217" s="43" t="str">
        <f>_xlfn.XLOOKUP(VmSpecs[[#This Row],[Subnet]],NetworkReference[Subnet],NetworkReference[Route Table])</f>
        <v>rt-sn-pfb-aue-pf2-web</v>
      </c>
      <c r="H217" s="43" t="str">
        <f>LOWER(VLOOKUP(VmSpecs[[#This Row],[Original Hostname (CMO)]],'SSOT Data'!A:K,10,FALSE))</f>
        <v>inj</v>
      </c>
      <c r="I21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17" s="44" t="s">
        <v>132</v>
      </c>
      <c r="K217" s="43" t="str">
        <f>_xlfn.CONCAT("vm",MID(VmSpecs[[#This Row],[Subnet]],4,3),VLOOKUP(VmSpecs[[#This Row],[Subscription]],NetworkReference[#All],2,FALSE),VmSpecs[[#This Row],[Service]],VmSpecs[[#This Row],[VM iteration (nn)]])</f>
        <v>vmpfbpf2inj10</v>
      </c>
      <c r="L217" s="45" t="s">
        <v>61</v>
      </c>
      <c r="M217" s="43" t="str">
        <f>VmSpecs[[#This Row],[VM Name]]&amp;".ninp.myhealthrecord.gov.au"</f>
        <v>vmpfbpf2inj10.ninp.myhealthrecord.gov.au</v>
      </c>
      <c r="N217" s="42" t="str">
        <f t="shared" si="3"/>
        <v>nic-001-vmpfbpf2inj10</v>
      </c>
      <c r="O217" s="106" t="s">
        <v>540</v>
      </c>
      <c r="P217" s="46" t="s">
        <v>521</v>
      </c>
      <c r="Q217" s="42" t="s">
        <v>522</v>
      </c>
      <c r="R217" s="42"/>
      <c r="S217" s="42" t="str">
        <f>_xlfn.CONCAT("avail-",LEFT(VmSpecs[[#This Row],[VM Name]],LEN(VmSpecs[[#This Row],[VM Name]])-2))</f>
        <v>avail-vmpfbpf2inj</v>
      </c>
      <c r="T217" s="42" t="str">
        <f>_xlfn.CONCAT("asg-",LEFT(VmSpecs[[#This Row],[VM Name]],LEN(VmSpecs[[#This Row],[VM Name]])-2))</f>
        <v>asg-vmpfbpf2inj</v>
      </c>
      <c r="U217" s="42" t="str">
        <f>_xlfn.CONCAT("nsg-",VmSpecs[[#This Row],[Subnet]])</f>
        <v>nsg-sn-pfb-aue-pf2-web</v>
      </c>
      <c r="V217" s="42"/>
      <c r="W217" s="43" t="str">
        <f>VLOOKUP(VmSpecs[[#This Row],[Original Hostname (CMO)]],'SSOT Data'!A:AX,50,FALSE)</f>
        <v>Standard_D4s_v4</v>
      </c>
      <c r="X217" s="43">
        <v>128</v>
      </c>
      <c r="Y217" s="43" t="s">
        <v>65</v>
      </c>
      <c r="Z217" s="43" t="str">
        <f>"osdisk-"&amp;VmSpecs[[#This Row],[VM Name]]</f>
        <v>osdisk-vmpfbpf2inj10</v>
      </c>
      <c r="AA217" s="47" t="s">
        <v>66</v>
      </c>
      <c r="AB217" s="73">
        <v>8</v>
      </c>
      <c r="AC217" s="74" t="s">
        <v>65</v>
      </c>
      <c r="AD217" s="84" t="str">
        <f>"disk-"&amp;VmSpecs[[#This Row],[VM Name]]&amp;"-001"</f>
        <v>disk-vmpfbpf2inj10-001</v>
      </c>
      <c r="AE217" s="73">
        <v>32</v>
      </c>
      <c r="AF217" s="74" t="s">
        <v>65</v>
      </c>
      <c r="AG217" s="85" t="str">
        <f>"disk-"&amp;VmSpecs[[#This Row],[VM Name]]&amp;"-002"</f>
        <v>disk-vmpfbpf2inj10-002</v>
      </c>
      <c r="AH217" s="59"/>
      <c r="AI217" s="42"/>
      <c r="AJ217" s="42"/>
      <c r="AK217" s="42"/>
      <c r="AL217" s="42" t="str">
        <f>MID(VmSpecs[[#This Row],[VM Name]],3,9)</f>
        <v>pfbpf2inj</v>
      </c>
      <c r="AM217" s="42" t="str" cm="1">
        <f t="array" ref="AM217">_xlfn.TEXTJOIN(CHAR(10), TRUE, IF(NfsExports[FMO Single VM IP]=VmSpecs[[#This Row],[IP]],NfsExports[FMO Export Summary],""))</f>
        <v/>
      </c>
      <c r="AN217" s="43"/>
      <c r="AO217" s="42"/>
      <c r="AP217" s="42" t="str">
        <f>"PerfTest " &amp; VmSpecs[[#This Row],[VM iteration (nn)]]</f>
        <v>PerfTest 10</v>
      </c>
      <c r="AQ217" s="43"/>
      <c r="AR217" s="43" t="s">
        <v>64</v>
      </c>
      <c r="AS217" s="43" t="s">
        <v>64</v>
      </c>
      <c r="AT217" s="43" t="s">
        <v>64</v>
      </c>
      <c r="AU217" s="43" t="s">
        <v>64</v>
      </c>
      <c r="AV217" s="42" t="s">
        <v>66</v>
      </c>
      <c r="AW217" s="42" t="s">
        <v>67</v>
      </c>
      <c r="AX217" s="42" t="s">
        <v>68</v>
      </c>
      <c r="AY217" s="42" t="s">
        <v>64</v>
      </c>
      <c r="AZ217" s="42" t="s">
        <v>64</v>
      </c>
      <c r="BA21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10"
Application Service: "INJ"
Lifecycle: "PFB"</v>
      </c>
      <c r="BB217" s="78" t="s">
        <v>541</v>
      </c>
      <c r="BC217" s="42" t="str">
        <f>VLOOKUP(VmSpecs[[#This Row],[Original Hostname (CMO)]],'SSOT Data'!A:AJ,36,FALSE)</f>
        <v>PerfTest 16</v>
      </c>
      <c r="BD217" s="43"/>
    </row>
    <row r="218" spans="1:56" ht="29" x14ac:dyDescent="0.35">
      <c r="A218" s="78" t="s">
        <v>58</v>
      </c>
      <c r="B218" s="42" t="str">
        <f>_xlfn.XLOOKUP(VmSpecs[[#This Row],[Subnet]],NetworkReference[Subnet],NetworkReference[Subscription])</f>
        <v>NINP-PERF2</v>
      </c>
      <c r="C218" s="43" t="str">
        <f>_xlfn.XLOOKUP(VmSpecs[[#This Row],[Subnet]],NetworkReference[Subnet],NetworkReference[Virtual Network Resource Group])</f>
        <v>rg-pf2-network-aue-001</v>
      </c>
      <c r="D218" s="43" t="str">
        <f>_xlfn.XLOOKUP(VmSpecs[[#This Row],[Subnet]],NetworkReference[Subnet],NetworkReference[Virtual Network])</f>
        <v>vnet-pf2-workload-aue-001</v>
      </c>
      <c r="E218" s="132" t="s">
        <v>489</v>
      </c>
      <c r="F218" s="43" t="str">
        <f>_xlfn.XLOOKUP(VmSpecs[[#This Row],[Subnet]],NetworkReference[Subnet],NetworkReference[Virtual Network Peering])</f>
        <v>vnet-ninp-conn-pnp-hub-aue</v>
      </c>
      <c r="G218" s="43" t="str">
        <f>_xlfn.XLOOKUP(VmSpecs[[#This Row],[Subnet]],NetworkReference[Subnet],NetworkReference[Route Table])</f>
        <v>rt-sn-pfb-aue-pf2-web</v>
      </c>
      <c r="H218" s="43" t="str">
        <f>LOWER(VLOOKUP(VmSpecs[[#This Row],[Original Hostname (CMO)]],'SSOT Data'!A:K,10,FALSE))</f>
        <v>inj</v>
      </c>
      <c r="I21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18" s="44" t="s">
        <v>135</v>
      </c>
      <c r="K218" s="43" t="str">
        <f>_xlfn.CONCAT("vm",MID(VmSpecs[[#This Row],[Subnet]],4,3),VLOOKUP(VmSpecs[[#This Row],[Subscription]],NetworkReference[#All],2,FALSE),VmSpecs[[#This Row],[Service]],VmSpecs[[#This Row],[VM iteration (nn)]])</f>
        <v>vmpfbpf2inj11</v>
      </c>
      <c r="L218" s="45" t="s">
        <v>61</v>
      </c>
      <c r="M218" s="43" t="str">
        <f>VmSpecs[[#This Row],[VM Name]]&amp;".ninp.myhealthrecord.gov.au"</f>
        <v>vmpfbpf2inj11.ninp.myhealthrecord.gov.au</v>
      </c>
      <c r="N218" s="42" t="str">
        <f t="shared" si="3"/>
        <v>nic-001-vmpfbpf2inj11</v>
      </c>
      <c r="O218" s="106" t="s">
        <v>542</v>
      </c>
      <c r="P218" s="46" t="s">
        <v>521</v>
      </c>
      <c r="Q218" s="42" t="s">
        <v>522</v>
      </c>
      <c r="R218" s="42"/>
      <c r="S218" s="42" t="str">
        <f>_xlfn.CONCAT("avail-",LEFT(VmSpecs[[#This Row],[VM Name]],LEN(VmSpecs[[#This Row],[VM Name]])-2))</f>
        <v>avail-vmpfbpf2inj</v>
      </c>
      <c r="T218" s="42" t="str">
        <f>_xlfn.CONCAT("asg-",LEFT(VmSpecs[[#This Row],[VM Name]],LEN(VmSpecs[[#This Row],[VM Name]])-2))</f>
        <v>asg-vmpfbpf2inj</v>
      </c>
      <c r="U218" s="42" t="str">
        <f>_xlfn.CONCAT("nsg-",VmSpecs[[#This Row],[Subnet]])</f>
        <v>nsg-sn-pfb-aue-pf2-web</v>
      </c>
      <c r="V218" s="42"/>
      <c r="W218" s="43" t="str">
        <f>VLOOKUP(VmSpecs[[#This Row],[Original Hostname (CMO)]],'SSOT Data'!A:AX,50,FALSE)</f>
        <v>Standard_D4s_v4</v>
      </c>
      <c r="X218" s="43">
        <v>128</v>
      </c>
      <c r="Y218" s="43" t="s">
        <v>65</v>
      </c>
      <c r="Z218" s="43" t="str">
        <f>"osdisk-"&amp;VmSpecs[[#This Row],[VM Name]]</f>
        <v>osdisk-vmpfbpf2inj11</v>
      </c>
      <c r="AA218" s="47" t="s">
        <v>66</v>
      </c>
      <c r="AB218" s="73">
        <v>8</v>
      </c>
      <c r="AC218" s="74" t="s">
        <v>65</v>
      </c>
      <c r="AD218" s="84" t="str">
        <f>"disk-"&amp;VmSpecs[[#This Row],[VM Name]]&amp;"-001"</f>
        <v>disk-vmpfbpf2inj11-001</v>
      </c>
      <c r="AE218" s="73">
        <v>32</v>
      </c>
      <c r="AF218" s="74" t="s">
        <v>65</v>
      </c>
      <c r="AG218" s="85" t="str">
        <f>"disk-"&amp;VmSpecs[[#This Row],[VM Name]]&amp;"-002"</f>
        <v>disk-vmpfbpf2inj11-002</v>
      </c>
      <c r="AH218" s="59"/>
      <c r="AI218" s="42"/>
      <c r="AJ218" s="42"/>
      <c r="AK218" s="42"/>
      <c r="AL218" s="42" t="str">
        <f>MID(VmSpecs[[#This Row],[VM Name]],3,9)</f>
        <v>pfbpf2inj</v>
      </c>
      <c r="AM218" s="42" t="str" cm="1">
        <f t="array" ref="AM218">_xlfn.TEXTJOIN(CHAR(10), TRUE, IF(NfsExports[FMO Single VM IP]=VmSpecs[[#This Row],[IP]],NfsExports[FMO Export Summary],""))</f>
        <v/>
      </c>
      <c r="AN218" s="43"/>
      <c r="AO218" s="42"/>
      <c r="AP218" s="42" t="str">
        <f>"PerfTest " &amp; VmSpecs[[#This Row],[VM iteration (nn)]]</f>
        <v>PerfTest 11</v>
      </c>
      <c r="AQ218" s="43"/>
      <c r="AR218" s="43" t="s">
        <v>64</v>
      </c>
      <c r="AS218" s="43" t="s">
        <v>64</v>
      </c>
      <c r="AT218" s="43" t="s">
        <v>64</v>
      </c>
      <c r="AU218" s="43" t="s">
        <v>64</v>
      </c>
      <c r="AV218" s="42" t="s">
        <v>66</v>
      </c>
      <c r="AW218" s="42" t="s">
        <v>67</v>
      </c>
      <c r="AX218" s="42" t="s">
        <v>68</v>
      </c>
      <c r="AY218" s="42" t="s">
        <v>64</v>
      </c>
      <c r="AZ218" s="42" t="s">
        <v>64</v>
      </c>
      <c r="BA21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11"
Application Service: "INJ"
Lifecycle: "PFB"</v>
      </c>
      <c r="BB218" s="78" t="s">
        <v>543</v>
      </c>
      <c r="BC218" s="42" t="str">
        <f>VLOOKUP(VmSpecs[[#This Row],[Original Hostname (CMO)]],'SSOT Data'!A:AJ,36,FALSE)</f>
        <v>PerfTest 16</v>
      </c>
      <c r="BD218" s="43"/>
    </row>
    <row r="219" spans="1:56" ht="29" x14ac:dyDescent="0.35">
      <c r="A219" s="78" t="s">
        <v>58</v>
      </c>
      <c r="B219" s="42" t="str">
        <f>_xlfn.XLOOKUP(VmSpecs[[#This Row],[Subnet]],NetworkReference[Subnet],NetworkReference[Subscription])</f>
        <v>NINP-PERF2</v>
      </c>
      <c r="C219" s="43" t="str">
        <f>_xlfn.XLOOKUP(VmSpecs[[#This Row],[Subnet]],NetworkReference[Subnet],NetworkReference[Virtual Network Resource Group])</f>
        <v>rg-pf2-network-aue-001</v>
      </c>
      <c r="D219" s="43" t="str">
        <f>_xlfn.XLOOKUP(VmSpecs[[#This Row],[Subnet]],NetworkReference[Subnet],NetworkReference[Virtual Network])</f>
        <v>vnet-pf2-workload-aue-001</v>
      </c>
      <c r="E219" s="132" t="s">
        <v>489</v>
      </c>
      <c r="F219" s="43" t="str">
        <f>_xlfn.XLOOKUP(VmSpecs[[#This Row],[Subnet]],NetworkReference[Subnet],NetworkReference[Virtual Network Peering])</f>
        <v>vnet-ninp-conn-pnp-hub-aue</v>
      </c>
      <c r="G219" s="43" t="str">
        <f>_xlfn.XLOOKUP(VmSpecs[[#This Row],[Subnet]],NetworkReference[Subnet],NetworkReference[Route Table])</f>
        <v>rt-sn-pfb-aue-pf2-web</v>
      </c>
      <c r="H219" s="43" t="str">
        <f>LOWER(VLOOKUP(VmSpecs[[#This Row],[Original Hostname (CMO)]],'SSOT Data'!A:K,10,FALSE))</f>
        <v>inj</v>
      </c>
      <c r="I21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19" s="44" t="s">
        <v>138</v>
      </c>
      <c r="K219" s="43" t="str">
        <f>_xlfn.CONCAT("vm",MID(VmSpecs[[#This Row],[Subnet]],4,3),VLOOKUP(VmSpecs[[#This Row],[Subscription]],NetworkReference[#All],2,FALSE),VmSpecs[[#This Row],[Service]],VmSpecs[[#This Row],[VM iteration (nn)]])</f>
        <v>vmpfbpf2inj12</v>
      </c>
      <c r="L219" s="45" t="s">
        <v>61</v>
      </c>
      <c r="M219" s="43" t="str">
        <f>VmSpecs[[#This Row],[VM Name]]&amp;".ninp.myhealthrecord.gov.au"</f>
        <v>vmpfbpf2inj12.ninp.myhealthrecord.gov.au</v>
      </c>
      <c r="N219" s="42" t="str">
        <f t="shared" si="3"/>
        <v>nic-001-vmpfbpf2inj12</v>
      </c>
      <c r="O219" s="106" t="s">
        <v>544</v>
      </c>
      <c r="P219" s="46" t="s">
        <v>521</v>
      </c>
      <c r="Q219" s="42" t="s">
        <v>522</v>
      </c>
      <c r="R219" s="42"/>
      <c r="S219" s="42" t="str">
        <f>_xlfn.CONCAT("avail-",LEFT(VmSpecs[[#This Row],[VM Name]],LEN(VmSpecs[[#This Row],[VM Name]])-2))</f>
        <v>avail-vmpfbpf2inj</v>
      </c>
      <c r="T219" s="42" t="str">
        <f>_xlfn.CONCAT("asg-",LEFT(VmSpecs[[#This Row],[VM Name]],LEN(VmSpecs[[#This Row],[VM Name]])-2))</f>
        <v>asg-vmpfbpf2inj</v>
      </c>
      <c r="U219" s="42" t="str">
        <f>_xlfn.CONCAT("nsg-",VmSpecs[[#This Row],[Subnet]])</f>
        <v>nsg-sn-pfb-aue-pf2-web</v>
      </c>
      <c r="V219" s="42"/>
      <c r="W219" s="43" t="str">
        <f>VLOOKUP(VmSpecs[[#This Row],[Original Hostname (CMO)]],'SSOT Data'!A:AX,50,FALSE)</f>
        <v>Standard_D4s_v4</v>
      </c>
      <c r="X219" s="43">
        <v>128</v>
      </c>
      <c r="Y219" s="43" t="s">
        <v>65</v>
      </c>
      <c r="Z219" s="43" t="str">
        <f>"osdisk-"&amp;VmSpecs[[#This Row],[VM Name]]</f>
        <v>osdisk-vmpfbpf2inj12</v>
      </c>
      <c r="AA219" s="47" t="s">
        <v>66</v>
      </c>
      <c r="AB219" s="73">
        <v>8</v>
      </c>
      <c r="AC219" s="74" t="s">
        <v>65</v>
      </c>
      <c r="AD219" s="84" t="str">
        <f>"disk-"&amp;VmSpecs[[#This Row],[VM Name]]&amp;"-001"</f>
        <v>disk-vmpfbpf2inj12-001</v>
      </c>
      <c r="AE219" s="73">
        <v>32</v>
      </c>
      <c r="AF219" s="74" t="s">
        <v>65</v>
      </c>
      <c r="AG219" s="85" t="str">
        <f>"disk-"&amp;VmSpecs[[#This Row],[VM Name]]&amp;"-002"</f>
        <v>disk-vmpfbpf2inj12-002</v>
      </c>
      <c r="AH219" s="59"/>
      <c r="AI219" s="42"/>
      <c r="AJ219" s="42"/>
      <c r="AK219" s="42"/>
      <c r="AL219" s="42" t="str">
        <f>MID(VmSpecs[[#This Row],[VM Name]],3,9)</f>
        <v>pfbpf2inj</v>
      </c>
      <c r="AM219" s="42" t="str" cm="1">
        <f t="array" ref="AM219">_xlfn.TEXTJOIN(CHAR(10), TRUE, IF(NfsExports[FMO Single VM IP]=VmSpecs[[#This Row],[IP]],NfsExports[FMO Export Summary],""))</f>
        <v/>
      </c>
      <c r="AN219" s="43"/>
      <c r="AO219" s="42"/>
      <c r="AP219" s="42" t="str">
        <f>"PerfTest " &amp; VmSpecs[[#This Row],[VM iteration (nn)]]</f>
        <v>PerfTest 12</v>
      </c>
      <c r="AQ219" s="43"/>
      <c r="AR219" s="43" t="s">
        <v>64</v>
      </c>
      <c r="AS219" s="43" t="s">
        <v>64</v>
      </c>
      <c r="AT219" s="43" t="s">
        <v>64</v>
      </c>
      <c r="AU219" s="43" t="s">
        <v>64</v>
      </c>
      <c r="AV219" s="42" t="s">
        <v>66</v>
      </c>
      <c r="AW219" s="42" t="s">
        <v>67</v>
      </c>
      <c r="AX219" s="42" t="s">
        <v>68</v>
      </c>
      <c r="AY219" s="42" t="s">
        <v>64</v>
      </c>
      <c r="AZ219" s="42" t="s">
        <v>64</v>
      </c>
      <c r="BA21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12"
Application Service: "INJ"
Lifecycle: "PFB"</v>
      </c>
      <c r="BB219" s="78" t="s">
        <v>545</v>
      </c>
      <c r="BC219" s="42" t="str">
        <f>VLOOKUP(VmSpecs[[#This Row],[Original Hostname (CMO)]],'SSOT Data'!A:AJ,36,FALSE)</f>
        <v>PerfTest 16</v>
      </c>
      <c r="BD219" s="43"/>
    </row>
    <row r="220" spans="1:56" ht="29" x14ac:dyDescent="0.35">
      <c r="A220" s="78" t="s">
        <v>58</v>
      </c>
      <c r="B220" s="42" t="str">
        <f>_xlfn.XLOOKUP(VmSpecs[[#This Row],[Subnet]],NetworkReference[Subnet],NetworkReference[Subscription])</f>
        <v>NINP-PERF2</v>
      </c>
      <c r="C220" s="43" t="str">
        <f>_xlfn.XLOOKUP(VmSpecs[[#This Row],[Subnet]],NetworkReference[Subnet],NetworkReference[Virtual Network Resource Group])</f>
        <v>rg-pf2-network-aue-001</v>
      </c>
      <c r="D220" s="43" t="str">
        <f>_xlfn.XLOOKUP(VmSpecs[[#This Row],[Subnet]],NetworkReference[Subnet],NetworkReference[Virtual Network])</f>
        <v>vnet-pf2-workload-aue-001</v>
      </c>
      <c r="E220" s="132" t="s">
        <v>489</v>
      </c>
      <c r="F220" s="43" t="str">
        <f>_xlfn.XLOOKUP(VmSpecs[[#This Row],[Subnet]],NetworkReference[Subnet],NetworkReference[Virtual Network Peering])</f>
        <v>vnet-ninp-conn-pnp-hub-aue</v>
      </c>
      <c r="G220" s="43" t="str">
        <f>_xlfn.XLOOKUP(VmSpecs[[#This Row],[Subnet]],NetworkReference[Subnet],NetworkReference[Route Table])</f>
        <v>rt-sn-pfb-aue-pf2-web</v>
      </c>
      <c r="H220" s="43" t="str">
        <f>LOWER(VLOOKUP(VmSpecs[[#This Row],[Original Hostname (CMO)]],'SSOT Data'!A:K,10,FALSE))</f>
        <v>inj</v>
      </c>
      <c r="I22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20" s="44" t="s">
        <v>141</v>
      </c>
      <c r="K220" s="43" t="str">
        <f>_xlfn.CONCAT("vm",MID(VmSpecs[[#This Row],[Subnet]],4,3),VLOOKUP(VmSpecs[[#This Row],[Subscription]],NetworkReference[#All],2,FALSE),VmSpecs[[#This Row],[Service]],VmSpecs[[#This Row],[VM iteration (nn)]])</f>
        <v>vmpfbpf2inj13</v>
      </c>
      <c r="L220" s="45" t="s">
        <v>61</v>
      </c>
      <c r="M220" s="43" t="str">
        <f>VmSpecs[[#This Row],[VM Name]]&amp;".ninp.myhealthrecord.gov.au"</f>
        <v>vmpfbpf2inj13.ninp.myhealthrecord.gov.au</v>
      </c>
      <c r="N220" s="42" t="str">
        <f t="shared" si="3"/>
        <v>nic-001-vmpfbpf2inj13</v>
      </c>
      <c r="O220" s="106" t="s">
        <v>546</v>
      </c>
      <c r="P220" s="46" t="s">
        <v>521</v>
      </c>
      <c r="Q220" s="42" t="s">
        <v>522</v>
      </c>
      <c r="R220" s="42"/>
      <c r="S220" s="42" t="str">
        <f>_xlfn.CONCAT("avail-",LEFT(VmSpecs[[#This Row],[VM Name]],LEN(VmSpecs[[#This Row],[VM Name]])-2))</f>
        <v>avail-vmpfbpf2inj</v>
      </c>
      <c r="T220" s="42" t="str">
        <f>_xlfn.CONCAT("asg-",LEFT(VmSpecs[[#This Row],[VM Name]],LEN(VmSpecs[[#This Row],[VM Name]])-2))</f>
        <v>asg-vmpfbpf2inj</v>
      </c>
      <c r="U220" s="42" t="str">
        <f>_xlfn.CONCAT("nsg-",VmSpecs[[#This Row],[Subnet]])</f>
        <v>nsg-sn-pfb-aue-pf2-web</v>
      </c>
      <c r="V220" s="42"/>
      <c r="W220" s="43" t="str">
        <f>VLOOKUP(VmSpecs[[#This Row],[Original Hostname (CMO)]],'SSOT Data'!A:AX,50,FALSE)</f>
        <v>Standard_D4s_v4</v>
      </c>
      <c r="X220" s="43">
        <v>128</v>
      </c>
      <c r="Y220" s="43" t="s">
        <v>65</v>
      </c>
      <c r="Z220" s="43" t="str">
        <f>"osdisk-"&amp;VmSpecs[[#This Row],[VM Name]]</f>
        <v>osdisk-vmpfbpf2inj13</v>
      </c>
      <c r="AA220" s="47" t="s">
        <v>66</v>
      </c>
      <c r="AB220" s="73">
        <v>8</v>
      </c>
      <c r="AC220" s="74" t="s">
        <v>65</v>
      </c>
      <c r="AD220" s="84" t="str">
        <f>"disk-"&amp;VmSpecs[[#This Row],[VM Name]]&amp;"-001"</f>
        <v>disk-vmpfbpf2inj13-001</v>
      </c>
      <c r="AE220" s="73">
        <v>32</v>
      </c>
      <c r="AF220" s="74" t="s">
        <v>65</v>
      </c>
      <c r="AG220" s="85" t="str">
        <f>"disk-"&amp;VmSpecs[[#This Row],[VM Name]]&amp;"-002"</f>
        <v>disk-vmpfbpf2inj13-002</v>
      </c>
      <c r="AH220" s="59"/>
      <c r="AI220" s="42"/>
      <c r="AJ220" s="42"/>
      <c r="AK220" s="42"/>
      <c r="AL220" s="42" t="str">
        <f>MID(VmSpecs[[#This Row],[VM Name]],3,9)</f>
        <v>pfbpf2inj</v>
      </c>
      <c r="AM220" s="42" t="str" cm="1">
        <f t="array" ref="AM220">_xlfn.TEXTJOIN(CHAR(10), TRUE, IF(NfsExports[FMO Single VM IP]=VmSpecs[[#This Row],[IP]],NfsExports[FMO Export Summary],""))</f>
        <v/>
      </c>
      <c r="AN220" s="43"/>
      <c r="AO220" s="42"/>
      <c r="AP220" s="42" t="str">
        <f>"PerfTest " &amp; VmSpecs[[#This Row],[VM iteration (nn)]]</f>
        <v>PerfTest 13</v>
      </c>
      <c r="AQ220" s="43"/>
      <c r="AR220" s="43" t="s">
        <v>64</v>
      </c>
      <c r="AS220" s="43" t="s">
        <v>64</v>
      </c>
      <c r="AT220" s="43" t="s">
        <v>64</v>
      </c>
      <c r="AU220" s="43" t="s">
        <v>64</v>
      </c>
      <c r="AV220" s="42" t="s">
        <v>66</v>
      </c>
      <c r="AW220" s="42" t="s">
        <v>67</v>
      </c>
      <c r="AX220" s="42" t="s">
        <v>68</v>
      </c>
      <c r="AY220" s="42" t="s">
        <v>64</v>
      </c>
      <c r="AZ220" s="42" t="s">
        <v>64</v>
      </c>
      <c r="BA22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13"
Application Service: "INJ"
Lifecycle: "PFB"</v>
      </c>
      <c r="BB220" s="78" t="s">
        <v>547</v>
      </c>
      <c r="BC220" s="42" t="str">
        <f>VLOOKUP(VmSpecs[[#This Row],[Original Hostname (CMO)]],'SSOT Data'!A:AJ,36,FALSE)</f>
        <v>PerfTest 16</v>
      </c>
      <c r="BD220" s="43"/>
    </row>
    <row r="221" spans="1:56" ht="29" x14ac:dyDescent="0.35">
      <c r="A221" s="78" t="s">
        <v>58</v>
      </c>
      <c r="B221" s="42" t="str">
        <f>_xlfn.XLOOKUP(VmSpecs[[#This Row],[Subnet]],NetworkReference[Subnet],NetworkReference[Subscription])</f>
        <v>NINP-PERF2</v>
      </c>
      <c r="C221" s="43" t="str">
        <f>_xlfn.XLOOKUP(VmSpecs[[#This Row],[Subnet]],NetworkReference[Subnet],NetworkReference[Virtual Network Resource Group])</f>
        <v>rg-pf2-network-aue-001</v>
      </c>
      <c r="D221" s="43" t="str">
        <f>_xlfn.XLOOKUP(VmSpecs[[#This Row],[Subnet]],NetworkReference[Subnet],NetworkReference[Virtual Network])</f>
        <v>vnet-pf2-workload-aue-001</v>
      </c>
      <c r="E221" s="132" t="s">
        <v>489</v>
      </c>
      <c r="F221" s="43" t="str">
        <f>_xlfn.XLOOKUP(VmSpecs[[#This Row],[Subnet]],NetworkReference[Subnet],NetworkReference[Virtual Network Peering])</f>
        <v>vnet-ninp-conn-pnp-hub-aue</v>
      </c>
      <c r="G221" s="43" t="str">
        <f>_xlfn.XLOOKUP(VmSpecs[[#This Row],[Subnet]],NetworkReference[Subnet],NetworkReference[Route Table])</f>
        <v>rt-sn-pfb-aue-pf2-web</v>
      </c>
      <c r="H221" s="43" t="str">
        <f>LOWER(VLOOKUP(VmSpecs[[#This Row],[Original Hostname (CMO)]],'SSOT Data'!A:K,10,FALSE))</f>
        <v>inj</v>
      </c>
      <c r="I22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21" s="44" t="s">
        <v>144</v>
      </c>
      <c r="K221" s="43" t="str">
        <f>_xlfn.CONCAT("vm",MID(VmSpecs[[#This Row],[Subnet]],4,3),VLOOKUP(VmSpecs[[#This Row],[Subscription]],NetworkReference[#All],2,FALSE),VmSpecs[[#This Row],[Service]],VmSpecs[[#This Row],[VM iteration (nn)]])</f>
        <v>vmpfbpf2inj14</v>
      </c>
      <c r="L221" s="45" t="s">
        <v>61</v>
      </c>
      <c r="M221" s="43" t="str">
        <f>VmSpecs[[#This Row],[VM Name]]&amp;".ninp.myhealthrecord.gov.au"</f>
        <v>vmpfbpf2inj14.ninp.myhealthrecord.gov.au</v>
      </c>
      <c r="N221" s="42" t="str">
        <f t="shared" si="3"/>
        <v>nic-001-vmpfbpf2inj14</v>
      </c>
      <c r="O221" s="106" t="s">
        <v>548</v>
      </c>
      <c r="P221" s="46" t="s">
        <v>521</v>
      </c>
      <c r="Q221" s="42" t="s">
        <v>522</v>
      </c>
      <c r="R221" s="42"/>
      <c r="S221" s="42" t="str">
        <f>_xlfn.CONCAT("avail-",LEFT(VmSpecs[[#This Row],[VM Name]],LEN(VmSpecs[[#This Row],[VM Name]])-2))</f>
        <v>avail-vmpfbpf2inj</v>
      </c>
      <c r="T221" s="42" t="str">
        <f>_xlfn.CONCAT("asg-",LEFT(VmSpecs[[#This Row],[VM Name]],LEN(VmSpecs[[#This Row],[VM Name]])-2))</f>
        <v>asg-vmpfbpf2inj</v>
      </c>
      <c r="U221" s="42" t="str">
        <f>_xlfn.CONCAT("nsg-",VmSpecs[[#This Row],[Subnet]])</f>
        <v>nsg-sn-pfb-aue-pf2-web</v>
      </c>
      <c r="V221" s="42"/>
      <c r="W221" s="43" t="str">
        <f>VLOOKUP(VmSpecs[[#This Row],[Original Hostname (CMO)]],'SSOT Data'!A:AX,50,FALSE)</f>
        <v>Standard_D4s_v4</v>
      </c>
      <c r="X221" s="43">
        <v>128</v>
      </c>
      <c r="Y221" s="43" t="s">
        <v>65</v>
      </c>
      <c r="Z221" s="43" t="str">
        <f>"osdisk-"&amp;VmSpecs[[#This Row],[VM Name]]</f>
        <v>osdisk-vmpfbpf2inj14</v>
      </c>
      <c r="AA221" s="47" t="s">
        <v>66</v>
      </c>
      <c r="AB221" s="73">
        <v>8</v>
      </c>
      <c r="AC221" s="74" t="s">
        <v>65</v>
      </c>
      <c r="AD221" s="84" t="str">
        <f>"disk-"&amp;VmSpecs[[#This Row],[VM Name]]&amp;"-001"</f>
        <v>disk-vmpfbpf2inj14-001</v>
      </c>
      <c r="AE221" s="73">
        <v>32</v>
      </c>
      <c r="AF221" s="74" t="s">
        <v>65</v>
      </c>
      <c r="AG221" s="85" t="str">
        <f>"disk-"&amp;VmSpecs[[#This Row],[VM Name]]&amp;"-002"</f>
        <v>disk-vmpfbpf2inj14-002</v>
      </c>
      <c r="AH221" s="59"/>
      <c r="AI221" s="42"/>
      <c r="AJ221" s="42"/>
      <c r="AK221" s="42"/>
      <c r="AL221" s="42" t="str">
        <f>MID(VmSpecs[[#This Row],[VM Name]],3,9)</f>
        <v>pfbpf2inj</v>
      </c>
      <c r="AM221" s="42" t="str" cm="1">
        <f t="array" ref="AM221">_xlfn.TEXTJOIN(CHAR(10), TRUE, IF(NfsExports[FMO Single VM IP]=VmSpecs[[#This Row],[IP]],NfsExports[FMO Export Summary],""))</f>
        <v/>
      </c>
      <c r="AN221" s="43"/>
      <c r="AO221" s="42"/>
      <c r="AP221" s="42" t="str">
        <f>"PerfTest " &amp; VmSpecs[[#This Row],[VM iteration (nn)]]</f>
        <v>PerfTest 14</v>
      </c>
      <c r="AQ221" s="43"/>
      <c r="AR221" s="43" t="s">
        <v>64</v>
      </c>
      <c r="AS221" s="43" t="s">
        <v>64</v>
      </c>
      <c r="AT221" s="43" t="s">
        <v>64</v>
      </c>
      <c r="AU221" s="43" t="s">
        <v>64</v>
      </c>
      <c r="AV221" s="42" t="s">
        <v>66</v>
      </c>
      <c r="AW221" s="42" t="s">
        <v>67</v>
      </c>
      <c r="AX221" s="42" t="s">
        <v>68</v>
      </c>
      <c r="AY221" s="42" t="s">
        <v>64</v>
      </c>
      <c r="AZ221" s="42" t="s">
        <v>64</v>
      </c>
      <c r="BA22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14"
Application Service: "INJ"
Lifecycle: "PFB"</v>
      </c>
      <c r="BB221" s="78" t="s">
        <v>549</v>
      </c>
      <c r="BC221" s="42" t="str">
        <f>VLOOKUP(VmSpecs[[#This Row],[Original Hostname (CMO)]],'SSOT Data'!A:AJ,36,FALSE)</f>
        <v>PerfTest 16</v>
      </c>
      <c r="BD221" s="43"/>
    </row>
    <row r="222" spans="1:56" ht="29" x14ac:dyDescent="0.35">
      <c r="A222" s="78" t="s">
        <v>58</v>
      </c>
      <c r="B222" s="42" t="str">
        <f>_xlfn.XLOOKUP(VmSpecs[[#This Row],[Subnet]],NetworkReference[Subnet],NetworkReference[Subscription])</f>
        <v>NINP-PERF2</v>
      </c>
      <c r="C222" s="43" t="str">
        <f>_xlfn.XLOOKUP(VmSpecs[[#This Row],[Subnet]],NetworkReference[Subnet],NetworkReference[Virtual Network Resource Group])</f>
        <v>rg-pf2-network-aue-001</v>
      </c>
      <c r="D222" s="43" t="str">
        <f>_xlfn.XLOOKUP(VmSpecs[[#This Row],[Subnet]],NetworkReference[Subnet],NetworkReference[Virtual Network])</f>
        <v>vnet-pf2-workload-aue-001</v>
      </c>
      <c r="E222" s="132" t="s">
        <v>489</v>
      </c>
      <c r="F222" s="43" t="str">
        <f>_xlfn.XLOOKUP(VmSpecs[[#This Row],[Subnet]],NetworkReference[Subnet],NetworkReference[Virtual Network Peering])</f>
        <v>vnet-ninp-conn-pnp-hub-aue</v>
      </c>
      <c r="G222" s="43" t="str">
        <f>_xlfn.XLOOKUP(VmSpecs[[#This Row],[Subnet]],NetworkReference[Subnet],NetworkReference[Route Table])</f>
        <v>rt-sn-pfb-aue-pf2-web</v>
      </c>
      <c r="H222" s="43" t="str">
        <f>LOWER(VLOOKUP(VmSpecs[[#This Row],[Original Hostname (CMO)]],'SSOT Data'!A:K,10,FALSE))</f>
        <v>inj</v>
      </c>
      <c r="I22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22" s="44" t="s">
        <v>147</v>
      </c>
      <c r="K222" s="43" t="str">
        <f>_xlfn.CONCAT("vm",MID(VmSpecs[[#This Row],[Subnet]],4,3),VLOOKUP(VmSpecs[[#This Row],[Subscription]],NetworkReference[#All],2,FALSE),VmSpecs[[#This Row],[Service]],VmSpecs[[#This Row],[VM iteration (nn)]])</f>
        <v>vmpfbpf2inj15</v>
      </c>
      <c r="L222" s="45" t="s">
        <v>61</v>
      </c>
      <c r="M222" s="43" t="str">
        <f>VmSpecs[[#This Row],[VM Name]]&amp;".ninp.myhealthrecord.gov.au"</f>
        <v>vmpfbpf2inj15.ninp.myhealthrecord.gov.au</v>
      </c>
      <c r="N222" s="42" t="str">
        <f t="shared" si="3"/>
        <v>nic-001-vmpfbpf2inj15</v>
      </c>
      <c r="O222" s="106" t="s">
        <v>550</v>
      </c>
      <c r="P222" s="46" t="s">
        <v>521</v>
      </c>
      <c r="Q222" s="42" t="s">
        <v>522</v>
      </c>
      <c r="R222" s="42"/>
      <c r="S222" s="42" t="str">
        <f>_xlfn.CONCAT("avail-",LEFT(VmSpecs[[#This Row],[VM Name]],LEN(VmSpecs[[#This Row],[VM Name]])-2))</f>
        <v>avail-vmpfbpf2inj</v>
      </c>
      <c r="T222" s="42" t="str">
        <f>_xlfn.CONCAT("asg-",LEFT(VmSpecs[[#This Row],[VM Name]],LEN(VmSpecs[[#This Row],[VM Name]])-2))</f>
        <v>asg-vmpfbpf2inj</v>
      </c>
      <c r="U222" s="42" t="str">
        <f>_xlfn.CONCAT("nsg-",VmSpecs[[#This Row],[Subnet]])</f>
        <v>nsg-sn-pfb-aue-pf2-web</v>
      </c>
      <c r="V222" s="42"/>
      <c r="W222" s="43" t="str">
        <f>VLOOKUP(VmSpecs[[#This Row],[Original Hostname (CMO)]],'SSOT Data'!A:AX,50,FALSE)</f>
        <v>Standard_D4s_v4</v>
      </c>
      <c r="X222" s="43">
        <v>128</v>
      </c>
      <c r="Y222" s="43" t="s">
        <v>65</v>
      </c>
      <c r="Z222" s="43" t="str">
        <f>"osdisk-"&amp;VmSpecs[[#This Row],[VM Name]]</f>
        <v>osdisk-vmpfbpf2inj15</v>
      </c>
      <c r="AA222" s="47" t="s">
        <v>66</v>
      </c>
      <c r="AB222" s="73">
        <v>8</v>
      </c>
      <c r="AC222" s="74" t="s">
        <v>65</v>
      </c>
      <c r="AD222" s="84" t="str">
        <f>"disk-"&amp;VmSpecs[[#This Row],[VM Name]]&amp;"-001"</f>
        <v>disk-vmpfbpf2inj15-001</v>
      </c>
      <c r="AE222" s="73">
        <v>32</v>
      </c>
      <c r="AF222" s="74" t="s">
        <v>65</v>
      </c>
      <c r="AG222" s="85" t="str">
        <f>"disk-"&amp;VmSpecs[[#This Row],[VM Name]]&amp;"-002"</f>
        <v>disk-vmpfbpf2inj15-002</v>
      </c>
      <c r="AH222" s="59"/>
      <c r="AI222" s="42"/>
      <c r="AJ222" s="42"/>
      <c r="AK222" s="42"/>
      <c r="AL222" s="42" t="str">
        <f>MID(VmSpecs[[#This Row],[VM Name]],3,9)</f>
        <v>pfbpf2inj</v>
      </c>
      <c r="AM222" s="42" t="str" cm="1">
        <f t="array" ref="AM222">_xlfn.TEXTJOIN(CHAR(10), TRUE, IF(NfsExports[FMO Single VM IP]=VmSpecs[[#This Row],[IP]],NfsExports[FMO Export Summary],""))</f>
        <v/>
      </c>
      <c r="AN222" s="43"/>
      <c r="AO222" s="42"/>
      <c r="AP222" s="42" t="str">
        <f>"PerfTest " &amp; VmSpecs[[#This Row],[VM iteration (nn)]]</f>
        <v>PerfTest 15</v>
      </c>
      <c r="AQ222" s="43"/>
      <c r="AR222" s="43" t="s">
        <v>64</v>
      </c>
      <c r="AS222" s="43" t="s">
        <v>64</v>
      </c>
      <c r="AT222" s="43" t="s">
        <v>64</v>
      </c>
      <c r="AU222" s="43" t="s">
        <v>64</v>
      </c>
      <c r="AV222" s="42" t="s">
        <v>66</v>
      </c>
      <c r="AW222" s="42" t="s">
        <v>67</v>
      </c>
      <c r="AX222" s="42" t="s">
        <v>68</v>
      </c>
      <c r="AY222" s="42" t="s">
        <v>64</v>
      </c>
      <c r="AZ222" s="42" t="s">
        <v>64</v>
      </c>
      <c r="BA22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15"
Application Service: "INJ"
Lifecycle: "PFB"</v>
      </c>
      <c r="BB222" s="78" t="s">
        <v>551</v>
      </c>
      <c r="BC222" s="42" t="str">
        <f>VLOOKUP(VmSpecs[[#This Row],[Original Hostname (CMO)]],'SSOT Data'!A:AJ,36,FALSE)</f>
        <v>PerfTest 2</v>
      </c>
      <c r="BD222" s="43"/>
    </row>
    <row r="223" spans="1:56" ht="29" x14ac:dyDescent="0.35">
      <c r="A223" s="78" t="s">
        <v>58</v>
      </c>
      <c r="B223" s="42" t="str">
        <f>_xlfn.XLOOKUP(VmSpecs[[#This Row],[Subnet]],NetworkReference[Subnet],NetworkReference[Subscription])</f>
        <v>NINP-PERF2</v>
      </c>
      <c r="C223" s="43" t="str">
        <f>_xlfn.XLOOKUP(VmSpecs[[#This Row],[Subnet]],NetworkReference[Subnet],NetworkReference[Virtual Network Resource Group])</f>
        <v>rg-pf2-network-aue-001</v>
      </c>
      <c r="D223" s="43" t="str">
        <f>_xlfn.XLOOKUP(VmSpecs[[#This Row],[Subnet]],NetworkReference[Subnet],NetworkReference[Virtual Network])</f>
        <v>vnet-pf2-workload-aue-001</v>
      </c>
      <c r="E223" s="132" t="s">
        <v>489</v>
      </c>
      <c r="F223" s="43" t="str">
        <f>_xlfn.XLOOKUP(VmSpecs[[#This Row],[Subnet]],NetworkReference[Subnet],NetworkReference[Virtual Network Peering])</f>
        <v>vnet-ninp-conn-pnp-hub-aue</v>
      </c>
      <c r="G223" s="43" t="str">
        <f>_xlfn.XLOOKUP(VmSpecs[[#This Row],[Subnet]],NetworkReference[Subnet],NetworkReference[Route Table])</f>
        <v>rt-sn-pfb-aue-pf2-web</v>
      </c>
      <c r="H223" s="43" t="str">
        <f>LOWER(VLOOKUP(VmSpecs[[#This Row],[Original Hostname (CMO)]],'SSOT Data'!A:K,10,FALSE))</f>
        <v>inj</v>
      </c>
      <c r="I22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23" s="44" t="s">
        <v>150</v>
      </c>
      <c r="K223" s="43" t="str">
        <f>_xlfn.CONCAT("vm",MID(VmSpecs[[#This Row],[Subnet]],4,3),VLOOKUP(VmSpecs[[#This Row],[Subscription]],NetworkReference[#All],2,FALSE),VmSpecs[[#This Row],[Service]],VmSpecs[[#This Row],[VM iteration (nn)]])</f>
        <v>vmpfbpf2inj16</v>
      </c>
      <c r="L223" s="45" t="s">
        <v>61</v>
      </c>
      <c r="M223" s="43" t="str">
        <f>VmSpecs[[#This Row],[VM Name]]&amp;".ninp.myhealthrecord.gov.au"</f>
        <v>vmpfbpf2inj16.ninp.myhealthrecord.gov.au</v>
      </c>
      <c r="N223" s="42" t="str">
        <f t="shared" si="3"/>
        <v>nic-001-vmpfbpf2inj16</v>
      </c>
      <c r="O223" s="106" t="s">
        <v>552</v>
      </c>
      <c r="P223" s="46" t="s">
        <v>521</v>
      </c>
      <c r="Q223" s="42" t="s">
        <v>522</v>
      </c>
      <c r="R223" s="42"/>
      <c r="S223" s="42" t="str">
        <f>_xlfn.CONCAT("avail-",LEFT(VmSpecs[[#This Row],[VM Name]],LEN(VmSpecs[[#This Row],[VM Name]])-2))</f>
        <v>avail-vmpfbpf2inj</v>
      </c>
      <c r="T223" s="42" t="str">
        <f>_xlfn.CONCAT("asg-",LEFT(VmSpecs[[#This Row],[VM Name]],LEN(VmSpecs[[#This Row],[VM Name]])-2))</f>
        <v>asg-vmpfbpf2inj</v>
      </c>
      <c r="U223" s="42" t="str">
        <f>_xlfn.CONCAT("nsg-",VmSpecs[[#This Row],[Subnet]])</f>
        <v>nsg-sn-pfb-aue-pf2-web</v>
      </c>
      <c r="V223" s="42"/>
      <c r="W223" s="43" t="str">
        <f>VLOOKUP(VmSpecs[[#This Row],[Original Hostname (CMO)]],'SSOT Data'!A:AX,50,FALSE)</f>
        <v>Standard_D4s_v4</v>
      </c>
      <c r="X223" s="43">
        <v>128</v>
      </c>
      <c r="Y223" s="43" t="s">
        <v>65</v>
      </c>
      <c r="Z223" s="43" t="str">
        <f>"osdisk-"&amp;VmSpecs[[#This Row],[VM Name]]</f>
        <v>osdisk-vmpfbpf2inj16</v>
      </c>
      <c r="AA223" s="47" t="s">
        <v>66</v>
      </c>
      <c r="AB223" s="73">
        <v>8</v>
      </c>
      <c r="AC223" s="74" t="s">
        <v>65</v>
      </c>
      <c r="AD223" s="84" t="str">
        <f>"disk-"&amp;VmSpecs[[#This Row],[VM Name]]&amp;"-001"</f>
        <v>disk-vmpfbpf2inj16-001</v>
      </c>
      <c r="AE223" s="73">
        <v>32</v>
      </c>
      <c r="AF223" s="74" t="s">
        <v>65</v>
      </c>
      <c r="AG223" s="85" t="str">
        <f>"disk-"&amp;VmSpecs[[#This Row],[VM Name]]&amp;"-002"</f>
        <v>disk-vmpfbpf2inj16-002</v>
      </c>
      <c r="AH223" s="59"/>
      <c r="AI223" s="42"/>
      <c r="AJ223" s="42"/>
      <c r="AK223" s="42"/>
      <c r="AL223" s="42" t="str">
        <f>MID(VmSpecs[[#This Row],[VM Name]],3,9)</f>
        <v>pfbpf2inj</v>
      </c>
      <c r="AM223" s="42" t="str" cm="1">
        <f t="array" ref="AM223">_xlfn.TEXTJOIN(CHAR(10), TRUE, IF(NfsExports[FMO Single VM IP]=VmSpecs[[#This Row],[IP]],NfsExports[FMO Export Summary],""))</f>
        <v/>
      </c>
      <c r="AN223" s="43"/>
      <c r="AO223" s="42"/>
      <c r="AP223" s="42" t="str">
        <f>"PerfTest " &amp; VmSpecs[[#This Row],[VM iteration (nn)]]</f>
        <v>PerfTest 16</v>
      </c>
      <c r="AQ223" s="43"/>
      <c r="AR223" s="43" t="s">
        <v>64</v>
      </c>
      <c r="AS223" s="43" t="s">
        <v>64</v>
      </c>
      <c r="AT223" s="43" t="s">
        <v>64</v>
      </c>
      <c r="AU223" s="43" t="s">
        <v>64</v>
      </c>
      <c r="AV223" s="42" t="s">
        <v>66</v>
      </c>
      <c r="AW223" s="42" t="s">
        <v>67</v>
      </c>
      <c r="AX223" s="42" t="s">
        <v>68</v>
      </c>
      <c r="AY223" s="42" t="s">
        <v>64</v>
      </c>
      <c r="AZ223" s="42" t="s">
        <v>64</v>
      </c>
      <c r="BA22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16"
Application Service: "INJ"
Lifecycle: "PFB"</v>
      </c>
      <c r="BB223" s="78" t="s">
        <v>553</v>
      </c>
      <c r="BC223" s="42" t="str">
        <f>VLOOKUP(VmSpecs[[#This Row],[Original Hostname (CMO)]],'SSOT Data'!A:AJ,36,FALSE)</f>
        <v>PerfTest 3</v>
      </c>
      <c r="BD223" s="43"/>
    </row>
    <row r="224" spans="1:56" ht="29" x14ac:dyDescent="0.35">
      <c r="A224" s="78" t="s">
        <v>58</v>
      </c>
      <c r="B224" s="42" t="str">
        <f>_xlfn.XLOOKUP(VmSpecs[[#This Row],[Subnet]],NetworkReference[Subnet],NetworkReference[Subscription])</f>
        <v>NINP-PERF2</v>
      </c>
      <c r="C224" s="43" t="str">
        <f>_xlfn.XLOOKUP(VmSpecs[[#This Row],[Subnet]],NetworkReference[Subnet],NetworkReference[Virtual Network Resource Group])</f>
        <v>rg-pf2-network-aue-001</v>
      </c>
      <c r="D224" s="43" t="str">
        <f>_xlfn.XLOOKUP(VmSpecs[[#This Row],[Subnet]],NetworkReference[Subnet],NetworkReference[Virtual Network])</f>
        <v>vnet-pf2-workload-aue-001</v>
      </c>
      <c r="E224" s="132" t="s">
        <v>489</v>
      </c>
      <c r="F224" s="43" t="str">
        <f>_xlfn.XLOOKUP(VmSpecs[[#This Row],[Subnet]],NetworkReference[Subnet],NetworkReference[Virtual Network Peering])</f>
        <v>vnet-ninp-conn-pnp-hub-aue</v>
      </c>
      <c r="G224" s="43" t="str">
        <f>_xlfn.XLOOKUP(VmSpecs[[#This Row],[Subnet]],NetworkReference[Subnet],NetworkReference[Route Table])</f>
        <v>rt-sn-pfb-aue-pf2-web</v>
      </c>
      <c r="H224" s="43" t="str">
        <f>LOWER(VLOOKUP(VmSpecs[[#This Row],[Original Hostname (CMO)]],'SSOT Data'!A:K,10,FALSE))</f>
        <v>inj</v>
      </c>
      <c r="I22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24" s="44" t="s">
        <v>153</v>
      </c>
      <c r="K224" s="43" t="str">
        <f>_xlfn.CONCAT("vm",MID(VmSpecs[[#This Row],[Subnet]],4,3),VLOOKUP(VmSpecs[[#This Row],[Subscription]],NetworkReference[#All],2,FALSE),VmSpecs[[#This Row],[Service]],VmSpecs[[#This Row],[VM iteration (nn)]])</f>
        <v>vmpfbpf2inj17</v>
      </c>
      <c r="L224" s="45" t="s">
        <v>61</v>
      </c>
      <c r="M224" s="43" t="str">
        <f>VmSpecs[[#This Row],[VM Name]]&amp;".ninp.myhealthrecord.gov.au"</f>
        <v>vmpfbpf2inj17.ninp.myhealthrecord.gov.au</v>
      </c>
      <c r="N224" s="42" t="str">
        <f t="shared" si="3"/>
        <v>nic-001-vmpfbpf2inj17</v>
      </c>
      <c r="O224" s="106" t="s">
        <v>554</v>
      </c>
      <c r="P224" s="46" t="s">
        <v>521</v>
      </c>
      <c r="Q224" s="42" t="s">
        <v>522</v>
      </c>
      <c r="R224" s="42"/>
      <c r="S224" s="42" t="str">
        <f>_xlfn.CONCAT("avail-",LEFT(VmSpecs[[#This Row],[VM Name]],LEN(VmSpecs[[#This Row],[VM Name]])-2))</f>
        <v>avail-vmpfbpf2inj</v>
      </c>
      <c r="T224" s="42" t="str">
        <f>_xlfn.CONCAT("asg-",LEFT(VmSpecs[[#This Row],[VM Name]],LEN(VmSpecs[[#This Row],[VM Name]])-2))</f>
        <v>asg-vmpfbpf2inj</v>
      </c>
      <c r="U224" s="42" t="str">
        <f>_xlfn.CONCAT("nsg-",VmSpecs[[#This Row],[Subnet]])</f>
        <v>nsg-sn-pfb-aue-pf2-web</v>
      </c>
      <c r="V224" s="42"/>
      <c r="W224" s="43" t="str">
        <f>VLOOKUP(VmSpecs[[#This Row],[Original Hostname (CMO)]],'SSOT Data'!A:AX,50,FALSE)</f>
        <v>Standard_D4s_v4</v>
      </c>
      <c r="X224" s="43">
        <v>128</v>
      </c>
      <c r="Y224" s="43" t="s">
        <v>65</v>
      </c>
      <c r="Z224" s="43" t="str">
        <f>"osdisk-"&amp;VmSpecs[[#This Row],[VM Name]]</f>
        <v>osdisk-vmpfbpf2inj17</v>
      </c>
      <c r="AA224" s="47" t="s">
        <v>66</v>
      </c>
      <c r="AB224" s="73">
        <v>8</v>
      </c>
      <c r="AC224" s="74" t="s">
        <v>65</v>
      </c>
      <c r="AD224" s="84" t="str">
        <f>"disk-"&amp;VmSpecs[[#This Row],[VM Name]]&amp;"-001"</f>
        <v>disk-vmpfbpf2inj17-001</v>
      </c>
      <c r="AE224" s="73">
        <v>32</v>
      </c>
      <c r="AF224" s="74" t="s">
        <v>65</v>
      </c>
      <c r="AG224" s="85" t="str">
        <f>"disk-"&amp;VmSpecs[[#This Row],[VM Name]]&amp;"-002"</f>
        <v>disk-vmpfbpf2inj17-002</v>
      </c>
      <c r="AH224" s="59"/>
      <c r="AI224" s="42"/>
      <c r="AJ224" s="42"/>
      <c r="AK224" s="42"/>
      <c r="AL224" s="42" t="str">
        <f>MID(VmSpecs[[#This Row],[VM Name]],3,9)</f>
        <v>pfbpf2inj</v>
      </c>
      <c r="AM224" s="42" t="str" cm="1">
        <f t="array" ref="AM224">_xlfn.TEXTJOIN(CHAR(10), TRUE, IF(NfsExports[FMO Single VM IP]=VmSpecs[[#This Row],[IP]],NfsExports[FMO Export Summary],""))</f>
        <v/>
      </c>
      <c r="AN224" s="43"/>
      <c r="AO224" s="42"/>
      <c r="AP224" s="42" t="str">
        <f>"PerfTest " &amp; VmSpecs[[#This Row],[VM iteration (nn)]]</f>
        <v>PerfTest 17</v>
      </c>
      <c r="AQ224" s="43"/>
      <c r="AR224" s="43" t="s">
        <v>64</v>
      </c>
      <c r="AS224" s="43" t="s">
        <v>64</v>
      </c>
      <c r="AT224" s="43" t="s">
        <v>64</v>
      </c>
      <c r="AU224" s="43" t="s">
        <v>64</v>
      </c>
      <c r="AV224" s="42" t="s">
        <v>66</v>
      </c>
      <c r="AW224" s="42" t="s">
        <v>67</v>
      </c>
      <c r="AX224" s="42" t="s">
        <v>68</v>
      </c>
      <c r="AY224" s="42" t="s">
        <v>64</v>
      </c>
      <c r="AZ224" s="42" t="s">
        <v>64</v>
      </c>
      <c r="BA22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17"
Application Service: "INJ"
Lifecycle: "PFB"</v>
      </c>
      <c r="BB224" s="78" t="s">
        <v>555</v>
      </c>
      <c r="BC224" s="42" t="str">
        <f>VLOOKUP(VmSpecs[[#This Row],[Original Hostname (CMO)]],'SSOT Data'!A:AJ,36,FALSE)</f>
        <v>PerfTest 4</v>
      </c>
      <c r="BD224" s="43"/>
    </row>
    <row r="225" spans="1:56" ht="29" x14ac:dyDescent="0.35">
      <c r="A225" s="78" t="s">
        <v>58</v>
      </c>
      <c r="B225" s="42" t="str">
        <f>_xlfn.XLOOKUP(VmSpecs[[#This Row],[Subnet]],NetworkReference[Subnet],NetworkReference[Subscription])</f>
        <v>NINP-PERF2</v>
      </c>
      <c r="C225" s="43" t="str">
        <f>_xlfn.XLOOKUP(VmSpecs[[#This Row],[Subnet]],NetworkReference[Subnet],NetworkReference[Virtual Network Resource Group])</f>
        <v>rg-pf2-network-aue-001</v>
      </c>
      <c r="D225" s="43" t="str">
        <f>_xlfn.XLOOKUP(VmSpecs[[#This Row],[Subnet]],NetworkReference[Subnet],NetworkReference[Virtual Network])</f>
        <v>vnet-pf2-workload-aue-001</v>
      </c>
      <c r="E225" s="132" t="s">
        <v>489</v>
      </c>
      <c r="F225" s="43" t="str">
        <f>_xlfn.XLOOKUP(VmSpecs[[#This Row],[Subnet]],NetworkReference[Subnet],NetworkReference[Virtual Network Peering])</f>
        <v>vnet-ninp-conn-pnp-hub-aue</v>
      </c>
      <c r="G225" s="43" t="str">
        <f>_xlfn.XLOOKUP(VmSpecs[[#This Row],[Subnet]],NetworkReference[Subnet],NetworkReference[Route Table])</f>
        <v>rt-sn-pfb-aue-pf2-web</v>
      </c>
      <c r="H225" s="43" t="str">
        <f>LOWER(VLOOKUP(VmSpecs[[#This Row],[Original Hostname (CMO)]],'SSOT Data'!A:K,10,FALSE))</f>
        <v>inj</v>
      </c>
      <c r="I22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25" s="44" t="s">
        <v>156</v>
      </c>
      <c r="K225" s="43" t="str">
        <f>_xlfn.CONCAT("vm",MID(VmSpecs[[#This Row],[Subnet]],4,3),VLOOKUP(VmSpecs[[#This Row],[Subscription]],NetworkReference[#All],2,FALSE),VmSpecs[[#This Row],[Service]],VmSpecs[[#This Row],[VM iteration (nn)]])</f>
        <v>vmpfbpf2inj18</v>
      </c>
      <c r="L225" s="45" t="s">
        <v>61</v>
      </c>
      <c r="M225" s="43" t="str">
        <f>VmSpecs[[#This Row],[VM Name]]&amp;".ninp.myhealthrecord.gov.au"</f>
        <v>vmpfbpf2inj18.ninp.myhealthrecord.gov.au</v>
      </c>
      <c r="N225" s="42" t="str">
        <f t="shared" si="3"/>
        <v>nic-001-vmpfbpf2inj18</v>
      </c>
      <c r="O225" s="106" t="s">
        <v>556</v>
      </c>
      <c r="P225" s="46" t="s">
        <v>521</v>
      </c>
      <c r="Q225" s="42" t="s">
        <v>522</v>
      </c>
      <c r="R225" s="42"/>
      <c r="S225" s="42" t="str">
        <f>_xlfn.CONCAT("avail-",LEFT(VmSpecs[[#This Row],[VM Name]],LEN(VmSpecs[[#This Row],[VM Name]])-2))</f>
        <v>avail-vmpfbpf2inj</v>
      </c>
      <c r="T225" s="42" t="str">
        <f>_xlfn.CONCAT("asg-",LEFT(VmSpecs[[#This Row],[VM Name]],LEN(VmSpecs[[#This Row],[VM Name]])-2))</f>
        <v>asg-vmpfbpf2inj</v>
      </c>
      <c r="U225" s="42" t="str">
        <f>_xlfn.CONCAT("nsg-",VmSpecs[[#This Row],[Subnet]])</f>
        <v>nsg-sn-pfb-aue-pf2-web</v>
      </c>
      <c r="V225" s="42"/>
      <c r="W225" s="43" t="str">
        <f>VLOOKUP(VmSpecs[[#This Row],[Original Hostname (CMO)]],'SSOT Data'!A:AX,50,FALSE)</f>
        <v>Standard_D4s_v4</v>
      </c>
      <c r="X225" s="43">
        <v>128</v>
      </c>
      <c r="Y225" s="43" t="s">
        <v>65</v>
      </c>
      <c r="Z225" s="43" t="str">
        <f>"osdisk-"&amp;VmSpecs[[#This Row],[VM Name]]</f>
        <v>osdisk-vmpfbpf2inj18</v>
      </c>
      <c r="AA225" s="47" t="s">
        <v>66</v>
      </c>
      <c r="AB225" s="73">
        <v>8</v>
      </c>
      <c r="AC225" s="74" t="s">
        <v>65</v>
      </c>
      <c r="AD225" s="84" t="str">
        <f>"disk-"&amp;VmSpecs[[#This Row],[VM Name]]&amp;"-001"</f>
        <v>disk-vmpfbpf2inj18-001</v>
      </c>
      <c r="AE225" s="73">
        <v>32</v>
      </c>
      <c r="AF225" s="74" t="s">
        <v>65</v>
      </c>
      <c r="AG225" s="85" t="str">
        <f>"disk-"&amp;VmSpecs[[#This Row],[VM Name]]&amp;"-002"</f>
        <v>disk-vmpfbpf2inj18-002</v>
      </c>
      <c r="AH225" s="59"/>
      <c r="AI225" s="42"/>
      <c r="AJ225" s="42"/>
      <c r="AK225" s="42"/>
      <c r="AL225" s="42" t="str">
        <f>MID(VmSpecs[[#This Row],[VM Name]],3,9)</f>
        <v>pfbpf2inj</v>
      </c>
      <c r="AM225" s="42" t="str" cm="1">
        <f t="array" ref="AM225">_xlfn.TEXTJOIN(CHAR(10), TRUE, IF(NfsExports[FMO Single VM IP]=VmSpecs[[#This Row],[IP]],NfsExports[FMO Export Summary],""))</f>
        <v/>
      </c>
      <c r="AN225" s="43"/>
      <c r="AO225" s="42"/>
      <c r="AP225" s="42" t="str">
        <f>"PerfTest " &amp; VmSpecs[[#This Row],[VM iteration (nn)]]</f>
        <v>PerfTest 18</v>
      </c>
      <c r="AQ225" s="43"/>
      <c r="AR225" s="43" t="s">
        <v>64</v>
      </c>
      <c r="AS225" s="43" t="s">
        <v>64</v>
      </c>
      <c r="AT225" s="43" t="s">
        <v>64</v>
      </c>
      <c r="AU225" s="43" t="s">
        <v>64</v>
      </c>
      <c r="AV225" s="42" t="s">
        <v>66</v>
      </c>
      <c r="AW225" s="42" t="s">
        <v>67</v>
      </c>
      <c r="AX225" s="42" t="s">
        <v>68</v>
      </c>
      <c r="AY225" s="42" t="s">
        <v>64</v>
      </c>
      <c r="AZ225" s="42" t="s">
        <v>64</v>
      </c>
      <c r="BA22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18"
Application Service: "INJ"
Lifecycle: "PFB"</v>
      </c>
      <c r="BB225" s="78" t="s">
        <v>557</v>
      </c>
      <c r="BC225" s="42" t="str">
        <f>VLOOKUP(VmSpecs[[#This Row],[Original Hostname (CMO)]],'SSOT Data'!A:AJ,36,FALSE)</f>
        <v>PerfTest 5</v>
      </c>
      <c r="BD225" s="43"/>
    </row>
    <row r="226" spans="1:56" ht="29" x14ac:dyDescent="0.35">
      <c r="A226" s="78" t="s">
        <v>58</v>
      </c>
      <c r="B226" s="42" t="str">
        <f>_xlfn.XLOOKUP(VmSpecs[[#This Row],[Subnet]],NetworkReference[Subnet],NetworkReference[Subscription])</f>
        <v>NINP-PERF2</v>
      </c>
      <c r="C226" s="43" t="str">
        <f>_xlfn.XLOOKUP(VmSpecs[[#This Row],[Subnet]],NetworkReference[Subnet],NetworkReference[Virtual Network Resource Group])</f>
        <v>rg-pf2-network-aue-001</v>
      </c>
      <c r="D226" s="43" t="str">
        <f>_xlfn.XLOOKUP(VmSpecs[[#This Row],[Subnet]],NetworkReference[Subnet],NetworkReference[Virtual Network])</f>
        <v>vnet-pf2-workload-aue-001</v>
      </c>
      <c r="E226" s="132" t="s">
        <v>489</v>
      </c>
      <c r="F226" s="43" t="str">
        <f>_xlfn.XLOOKUP(VmSpecs[[#This Row],[Subnet]],NetworkReference[Subnet],NetworkReference[Virtual Network Peering])</f>
        <v>vnet-ninp-conn-pnp-hub-aue</v>
      </c>
      <c r="G226" s="43" t="str">
        <f>_xlfn.XLOOKUP(VmSpecs[[#This Row],[Subnet]],NetworkReference[Subnet],NetworkReference[Route Table])</f>
        <v>rt-sn-pfb-aue-pf2-web</v>
      </c>
      <c r="H226" s="43" t="str">
        <f>LOWER(VLOOKUP(VmSpecs[[#This Row],[Original Hostname (CMO)]],'SSOT Data'!A:K,10,FALSE))</f>
        <v>inj</v>
      </c>
      <c r="I22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26" s="44" t="s">
        <v>159</v>
      </c>
      <c r="K226" s="43" t="str">
        <f>_xlfn.CONCAT("vm",MID(VmSpecs[[#This Row],[Subnet]],4,3),VLOOKUP(VmSpecs[[#This Row],[Subscription]],NetworkReference[#All],2,FALSE),VmSpecs[[#This Row],[Service]],VmSpecs[[#This Row],[VM iteration (nn)]])</f>
        <v>vmpfbpf2inj19</v>
      </c>
      <c r="L226" s="45" t="s">
        <v>61</v>
      </c>
      <c r="M226" s="43" t="str">
        <f>VmSpecs[[#This Row],[VM Name]]&amp;".ninp.myhealthrecord.gov.au"</f>
        <v>vmpfbpf2inj19.ninp.myhealthrecord.gov.au</v>
      </c>
      <c r="N226" s="42" t="str">
        <f t="shared" si="3"/>
        <v>nic-001-vmpfbpf2inj19</v>
      </c>
      <c r="O226" s="106" t="s">
        <v>558</v>
      </c>
      <c r="P226" s="46" t="s">
        <v>521</v>
      </c>
      <c r="Q226" s="42" t="s">
        <v>522</v>
      </c>
      <c r="R226" s="42"/>
      <c r="S226" s="42" t="str">
        <f>_xlfn.CONCAT("avail-",LEFT(VmSpecs[[#This Row],[VM Name]],LEN(VmSpecs[[#This Row],[VM Name]])-2))</f>
        <v>avail-vmpfbpf2inj</v>
      </c>
      <c r="T226" s="42" t="str">
        <f>_xlfn.CONCAT("asg-",LEFT(VmSpecs[[#This Row],[VM Name]],LEN(VmSpecs[[#This Row],[VM Name]])-2))</f>
        <v>asg-vmpfbpf2inj</v>
      </c>
      <c r="U226" s="42" t="str">
        <f>_xlfn.CONCAT("nsg-",VmSpecs[[#This Row],[Subnet]])</f>
        <v>nsg-sn-pfb-aue-pf2-web</v>
      </c>
      <c r="V226" s="42"/>
      <c r="W226" s="43" t="str">
        <f>VLOOKUP(VmSpecs[[#This Row],[Original Hostname (CMO)]],'SSOT Data'!A:AX,50,FALSE)</f>
        <v>Standard_D2s_v4</v>
      </c>
      <c r="X226" s="43">
        <v>128</v>
      </c>
      <c r="Y226" s="43" t="s">
        <v>65</v>
      </c>
      <c r="Z226" s="43" t="str">
        <f>"osdisk-"&amp;VmSpecs[[#This Row],[VM Name]]</f>
        <v>osdisk-vmpfbpf2inj19</v>
      </c>
      <c r="AA226" s="47" t="s">
        <v>66</v>
      </c>
      <c r="AB226" s="73">
        <v>8</v>
      </c>
      <c r="AC226" s="74" t="s">
        <v>65</v>
      </c>
      <c r="AD226" s="84" t="str">
        <f>"disk-"&amp;VmSpecs[[#This Row],[VM Name]]&amp;"-001"</f>
        <v>disk-vmpfbpf2inj19-001</v>
      </c>
      <c r="AE226" s="73">
        <v>32</v>
      </c>
      <c r="AF226" s="74" t="s">
        <v>65</v>
      </c>
      <c r="AG226" s="85" t="str">
        <f>"disk-"&amp;VmSpecs[[#This Row],[VM Name]]&amp;"-002"</f>
        <v>disk-vmpfbpf2inj19-002</v>
      </c>
      <c r="AH226" s="59"/>
      <c r="AI226" s="42"/>
      <c r="AJ226" s="42"/>
      <c r="AK226" s="42"/>
      <c r="AL226" s="42" t="str">
        <f>MID(VmSpecs[[#This Row],[VM Name]],3,9)</f>
        <v>pfbpf2inj</v>
      </c>
      <c r="AM226" s="42" t="str" cm="1">
        <f t="array" ref="AM226">_xlfn.TEXTJOIN(CHAR(10), TRUE, IF(NfsExports[FMO Single VM IP]=VmSpecs[[#This Row],[IP]],NfsExports[FMO Export Summary],""))</f>
        <v/>
      </c>
      <c r="AN226" s="43"/>
      <c r="AO226" s="42"/>
      <c r="AP226" s="42" t="str">
        <f>"PerfTest " &amp; VmSpecs[[#This Row],[VM iteration (nn)]]</f>
        <v>PerfTest 19</v>
      </c>
      <c r="AQ226" s="43"/>
      <c r="AR226" s="43" t="s">
        <v>64</v>
      </c>
      <c r="AS226" s="43" t="s">
        <v>64</v>
      </c>
      <c r="AT226" s="43" t="s">
        <v>64</v>
      </c>
      <c r="AU226" s="43" t="s">
        <v>64</v>
      </c>
      <c r="AV226" s="42" t="s">
        <v>66</v>
      </c>
      <c r="AW226" s="42" t="s">
        <v>67</v>
      </c>
      <c r="AX226" s="42" t="s">
        <v>68</v>
      </c>
      <c r="AY226" s="42" t="s">
        <v>64</v>
      </c>
      <c r="AZ226" s="42" t="s">
        <v>64</v>
      </c>
      <c r="BA22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19"
Application Service: "INJ"
Lifecycle: "PFB"</v>
      </c>
      <c r="BB226" s="78" t="s">
        <v>559</v>
      </c>
      <c r="BC226" s="42" t="str">
        <f>VLOOKUP(VmSpecs[[#This Row],[Original Hostname (CMO)]],'SSOT Data'!A:AJ,36,FALSE)</f>
        <v>PerfTest 6</v>
      </c>
      <c r="BD226" s="43"/>
    </row>
    <row r="227" spans="1:56" ht="29" x14ac:dyDescent="0.35">
      <c r="A227" s="78" t="s">
        <v>58</v>
      </c>
      <c r="B227" s="42" t="str">
        <f>_xlfn.XLOOKUP(VmSpecs[[#This Row],[Subnet]],NetworkReference[Subnet],NetworkReference[Subscription])</f>
        <v>NINP-PERF2</v>
      </c>
      <c r="C227" s="43" t="str">
        <f>_xlfn.XLOOKUP(VmSpecs[[#This Row],[Subnet]],NetworkReference[Subnet],NetworkReference[Virtual Network Resource Group])</f>
        <v>rg-pf2-network-aue-001</v>
      </c>
      <c r="D227" s="43" t="str">
        <f>_xlfn.XLOOKUP(VmSpecs[[#This Row],[Subnet]],NetworkReference[Subnet],NetworkReference[Virtual Network])</f>
        <v>vnet-pf2-workload-aue-001</v>
      </c>
      <c r="E227" s="132" t="s">
        <v>489</v>
      </c>
      <c r="F227" s="43" t="str">
        <f>_xlfn.XLOOKUP(VmSpecs[[#This Row],[Subnet]],NetworkReference[Subnet],NetworkReference[Virtual Network Peering])</f>
        <v>vnet-ninp-conn-pnp-hub-aue</v>
      </c>
      <c r="G227" s="43" t="str">
        <f>_xlfn.XLOOKUP(VmSpecs[[#This Row],[Subnet]],NetworkReference[Subnet],NetworkReference[Route Table])</f>
        <v>rt-sn-pfb-aue-pf2-web</v>
      </c>
      <c r="H227" s="43" t="str">
        <f>LOWER(VLOOKUP(VmSpecs[[#This Row],[Original Hostname (CMO)]],'SSOT Data'!A:K,10,FALSE))</f>
        <v>inj</v>
      </c>
      <c r="I22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27" s="44" t="s">
        <v>162</v>
      </c>
      <c r="K227" s="43" t="str">
        <f>_xlfn.CONCAT("vm",MID(VmSpecs[[#This Row],[Subnet]],4,3),VLOOKUP(VmSpecs[[#This Row],[Subscription]],NetworkReference[#All],2,FALSE),VmSpecs[[#This Row],[Service]],VmSpecs[[#This Row],[VM iteration (nn)]])</f>
        <v>vmpfbpf2inj20</v>
      </c>
      <c r="L227" s="45" t="s">
        <v>61</v>
      </c>
      <c r="M227" s="43" t="str">
        <f>VmSpecs[[#This Row],[VM Name]]&amp;".ninp.myhealthrecord.gov.au"</f>
        <v>vmpfbpf2inj20.ninp.myhealthrecord.gov.au</v>
      </c>
      <c r="N227" s="42" t="str">
        <f t="shared" si="3"/>
        <v>nic-001-vmpfbpf2inj20</v>
      </c>
      <c r="O227" s="106" t="s">
        <v>560</v>
      </c>
      <c r="P227" s="46" t="s">
        <v>521</v>
      </c>
      <c r="Q227" s="42" t="s">
        <v>522</v>
      </c>
      <c r="R227" s="42"/>
      <c r="S227" s="42" t="str">
        <f>_xlfn.CONCAT("avail-",LEFT(VmSpecs[[#This Row],[VM Name]],LEN(VmSpecs[[#This Row],[VM Name]])-2))</f>
        <v>avail-vmpfbpf2inj</v>
      </c>
      <c r="T227" s="42" t="str">
        <f>_xlfn.CONCAT("asg-",LEFT(VmSpecs[[#This Row],[VM Name]],LEN(VmSpecs[[#This Row],[VM Name]])-2))</f>
        <v>asg-vmpfbpf2inj</v>
      </c>
      <c r="U227" s="42" t="str">
        <f>_xlfn.CONCAT("nsg-",VmSpecs[[#This Row],[Subnet]])</f>
        <v>nsg-sn-pfb-aue-pf2-web</v>
      </c>
      <c r="V227" s="42"/>
      <c r="W227" s="43" t="str">
        <f>VLOOKUP(VmSpecs[[#This Row],[Original Hostname (CMO)]],'SSOT Data'!A:AX,50,FALSE)</f>
        <v>Standard_D2s_v4</v>
      </c>
      <c r="X227" s="43">
        <v>128</v>
      </c>
      <c r="Y227" s="43" t="s">
        <v>65</v>
      </c>
      <c r="Z227" s="43" t="str">
        <f>"osdisk-"&amp;VmSpecs[[#This Row],[VM Name]]</f>
        <v>osdisk-vmpfbpf2inj20</v>
      </c>
      <c r="AA227" s="47" t="s">
        <v>66</v>
      </c>
      <c r="AB227" s="73">
        <v>8</v>
      </c>
      <c r="AC227" s="74" t="s">
        <v>65</v>
      </c>
      <c r="AD227" s="84" t="str">
        <f>"disk-"&amp;VmSpecs[[#This Row],[VM Name]]&amp;"-001"</f>
        <v>disk-vmpfbpf2inj20-001</v>
      </c>
      <c r="AE227" s="73">
        <v>32</v>
      </c>
      <c r="AF227" s="74" t="s">
        <v>65</v>
      </c>
      <c r="AG227" s="85" t="str">
        <f>"disk-"&amp;VmSpecs[[#This Row],[VM Name]]&amp;"-002"</f>
        <v>disk-vmpfbpf2inj20-002</v>
      </c>
      <c r="AH227" s="59"/>
      <c r="AI227" s="42"/>
      <c r="AJ227" s="42"/>
      <c r="AK227" s="42"/>
      <c r="AL227" s="42" t="str">
        <f>MID(VmSpecs[[#This Row],[VM Name]],3,9)</f>
        <v>pfbpf2inj</v>
      </c>
      <c r="AM227" s="42" t="str" cm="1">
        <f t="array" ref="AM227">_xlfn.TEXTJOIN(CHAR(10), TRUE, IF(NfsExports[FMO Single VM IP]=VmSpecs[[#This Row],[IP]],NfsExports[FMO Export Summary],""))</f>
        <v/>
      </c>
      <c r="AN227" s="43"/>
      <c r="AO227" s="42"/>
      <c r="AP227" s="42" t="str">
        <f>"PerfTest " &amp; VmSpecs[[#This Row],[VM iteration (nn)]]</f>
        <v>PerfTest 20</v>
      </c>
      <c r="AQ227" s="43"/>
      <c r="AR227" s="43" t="s">
        <v>64</v>
      </c>
      <c r="AS227" s="43" t="s">
        <v>64</v>
      </c>
      <c r="AT227" s="43" t="s">
        <v>64</v>
      </c>
      <c r="AU227" s="43" t="s">
        <v>64</v>
      </c>
      <c r="AV227" s="42" t="s">
        <v>66</v>
      </c>
      <c r="AW227" s="42" t="s">
        <v>67</v>
      </c>
      <c r="AX227" s="42" t="s">
        <v>68</v>
      </c>
      <c r="AY227" s="42" t="s">
        <v>64</v>
      </c>
      <c r="AZ227" s="42" t="s">
        <v>64</v>
      </c>
      <c r="BA22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20"
Application Service: "INJ"
Lifecycle: "PFB"</v>
      </c>
      <c r="BB227" s="78" t="s">
        <v>561</v>
      </c>
      <c r="BC227" s="42" t="str">
        <f>VLOOKUP(VmSpecs[[#This Row],[Original Hostname (CMO)]],'SSOT Data'!A:AJ,36,FALSE)</f>
        <v>PerfTest 7</v>
      </c>
      <c r="BD227" s="43"/>
    </row>
    <row r="228" spans="1:56" ht="29" x14ac:dyDescent="0.35">
      <c r="A228" s="78" t="s">
        <v>58</v>
      </c>
      <c r="B228" s="42" t="str">
        <f>_xlfn.XLOOKUP(VmSpecs[[#This Row],[Subnet]],NetworkReference[Subnet],NetworkReference[Subscription])</f>
        <v>NINP-PERF2</v>
      </c>
      <c r="C228" s="43" t="str">
        <f>_xlfn.XLOOKUP(VmSpecs[[#This Row],[Subnet]],NetworkReference[Subnet],NetworkReference[Virtual Network Resource Group])</f>
        <v>rg-pf2-network-aue-001</v>
      </c>
      <c r="D228" s="43" t="str">
        <f>_xlfn.XLOOKUP(VmSpecs[[#This Row],[Subnet]],NetworkReference[Subnet],NetworkReference[Virtual Network])</f>
        <v>vnet-pf2-workload-aue-001</v>
      </c>
      <c r="E228" s="132" t="s">
        <v>489</v>
      </c>
      <c r="F228" s="43" t="str">
        <f>_xlfn.XLOOKUP(VmSpecs[[#This Row],[Subnet]],NetworkReference[Subnet],NetworkReference[Virtual Network Peering])</f>
        <v>vnet-ninp-conn-pnp-hub-aue</v>
      </c>
      <c r="G228" s="43" t="str">
        <f>_xlfn.XLOOKUP(VmSpecs[[#This Row],[Subnet]],NetworkReference[Subnet],NetworkReference[Route Table])</f>
        <v>rt-sn-pfb-aue-pf2-web</v>
      </c>
      <c r="H228" s="43" t="str">
        <f>LOWER(VLOOKUP(VmSpecs[[#This Row],[Original Hostname (CMO)]],'SSOT Data'!A:K,10,FALSE))</f>
        <v>inj</v>
      </c>
      <c r="I22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28" s="44" t="s">
        <v>165</v>
      </c>
      <c r="K228" s="43" t="str">
        <f>_xlfn.CONCAT("vm",MID(VmSpecs[[#This Row],[Subnet]],4,3),VLOOKUP(VmSpecs[[#This Row],[Subscription]],NetworkReference[#All],2,FALSE),VmSpecs[[#This Row],[Service]],VmSpecs[[#This Row],[VM iteration (nn)]])</f>
        <v>vmpfbpf2inj21</v>
      </c>
      <c r="L228" s="45" t="s">
        <v>61</v>
      </c>
      <c r="M228" s="43" t="str">
        <f>VmSpecs[[#This Row],[VM Name]]&amp;".ninp.myhealthrecord.gov.au"</f>
        <v>vmpfbpf2inj21.ninp.myhealthrecord.gov.au</v>
      </c>
      <c r="N228" s="42" t="str">
        <f t="shared" si="3"/>
        <v>nic-001-vmpfbpf2inj21</v>
      </c>
      <c r="O228" s="106" t="s">
        <v>562</v>
      </c>
      <c r="P228" s="46" t="s">
        <v>521</v>
      </c>
      <c r="Q228" s="42" t="s">
        <v>522</v>
      </c>
      <c r="R228" s="42"/>
      <c r="S228" s="42" t="str">
        <f>_xlfn.CONCAT("avail-",LEFT(VmSpecs[[#This Row],[VM Name]],LEN(VmSpecs[[#This Row],[VM Name]])-2))</f>
        <v>avail-vmpfbpf2inj</v>
      </c>
      <c r="T228" s="42" t="str">
        <f>_xlfn.CONCAT("asg-",LEFT(VmSpecs[[#This Row],[VM Name]],LEN(VmSpecs[[#This Row],[VM Name]])-2))</f>
        <v>asg-vmpfbpf2inj</v>
      </c>
      <c r="U228" s="42" t="str">
        <f>_xlfn.CONCAT("nsg-",VmSpecs[[#This Row],[Subnet]])</f>
        <v>nsg-sn-pfb-aue-pf2-web</v>
      </c>
      <c r="V228" s="42"/>
      <c r="W228" s="43" t="str">
        <f>VLOOKUP(VmSpecs[[#This Row],[Original Hostname (CMO)]],'SSOT Data'!A:AX,50,FALSE)</f>
        <v>Standard_D2s_v4</v>
      </c>
      <c r="X228" s="43">
        <v>128</v>
      </c>
      <c r="Y228" s="43" t="s">
        <v>65</v>
      </c>
      <c r="Z228" s="43" t="str">
        <f>"osdisk-"&amp;VmSpecs[[#This Row],[VM Name]]</f>
        <v>osdisk-vmpfbpf2inj21</v>
      </c>
      <c r="AA228" s="47" t="s">
        <v>66</v>
      </c>
      <c r="AB228" s="73">
        <v>8</v>
      </c>
      <c r="AC228" s="74" t="s">
        <v>65</v>
      </c>
      <c r="AD228" s="84" t="str">
        <f>"disk-"&amp;VmSpecs[[#This Row],[VM Name]]&amp;"-001"</f>
        <v>disk-vmpfbpf2inj21-001</v>
      </c>
      <c r="AE228" s="73">
        <v>32</v>
      </c>
      <c r="AF228" s="74" t="s">
        <v>65</v>
      </c>
      <c r="AG228" s="85" t="str">
        <f>"disk-"&amp;VmSpecs[[#This Row],[VM Name]]&amp;"-002"</f>
        <v>disk-vmpfbpf2inj21-002</v>
      </c>
      <c r="AH228" s="59"/>
      <c r="AI228" s="42"/>
      <c r="AJ228" s="42"/>
      <c r="AK228" s="42"/>
      <c r="AL228" s="42" t="str">
        <f>MID(VmSpecs[[#This Row],[VM Name]],3,9)</f>
        <v>pfbpf2inj</v>
      </c>
      <c r="AM228" s="42" t="str" cm="1">
        <f t="array" ref="AM228">_xlfn.TEXTJOIN(CHAR(10), TRUE, IF(NfsExports[FMO Single VM IP]=VmSpecs[[#This Row],[IP]],NfsExports[FMO Export Summary],""))</f>
        <v/>
      </c>
      <c r="AN228" s="43"/>
      <c r="AO228" s="42"/>
      <c r="AP228" s="42" t="str">
        <f>"PerfTest " &amp; VmSpecs[[#This Row],[VM iteration (nn)]]</f>
        <v>PerfTest 21</v>
      </c>
      <c r="AQ228" s="43"/>
      <c r="AR228" s="43" t="s">
        <v>64</v>
      </c>
      <c r="AS228" s="43" t="s">
        <v>64</v>
      </c>
      <c r="AT228" s="43" t="s">
        <v>64</v>
      </c>
      <c r="AU228" s="43" t="s">
        <v>64</v>
      </c>
      <c r="AV228" s="42" t="s">
        <v>66</v>
      </c>
      <c r="AW228" s="42" t="s">
        <v>67</v>
      </c>
      <c r="AX228" s="42" t="s">
        <v>68</v>
      </c>
      <c r="AY228" s="42" t="s">
        <v>64</v>
      </c>
      <c r="AZ228" s="42" t="s">
        <v>64</v>
      </c>
      <c r="BA22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21"
Application Service: "INJ"
Lifecycle: "PFB"</v>
      </c>
      <c r="BB228" s="78" t="s">
        <v>563</v>
      </c>
      <c r="BC228" s="42" t="str">
        <f>VLOOKUP(VmSpecs[[#This Row],[Original Hostname (CMO)]],'SSOT Data'!A:AJ,36,FALSE)</f>
        <v>PerfTest 8</v>
      </c>
      <c r="BD228" s="43"/>
    </row>
    <row r="229" spans="1:56" ht="29" x14ac:dyDescent="0.35">
      <c r="A229" s="78" t="s">
        <v>58</v>
      </c>
      <c r="B229" s="42" t="str">
        <f>_xlfn.XLOOKUP(VmSpecs[[#This Row],[Subnet]],NetworkReference[Subnet],NetworkReference[Subscription])</f>
        <v>NINP-PERF2</v>
      </c>
      <c r="C229" s="43" t="str">
        <f>_xlfn.XLOOKUP(VmSpecs[[#This Row],[Subnet]],NetworkReference[Subnet],NetworkReference[Virtual Network Resource Group])</f>
        <v>rg-pf2-network-aue-001</v>
      </c>
      <c r="D229" s="43" t="str">
        <f>_xlfn.XLOOKUP(VmSpecs[[#This Row],[Subnet]],NetworkReference[Subnet],NetworkReference[Virtual Network])</f>
        <v>vnet-pf2-workload-aue-001</v>
      </c>
      <c r="E229" s="132" t="s">
        <v>489</v>
      </c>
      <c r="F229" s="43" t="str">
        <f>_xlfn.XLOOKUP(VmSpecs[[#This Row],[Subnet]],NetworkReference[Subnet],NetworkReference[Virtual Network Peering])</f>
        <v>vnet-ninp-conn-pnp-hub-aue</v>
      </c>
      <c r="G229" s="43" t="str">
        <f>_xlfn.XLOOKUP(VmSpecs[[#This Row],[Subnet]],NetworkReference[Subnet],NetworkReference[Route Table])</f>
        <v>rt-sn-pfb-aue-pf2-web</v>
      </c>
      <c r="H229" s="43" t="str">
        <f>LOWER(VLOOKUP(VmSpecs[[#This Row],[Original Hostname (CMO)]],'SSOT Data'!A:K,10,FALSE))</f>
        <v>inj</v>
      </c>
      <c r="I22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29" s="44" t="s">
        <v>168</v>
      </c>
      <c r="K229" s="43" t="str">
        <f>_xlfn.CONCAT("vm",MID(VmSpecs[[#This Row],[Subnet]],4,3),VLOOKUP(VmSpecs[[#This Row],[Subscription]],NetworkReference[#All],2,FALSE),VmSpecs[[#This Row],[Service]],VmSpecs[[#This Row],[VM iteration (nn)]])</f>
        <v>vmpfbpf2inj22</v>
      </c>
      <c r="L229" s="45" t="s">
        <v>61</v>
      </c>
      <c r="M229" s="43" t="str">
        <f>VmSpecs[[#This Row],[VM Name]]&amp;".ninp.myhealthrecord.gov.au"</f>
        <v>vmpfbpf2inj22.ninp.myhealthrecord.gov.au</v>
      </c>
      <c r="N229" s="42" t="str">
        <f t="shared" si="3"/>
        <v>nic-001-vmpfbpf2inj22</v>
      </c>
      <c r="O229" s="106" t="s">
        <v>564</v>
      </c>
      <c r="P229" s="46" t="s">
        <v>521</v>
      </c>
      <c r="Q229" s="42" t="s">
        <v>522</v>
      </c>
      <c r="R229" s="42"/>
      <c r="S229" s="42" t="str">
        <f>_xlfn.CONCAT("avail-",LEFT(VmSpecs[[#This Row],[VM Name]],LEN(VmSpecs[[#This Row],[VM Name]])-2))</f>
        <v>avail-vmpfbpf2inj</v>
      </c>
      <c r="T229" s="42" t="str">
        <f>_xlfn.CONCAT("asg-",LEFT(VmSpecs[[#This Row],[VM Name]],LEN(VmSpecs[[#This Row],[VM Name]])-2))</f>
        <v>asg-vmpfbpf2inj</v>
      </c>
      <c r="U229" s="42" t="str">
        <f>_xlfn.CONCAT("nsg-",VmSpecs[[#This Row],[Subnet]])</f>
        <v>nsg-sn-pfb-aue-pf2-web</v>
      </c>
      <c r="V229" s="42"/>
      <c r="W229" s="43" t="str">
        <f>VLOOKUP(VmSpecs[[#This Row],[Original Hostname (CMO)]],'SSOT Data'!A:AX,50,FALSE)</f>
        <v>Standard_D2s_v4</v>
      </c>
      <c r="X229" s="43">
        <v>128</v>
      </c>
      <c r="Y229" s="43" t="s">
        <v>65</v>
      </c>
      <c r="Z229" s="43" t="str">
        <f>"osdisk-"&amp;VmSpecs[[#This Row],[VM Name]]</f>
        <v>osdisk-vmpfbpf2inj22</v>
      </c>
      <c r="AA229" s="47" t="s">
        <v>66</v>
      </c>
      <c r="AB229" s="73">
        <v>8</v>
      </c>
      <c r="AC229" s="74" t="s">
        <v>65</v>
      </c>
      <c r="AD229" s="84" t="str">
        <f>"disk-"&amp;VmSpecs[[#This Row],[VM Name]]&amp;"-001"</f>
        <v>disk-vmpfbpf2inj22-001</v>
      </c>
      <c r="AE229" s="73">
        <v>32</v>
      </c>
      <c r="AF229" s="74" t="s">
        <v>65</v>
      </c>
      <c r="AG229" s="85" t="str">
        <f>"disk-"&amp;VmSpecs[[#This Row],[VM Name]]&amp;"-002"</f>
        <v>disk-vmpfbpf2inj22-002</v>
      </c>
      <c r="AH229" s="59"/>
      <c r="AI229" s="42"/>
      <c r="AJ229" s="42"/>
      <c r="AK229" s="42"/>
      <c r="AL229" s="42" t="str">
        <f>MID(VmSpecs[[#This Row],[VM Name]],3,9)</f>
        <v>pfbpf2inj</v>
      </c>
      <c r="AM229" s="42" t="str" cm="1">
        <f t="array" ref="AM229">_xlfn.TEXTJOIN(CHAR(10), TRUE, IF(NfsExports[FMO Single VM IP]=VmSpecs[[#This Row],[IP]],NfsExports[FMO Export Summary],""))</f>
        <v/>
      </c>
      <c r="AN229" s="43"/>
      <c r="AO229" s="42"/>
      <c r="AP229" s="42" t="str">
        <f>"PerfTest " &amp; VmSpecs[[#This Row],[VM iteration (nn)]]</f>
        <v>PerfTest 22</v>
      </c>
      <c r="AQ229" s="43"/>
      <c r="AR229" s="43" t="s">
        <v>64</v>
      </c>
      <c r="AS229" s="43" t="s">
        <v>64</v>
      </c>
      <c r="AT229" s="43" t="s">
        <v>64</v>
      </c>
      <c r="AU229" s="43" t="s">
        <v>64</v>
      </c>
      <c r="AV229" s="42" t="s">
        <v>66</v>
      </c>
      <c r="AW229" s="42" t="s">
        <v>67</v>
      </c>
      <c r="AX229" s="42" t="s">
        <v>68</v>
      </c>
      <c r="AY229" s="42" t="s">
        <v>64</v>
      </c>
      <c r="AZ229" s="42" t="s">
        <v>64</v>
      </c>
      <c r="BA22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22"
Application Service: "INJ"
Lifecycle: "PFB"</v>
      </c>
      <c r="BB229" s="78" t="s">
        <v>565</v>
      </c>
      <c r="BC229" s="42" t="str">
        <f>VLOOKUP(VmSpecs[[#This Row],[Original Hostname (CMO)]],'SSOT Data'!A:AJ,36,FALSE)</f>
        <v>PerfTest 9</v>
      </c>
      <c r="BD229" s="43"/>
    </row>
    <row r="230" spans="1:56" ht="29" x14ac:dyDescent="0.35">
      <c r="A230" s="78" t="s">
        <v>58</v>
      </c>
      <c r="B230" s="42" t="str">
        <f>_xlfn.XLOOKUP(VmSpecs[[#This Row],[Subnet]],NetworkReference[Subnet],NetworkReference[Subscription])</f>
        <v>NINP-PERF2</v>
      </c>
      <c r="C230" s="43" t="str">
        <f>_xlfn.XLOOKUP(VmSpecs[[#This Row],[Subnet]],NetworkReference[Subnet],NetworkReference[Virtual Network Resource Group])</f>
        <v>rg-pf2-network-aue-001</v>
      </c>
      <c r="D230" s="43" t="str">
        <f>_xlfn.XLOOKUP(VmSpecs[[#This Row],[Subnet]],NetworkReference[Subnet],NetworkReference[Virtual Network])</f>
        <v>vnet-pf2-workload-aue-001</v>
      </c>
      <c r="E230" s="132" t="s">
        <v>489</v>
      </c>
      <c r="F230" s="43" t="str">
        <f>_xlfn.XLOOKUP(VmSpecs[[#This Row],[Subnet]],NetworkReference[Subnet],NetworkReference[Virtual Network Peering])</f>
        <v>vnet-ninp-conn-pnp-hub-aue</v>
      </c>
      <c r="G230" s="43" t="str">
        <f>_xlfn.XLOOKUP(VmSpecs[[#This Row],[Subnet]],NetworkReference[Subnet],NetworkReference[Route Table])</f>
        <v>rt-sn-pfb-aue-pf2-web</v>
      </c>
      <c r="H230" s="43" t="str">
        <f>LOWER(VLOOKUP(VmSpecs[[#This Row],[Original Hostname (CMO)]],'SSOT Data'!A:K,10,FALSE))</f>
        <v>inj</v>
      </c>
      <c r="I23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30" s="44" t="s">
        <v>171</v>
      </c>
      <c r="K230" s="43" t="str">
        <f>_xlfn.CONCAT("vm",MID(VmSpecs[[#This Row],[Subnet]],4,3),VLOOKUP(VmSpecs[[#This Row],[Subscription]],NetworkReference[#All],2,FALSE),VmSpecs[[#This Row],[Service]],VmSpecs[[#This Row],[VM iteration (nn)]])</f>
        <v>vmpfbpf2inj23</v>
      </c>
      <c r="L230" s="45" t="s">
        <v>61</v>
      </c>
      <c r="M230" s="43" t="str">
        <f>VmSpecs[[#This Row],[VM Name]]&amp;".ninp.myhealthrecord.gov.au"</f>
        <v>vmpfbpf2inj23.ninp.myhealthrecord.gov.au</v>
      </c>
      <c r="N230" s="42" t="str">
        <f t="shared" si="3"/>
        <v>nic-001-vmpfbpf2inj23</v>
      </c>
      <c r="O230" s="106" t="s">
        <v>566</v>
      </c>
      <c r="P230" s="46" t="s">
        <v>521</v>
      </c>
      <c r="Q230" s="42" t="s">
        <v>522</v>
      </c>
      <c r="R230" s="42"/>
      <c r="S230" s="42" t="str">
        <f>_xlfn.CONCAT("avail-",LEFT(VmSpecs[[#This Row],[VM Name]],LEN(VmSpecs[[#This Row],[VM Name]])-2))</f>
        <v>avail-vmpfbpf2inj</v>
      </c>
      <c r="T230" s="42" t="str">
        <f>_xlfn.CONCAT("asg-",LEFT(VmSpecs[[#This Row],[VM Name]],LEN(VmSpecs[[#This Row],[VM Name]])-2))</f>
        <v>asg-vmpfbpf2inj</v>
      </c>
      <c r="U230" s="42" t="str">
        <f>_xlfn.CONCAT("nsg-",VmSpecs[[#This Row],[Subnet]])</f>
        <v>nsg-sn-pfb-aue-pf2-web</v>
      </c>
      <c r="V230" s="42"/>
      <c r="W230" s="43" t="str">
        <f>VLOOKUP(VmSpecs[[#This Row],[Original Hostname (CMO)]],'SSOT Data'!A:AX,50,FALSE)</f>
        <v>Standard_D4s_v4</v>
      </c>
      <c r="X230" s="43">
        <v>128</v>
      </c>
      <c r="Y230" s="43" t="s">
        <v>65</v>
      </c>
      <c r="Z230" s="43" t="str">
        <f>"osdisk-"&amp;VmSpecs[[#This Row],[VM Name]]</f>
        <v>osdisk-vmpfbpf2inj23</v>
      </c>
      <c r="AA230" s="47" t="s">
        <v>66</v>
      </c>
      <c r="AB230" s="73">
        <v>8</v>
      </c>
      <c r="AC230" s="74" t="s">
        <v>65</v>
      </c>
      <c r="AD230" s="84" t="str">
        <f>"disk-"&amp;VmSpecs[[#This Row],[VM Name]]&amp;"-001"</f>
        <v>disk-vmpfbpf2inj23-001</v>
      </c>
      <c r="AE230" s="73">
        <v>32</v>
      </c>
      <c r="AF230" s="74" t="s">
        <v>65</v>
      </c>
      <c r="AG230" s="85" t="str">
        <f>"disk-"&amp;VmSpecs[[#This Row],[VM Name]]&amp;"-002"</f>
        <v>disk-vmpfbpf2inj23-002</v>
      </c>
      <c r="AH230" s="59"/>
      <c r="AI230" s="42"/>
      <c r="AJ230" s="42"/>
      <c r="AK230" s="42"/>
      <c r="AL230" s="42" t="str">
        <f>MID(VmSpecs[[#This Row],[VM Name]],3,9)</f>
        <v>pfbpf2inj</v>
      </c>
      <c r="AM230" s="42" t="str" cm="1">
        <f t="array" ref="AM230">_xlfn.TEXTJOIN(CHAR(10), TRUE, IF(NfsExports[FMO Single VM IP]=VmSpecs[[#This Row],[IP]],NfsExports[FMO Export Summary],""))</f>
        <v/>
      </c>
      <c r="AN230" s="43"/>
      <c r="AO230" s="42"/>
      <c r="AP230" s="42" t="str">
        <f>VmSpecs[[#This Row],[Description]]</f>
        <v>PerfTest23</v>
      </c>
      <c r="AQ230" s="43"/>
      <c r="AR230" s="43" t="s">
        <v>64</v>
      </c>
      <c r="AS230" s="43" t="s">
        <v>64</v>
      </c>
      <c r="AT230" s="43" t="s">
        <v>64</v>
      </c>
      <c r="AU230" s="43" t="s">
        <v>64</v>
      </c>
      <c r="AV230" s="42" t="s">
        <v>66</v>
      </c>
      <c r="AW230" s="42" t="s">
        <v>67</v>
      </c>
      <c r="AX230" s="42" t="s">
        <v>68</v>
      </c>
      <c r="AY230" s="42" t="s">
        <v>64</v>
      </c>
      <c r="AZ230" s="42" t="s">
        <v>64</v>
      </c>
      <c r="BA230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"PerfTest23"
Application Service: "INJ"
Lifecycle: "PFB"</v>
      </c>
      <c r="BB230" s="131" t="s">
        <v>567</v>
      </c>
      <c r="BC230" s="42" t="str">
        <f>VLOOKUP(VmSpecs[[#This Row],[Original Hostname (CMO)]],'SSOT Data'!A:AJ,36,FALSE)</f>
        <v>PerfTest23</v>
      </c>
      <c r="BD230" s="92" t="s">
        <v>568</v>
      </c>
    </row>
    <row r="231" spans="1:56" ht="29" x14ac:dyDescent="0.35">
      <c r="A231" s="78" t="s">
        <v>58</v>
      </c>
      <c r="B231" s="42" t="str">
        <f>_xlfn.XLOOKUP(VmSpecs[[#This Row],[Subnet]],NetworkReference[Subnet],NetworkReference[Subscription])</f>
        <v>NINP-PERF2</v>
      </c>
      <c r="C231" s="43" t="str">
        <f>_xlfn.XLOOKUP(VmSpecs[[#This Row],[Subnet]],NetworkReference[Subnet],NetworkReference[Virtual Network Resource Group])</f>
        <v>rg-pf2-network-aue-001</v>
      </c>
      <c r="D231" s="43" t="str">
        <f>_xlfn.XLOOKUP(VmSpecs[[#This Row],[Subnet]],NetworkReference[Subnet],NetworkReference[Virtual Network])</f>
        <v>vnet-pf2-workload-aue-001</v>
      </c>
      <c r="E231" s="132" t="s">
        <v>489</v>
      </c>
      <c r="F231" s="43" t="str">
        <f>_xlfn.XLOOKUP(VmSpecs[[#This Row],[Subnet]],NetworkReference[Subnet],NetworkReference[Virtual Network Peering])</f>
        <v>vnet-ninp-conn-pnp-hub-aue</v>
      </c>
      <c r="G231" s="43" t="str">
        <f>_xlfn.XLOOKUP(VmSpecs[[#This Row],[Subnet]],NetworkReference[Subnet],NetworkReference[Route Table])</f>
        <v>rt-sn-pfb-aue-pf2-web</v>
      </c>
      <c r="H231" s="43" t="str">
        <f>LOWER(VLOOKUP(VmSpecs[[#This Row],[Original Hostname (CMO)]],'SSOT Data'!A:K,10,FALSE))</f>
        <v>inj</v>
      </c>
      <c r="I23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31" s="44" t="s">
        <v>174</v>
      </c>
      <c r="K231" s="43" t="str">
        <f>_xlfn.CONCAT("vm",MID(VmSpecs[[#This Row],[Subnet]],4,3),VLOOKUP(VmSpecs[[#This Row],[Subscription]],NetworkReference[#All],2,FALSE),VmSpecs[[#This Row],[Service]],VmSpecs[[#This Row],[VM iteration (nn)]])</f>
        <v>vmpfbpf2inj24</v>
      </c>
      <c r="L231" s="45" t="s">
        <v>61</v>
      </c>
      <c r="M231" s="43" t="str">
        <f>VmSpecs[[#This Row],[VM Name]]&amp;".ninp.myhealthrecord.gov.au"</f>
        <v>vmpfbpf2inj24.ninp.myhealthrecord.gov.au</v>
      </c>
      <c r="N231" s="42" t="str">
        <f t="shared" si="3"/>
        <v>nic-001-vmpfbpf2inj24</v>
      </c>
      <c r="O231" s="106" t="s">
        <v>569</v>
      </c>
      <c r="P231" s="46" t="s">
        <v>521</v>
      </c>
      <c r="Q231" s="42" t="s">
        <v>522</v>
      </c>
      <c r="R231" s="42"/>
      <c r="S231" s="42" t="str">
        <f>_xlfn.CONCAT("avail-",LEFT(VmSpecs[[#This Row],[VM Name]],LEN(VmSpecs[[#This Row],[VM Name]])-2))</f>
        <v>avail-vmpfbpf2inj</v>
      </c>
      <c r="T231" s="42" t="str">
        <f>_xlfn.CONCAT("asg-",LEFT(VmSpecs[[#This Row],[VM Name]],LEN(VmSpecs[[#This Row],[VM Name]])-2))</f>
        <v>asg-vmpfbpf2inj</v>
      </c>
      <c r="U231" s="42" t="str">
        <f>_xlfn.CONCAT("nsg-",VmSpecs[[#This Row],[Subnet]])</f>
        <v>nsg-sn-pfb-aue-pf2-web</v>
      </c>
      <c r="V231" s="42"/>
      <c r="W231" s="43" t="str">
        <f>VLOOKUP(VmSpecs[[#This Row],[Original Hostname (CMO)]],'SSOT Data'!A:AX,50,FALSE)</f>
        <v>Standard_D4s_v4</v>
      </c>
      <c r="X231" s="43">
        <v>128</v>
      </c>
      <c r="Y231" s="43" t="s">
        <v>65</v>
      </c>
      <c r="Z231" s="43" t="str">
        <f>"osdisk-"&amp;VmSpecs[[#This Row],[VM Name]]</f>
        <v>osdisk-vmpfbpf2inj24</v>
      </c>
      <c r="AA231" s="47" t="s">
        <v>66</v>
      </c>
      <c r="AB231" s="73">
        <v>8</v>
      </c>
      <c r="AC231" s="74" t="s">
        <v>65</v>
      </c>
      <c r="AD231" s="84" t="str">
        <f>"disk-"&amp;VmSpecs[[#This Row],[VM Name]]&amp;"-001"</f>
        <v>disk-vmpfbpf2inj24-001</v>
      </c>
      <c r="AE231" s="73">
        <v>32</v>
      </c>
      <c r="AF231" s="74" t="s">
        <v>65</v>
      </c>
      <c r="AG231" s="85" t="str">
        <f>"disk-"&amp;VmSpecs[[#This Row],[VM Name]]&amp;"-002"</f>
        <v>disk-vmpfbpf2inj24-002</v>
      </c>
      <c r="AH231" s="59"/>
      <c r="AI231" s="42"/>
      <c r="AJ231" s="42"/>
      <c r="AK231" s="42"/>
      <c r="AL231" s="42" t="str">
        <f>MID(VmSpecs[[#This Row],[VM Name]],3,9)</f>
        <v>pfbpf2inj</v>
      </c>
      <c r="AM231" s="42" t="str" cm="1">
        <f t="array" ref="AM231">_xlfn.TEXTJOIN(CHAR(10), TRUE, IF(NfsExports[FMO Single VM IP]=VmSpecs[[#This Row],[IP]],NfsExports[FMO Export Summary],""))</f>
        <v/>
      </c>
      <c r="AN231" s="43"/>
      <c r="AO231" s="42"/>
      <c r="AP231" s="42" t="str">
        <f>VmSpecs[[#This Row],[Description]]</f>
        <v>PerfTest24</v>
      </c>
      <c r="AQ231" s="43"/>
      <c r="AR231" s="43" t="s">
        <v>64</v>
      </c>
      <c r="AS231" s="43" t="s">
        <v>64</v>
      </c>
      <c r="AT231" s="43" t="s">
        <v>64</v>
      </c>
      <c r="AU231" s="43" t="s">
        <v>64</v>
      </c>
      <c r="AV231" s="42" t="s">
        <v>66</v>
      </c>
      <c r="AW231" s="42" t="s">
        <v>67</v>
      </c>
      <c r="AX231" s="42" t="s">
        <v>68</v>
      </c>
      <c r="AY231" s="42" t="s">
        <v>64</v>
      </c>
      <c r="AZ231" s="42" t="s">
        <v>64</v>
      </c>
      <c r="BA231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"PerfTest24"
Application Service: "INJ"
Lifecycle: "PFB"</v>
      </c>
      <c r="BB231" s="131" t="s">
        <v>570</v>
      </c>
      <c r="BC231" s="42" t="str">
        <f>VLOOKUP(VmSpecs[[#This Row],[Original Hostname (CMO)]],'SSOT Data'!A:AJ,36,FALSE)</f>
        <v>PerfTest24</v>
      </c>
      <c r="BD231" s="92" t="s">
        <v>568</v>
      </c>
    </row>
    <row r="232" spans="1:56" ht="29" x14ac:dyDescent="0.35">
      <c r="A232" s="78" t="s">
        <v>58</v>
      </c>
      <c r="B232" s="42" t="str">
        <f>_xlfn.XLOOKUP(VmSpecs[[#This Row],[Subnet]],NetworkReference[Subnet],NetworkReference[Subscription])</f>
        <v>NINP-PERF2</v>
      </c>
      <c r="C232" s="43" t="str">
        <f>_xlfn.XLOOKUP(VmSpecs[[#This Row],[Subnet]],NetworkReference[Subnet],NetworkReference[Virtual Network Resource Group])</f>
        <v>rg-pf2-network-aue-001</v>
      </c>
      <c r="D232" s="43" t="str">
        <f>_xlfn.XLOOKUP(VmSpecs[[#This Row],[Subnet]],NetworkReference[Subnet],NetworkReference[Virtual Network])</f>
        <v>vnet-pf2-workload-aue-001</v>
      </c>
      <c r="E232" s="132" t="s">
        <v>489</v>
      </c>
      <c r="F232" s="43" t="str">
        <f>_xlfn.XLOOKUP(VmSpecs[[#This Row],[Subnet]],NetworkReference[Subnet],NetworkReference[Virtual Network Peering])</f>
        <v>vnet-ninp-conn-pnp-hub-aue</v>
      </c>
      <c r="G232" s="43" t="str">
        <f>_xlfn.XLOOKUP(VmSpecs[[#This Row],[Subnet]],NetworkReference[Subnet],NetworkReference[Route Table])</f>
        <v>rt-sn-pfb-aue-pf2-web</v>
      </c>
      <c r="H232" s="43" t="str">
        <f>LOWER(VLOOKUP(VmSpecs[[#This Row],[Original Hostname (CMO)]],'SSOT Data'!A:K,10,FALSE))</f>
        <v>inj</v>
      </c>
      <c r="I23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32" s="44" t="s">
        <v>227</v>
      </c>
      <c r="K232" s="43" t="str">
        <f>_xlfn.CONCAT("vm",MID(VmSpecs[[#This Row],[Subnet]],4,3),VLOOKUP(VmSpecs[[#This Row],[Subscription]],NetworkReference[#All],2,FALSE),VmSpecs[[#This Row],[Service]],VmSpecs[[#This Row],[VM iteration (nn)]])</f>
        <v>vmpfbpf2inj25</v>
      </c>
      <c r="L232" s="45" t="s">
        <v>61</v>
      </c>
      <c r="M232" s="43" t="str">
        <f>VmSpecs[[#This Row],[VM Name]]&amp;".ninp.myhealthrecord.gov.au"</f>
        <v>vmpfbpf2inj25.ninp.myhealthrecord.gov.au</v>
      </c>
      <c r="N232" s="42" t="str">
        <f t="shared" si="3"/>
        <v>nic-001-vmpfbpf2inj25</v>
      </c>
      <c r="O232" s="106" t="s">
        <v>571</v>
      </c>
      <c r="P232" s="46" t="s">
        <v>521</v>
      </c>
      <c r="Q232" s="42" t="s">
        <v>522</v>
      </c>
      <c r="R232" s="42"/>
      <c r="S232" s="42" t="str">
        <f>_xlfn.CONCAT("avail-",LEFT(VmSpecs[[#This Row],[VM Name]],LEN(VmSpecs[[#This Row],[VM Name]])-2))</f>
        <v>avail-vmpfbpf2inj</v>
      </c>
      <c r="T232" s="42" t="str">
        <f>_xlfn.CONCAT("asg-",LEFT(VmSpecs[[#This Row],[VM Name]],LEN(VmSpecs[[#This Row],[VM Name]])-2))</f>
        <v>asg-vmpfbpf2inj</v>
      </c>
      <c r="U232" s="42" t="str">
        <f>_xlfn.CONCAT("nsg-",VmSpecs[[#This Row],[Subnet]])</f>
        <v>nsg-sn-pfb-aue-pf2-web</v>
      </c>
      <c r="V232" s="42"/>
      <c r="W232" s="43" t="str">
        <f>VLOOKUP(VmSpecs[[#This Row],[Original Hostname (CMO)]],'SSOT Data'!A:AX,50,FALSE)</f>
        <v>Standard_D4s_v4</v>
      </c>
      <c r="X232" s="43">
        <v>128</v>
      </c>
      <c r="Y232" s="43" t="s">
        <v>65</v>
      </c>
      <c r="Z232" s="43" t="str">
        <f>"osdisk-"&amp;VmSpecs[[#This Row],[VM Name]]</f>
        <v>osdisk-vmpfbpf2inj25</v>
      </c>
      <c r="AA232" s="47" t="s">
        <v>66</v>
      </c>
      <c r="AB232" s="73">
        <v>8</v>
      </c>
      <c r="AC232" s="74" t="s">
        <v>65</v>
      </c>
      <c r="AD232" s="84" t="str">
        <f>"disk-"&amp;VmSpecs[[#This Row],[VM Name]]&amp;"-001"</f>
        <v>disk-vmpfbpf2inj25-001</v>
      </c>
      <c r="AE232" s="73">
        <v>32</v>
      </c>
      <c r="AF232" s="74" t="s">
        <v>65</v>
      </c>
      <c r="AG232" s="85" t="str">
        <f>"disk-"&amp;VmSpecs[[#This Row],[VM Name]]&amp;"-002"</f>
        <v>disk-vmpfbpf2inj25-002</v>
      </c>
      <c r="AH232" s="59"/>
      <c r="AI232" s="42"/>
      <c r="AJ232" s="42"/>
      <c r="AK232" s="42"/>
      <c r="AL232" s="42" t="str">
        <f>MID(VmSpecs[[#This Row],[VM Name]],3,9)</f>
        <v>pfbpf2inj</v>
      </c>
      <c r="AM232" s="42" t="str" cm="1">
        <f t="array" ref="AM232">_xlfn.TEXTJOIN(CHAR(10), TRUE, IF(NfsExports[FMO Single VM IP]=VmSpecs[[#This Row],[IP]],NfsExports[FMO Export Summary],""))</f>
        <v/>
      </c>
      <c r="AN232" s="43"/>
      <c r="AO232" s="42"/>
      <c r="AP232" s="42" t="str">
        <f>VmSpecs[[#This Row],[Description]]</f>
        <v>PerfTest25</v>
      </c>
      <c r="AQ232" s="43"/>
      <c r="AR232" s="43" t="s">
        <v>64</v>
      </c>
      <c r="AS232" s="43" t="s">
        <v>64</v>
      </c>
      <c r="AT232" s="43" t="s">
        <v>64</v>
      </c>
      <c r="AU232" s="43" t="s">
        <v>64</v>
      </c>
      <c r="AV232" s="42" t="s">
        <v>66</v>
      </c>
      <c r="AW232" s="42" t="s">
        <v>67</v>
      </c>
      <c r="AX232" s="42" t="s">
        <v>68</v>
      </c>
      <c r="AY232" s="42" t="s">
        <v>64</v>
      </c>
      <c r="AZ232" s="42" t="s">
        <v>64</v>
      </c>
      <c r="BA232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"PerfTest25"
Application Service: "INJ"
Lifecycle: "PFB"</v>
      </c>
      <c r="BB232" s="131" t="s">
        <v>572</v>
      </c>
      <c r="BC232" s="42" t="str">
        <f>VLOOKUP(VmSpecs[[#This Row],[Original Hostname (CMO)]],'SSOT Data'!A:AJ,36,FALSE)</f>
        <v>PerfTest25</v>
      </c>
      <c r="BD232" s="92" t="s">
        <v>568</v>
      </c>
    </row>
    <row r="233" spans="1:56" ht="29" x14ac:dyDescent="0.35">
      <c r="A233" s="78" t="s">
        <v>58</v>
      </c>
      <c r="B233" s="42" t="str">
        <f>_xlfn.XLOOKUP(VmSpecs[[#This Row],[Subnet]],NetworkReference[Subnet],NetworkReference[Subscription])</f>
        <v>NINP-PERF2</v>
      </c>
      <c r="C233" s="43" t="str">
        <f>_xlfn.XLOOKUP(VmSpecs[[#This Row],[Subnet]],NetworkReference[Subnet],NetworkReference[Virtual Network Resource Group])</f>
        <v>rg-pf2-network-aue-001</v>
      </c>
      <c r="D233" s="43" t="str">
        <f>_xlfn.XLOOKUP(VmSpecs[[#This Row],[Subnet]],NetworkReference[Subnet],NetworkReference[Virtual Network])</f>
        <v>vnet-pf2-workload-aue-001</v>
      </c>
      <c r="E233" s="132" t="s">
        <v>489</v>
      </c>
      <c r="F233" s="43" t="str">
        <f>_xlfn.XLOOKUP(VmSpecs[[#This Row],[Subnet]],NetworkReference[Subnet],NetworkReference[Virtual Network Peering])</f>
        <v>vnet-ninp-conn-pnp-hub-aue</v>
      </c>
      <c r="G233" s="43" t="str">
        <f>_xlfn.XLOOKUP(VmSpecs[[#This Row],[Subnet]],NetworkReference[Subnet],NetworkReference[Route Table])</f>
        <v>rt-sn-pfb-aue-pf2-web</v>
      </c>
      <c r="H233" s="43" t="str">
        <f>LOWER(VLOOKUP(VmSpecs[[#This Row],[Original Hostname (CMO)]],'SSOT Data'!A:K,10,FALSE))</f>
        <v>inj</v>
      </c>
      <c r="I23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33" s="44" t="s">
        <v>230</v>
      </c>
      <c r="K233" s="43" t="str">
        <f>_xlfn.CONCAT("vm",MID(VmSpecs[[#This Row],[Subnet]],4,3),VLOOKUP(VmSpecs[[#This Row],[Subscription]],NetworkReference[#All],2,FALSE),VmSpecs[[#This Row],[Service]],VmSpecs[[#This Row],[VM iteration (nn)]])</f>
        <v>vmpfbpf2inj26</v>
      </c>
      <c r="L233" s="45" t="s">
        <v>61</v>
      </c>
      <c r="M233" s="43" t="str">
        <f>VmSpecs[[#This Row],[VM Name]]&amp;".ninp.myhealthrecord.gov.au"</f>
        <v>vmpfbpf2inj26.ninp.myhealthrecord.gov.au</v>
      </c>
      <c r="N233" s="42" t="str">
        <f t="shared" si="3"/>
        <v>nic-001-vmpfbpf2inj26</v>
      </c>
      <c r="O233" s="106" t="s">
        <v>573</v>
      </c>
      <c r="P233" s="46" t="s">
        <v>521</v>
      </c>
      <c r="Q233" s="42" t="s">
        <v>522</v>
      </c>
      <c r="R233" s="42"/>
      <c r="S233" s="42" t="str">
        <f>_xlfn.CONCAT("avail-",LEFT(VmSpecs[[#This Row],[VM Name]],LEN(VmSpecs[[#This Row],[VM Name]])-2))</f>
        <v>avail-vmpfbpf2inj</v>
      </c>
      <c r="T233" s="42" t="str">
        <f>_xlfn.CONCAT("asg-",LEFT(VmSpecs[[#This Row],[VM Name]],LEN(VmSpecs[[#This Row],[VM Name]])-2))</f>
        <v>asg-vmpfbpf2inj</v>
      </c>
      <c r="U233" s="42" t="str">
        <f>_xlfn.CONCAT("nsg-",VmSpecs[[#This Row],[Subnet]])</f>
        <v>nsg-sn-pfb-aue-pf2-web</v>
      </c>
      <c r="V233" s="42"/>
      <c r="W233" s="43" t="str">
        <f>VLOOKUP(VmSpecs[[#This Row],[Original Hostname (CMO)]],'SSOT Data'!A:AX,50,FALSE)</f>
        <v>Standard_D4s_v4</v>
      </c>
      <c r="X233" s="43">
        <v>128</v>
      </c>
      <c r="Y233" s="43" t="s">
        <v>65</v>
      </c>
      <c r="Z233" s="43" t="str">
        <f>"osdisk-"&amp;VmSpecs[[#This Row],[VM Name]]</f>
        <v>osdisk-vmpfbpf2inj26</v>
      </c>
      <c r="AA233" s="47" t="s">
        <v>66</v>
      </c>
      <c r="AB233" s="73">
        <v>8</v>
      </c>
      <c r="AC233" s="74" t="s">
        <v>65</v>
      </c>
      <c r="AD233" s="84" t="str">
        <f>"disk-"&amp;VmSpecs[[#This Row],[VM Name]]&amp;"-001"</f>
        <v>disk-vmpfbpf2inj26-001</v>
      </c>
      <c r="AE233" s="73">
        <v>32</v>
      </c>
      <c r="AF233" s="74" t="s">
        <v>65</v>
      </c>
      <c r="AG233" s="85" t="str">
        <f>"disk-"&amp;VmSpecs[[#This Row],[VM Name]]&amp;"-002"</f>
        <v>disk-vmpfbpf2inj26-002</v>
      </c>
      <c r="AH233" s="59"/>
      <c r="AI233" s="42"/>
      <c r="AJ233" s="42"/>
      <c r="AK233" s="42"/>
      <c r="AL233" s="42" t="str">
        <f>MID(VmSpecs[[#This Row],[VM Name]],3,9)</f>
        <v>pfbpf2inj</v>
      </c>
      <c r="AM233" s="42" t="str" cm="1">
        <f t="array" ref="AM233">_xlfn.TEXTJOIN(CHAR(10), TRUE, IF(NfsExports[FMO Single VM IP]=VmSpecs[[#This Row],[IP]],NfsExports[FMO Export Summary],""))</f>
        <v/>
      </c>
      <c r="AN233" s="43"/>
      <c r="AO233" s="42"/>
      <c r="AP233" s="42" t="str">
        <f>VmSpecs[[#This Row],[Description]]</f>
        <v>PerfTest26</v>
      </c>
      <c r="AQ233" s="43"/>
      <c r="AR233" s="43" t="s">
        <v>64</v>
      </c>
      <c r="AS233" s="43" t="s">
        <v>64</v>
      </c>
      <c r="AT233" s="43" t="s">
        <v>64</v>
      </c>
      <c r="AU233" s="43" t="s">
        <v>64</v>
      </c>
      <c r="AV233" s="42" t="s">
        <v>66</v>
      </c>
      <c r="AW233" s="42" t="s">
        <v>67</v>
      </c>
      <c r="AX233" s="42" t="s">
        <v>68</v>
      </c>
      <c r="AY233" s="42" t="s">
        <v>64</v>
      </c>
      <c r="AZ233" s="42" t="s">
        <v>64</v>
      </c>
      <c r="BA233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"PerfTest26"
Application Service: "INJ"
Lifecycle: "PFB"</v>
      </c>
      <c r="BB233" s="131" t="s">
        <v>574</v>
      </c>
      <c r="BC233" s="42" t="str">
        <f>VLOOKUP(VmSpecs[[#This Row],[Original Hostname (CMO)]],'SSOT Data'!A:AJ,36,FALSE)</f>
        <v>PerfTest26</v>
      </c>
      <c r="BD233" s="92" t="s">
        <v>568</v>
      </c>
    </row>
    <row r="234" spans="1:56" ht="29" x14ac:dyDescent="0.35">
      <c r="A234" s="78" t="s">
        <v>58</v>
      </c>
      <c r="B234" s="42" t="str">
        <f>_xlfn.XLOOKUP(VmSpecs[[#This Row],[Subnet]],NetworkReference[Subnet],NetworkReference[Subscription])</f>
        <v>NINP-PERF2</v>
      </c>
      <c r="C234" s="43" t="str">
        <f>_xlfn.XLOOKUP(VmSpecs[[#This Row],[Subnet]],NetworkReference[Subnet],NetworkReference[Virtual Network Resource Group])</f>
        <v>rg-pf2-network-aue-001</v>
      </c>
      <c r="D234" s="43" t="str">
        <f>_xlfn.XLOOKUP(VmSpecs[[#This Row],[Subnet]],NetworkReference[Subnet],NetworkReference[Virtual Network])</f>
        <v>vnet-pf2-workload-aue-001</v>
      </c>
      <c r="E234" s="132" t="s">
        <v>489</v>
      </c>
      <c r="F234" s="43" t="str">
        <f>_xlfn.XLOOKUP(VmSpecs[[#This Row],[Subnet]],NetworkReference[Subnet],NetworkReference[Virtual Network Peering])</f>
        <v>vnet-ninp-conn-pnp-hub-aue</v>
      </c>
      <c r="G234" s="43" t="str">
        <f>_xlfn.XLOOKUP(VmSpecs[[#This Row],[Subnet]],NetworkReference[Subnet],NetworkReference[Route Table])</f>
        <v>rt-sn-pfb-aue-pf2-web</v>
      </c>
      <c r="H234" s="43" t="str">
        <f>LOWER(VLOOKUP(VmSpecs[[#This Row],[Original Hostname (CMO)]],'SSOT Data'!A:K,10,FALSE))</f>
        <v>inj</v>
      </c>
      <c r="I23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34" s="44" t="s">
        <v>233</v>
      </c>
      <c r="K234" s="43" t="str">
        <f>_xlfn.CONCAT("vm",MID(VmSpecs[[#This Row],[Subnet]],4,3),VLOOKUP(VmSpecs[[#This Row],[Subscription]],NetworkReference[#All],2,FALSE),VmSpecs[[#This Row],[Service]],VmSpecs[[#This Row],[VM iteration (nn)]])</f>
        <v>vmpfbpf2inj27</v>
      </c>
      <c r="L234" s="45" t="s">
        <v>61</v>
      </c>
      <c r="M234" s="43" t="str">
        <f>VmSpecs[[#This Row],[VM Name]]&amp;".ninp.myhealthrecord.gov.au"</f>
        <v>vmpfbpf2inj27.ninp.myhealthrecord.gov.au</v>
      </c>
      <c r="N234" s="42" t="str">
        <f t="shared" si="3"/>
        <v>nic-001-vmpfbpf2inj27</v>
      </c>
      <c r="O234" s="106" t="s">
        <v>575</v>
      </c>
      <c r="P234" s="46" t="s">
        <v>521</v>
      </c>
      <c r="Q234" s="42" t="s">
        <v>522</v>
      </c>
      <c r="R234" s="42"/>
      <c r="S234" s="42" t="str">
        <f>_xlfn.CONCAT("avail-",LEFT(VmSpecs[[#This Row],[VM Name]],LEN(VmSpecs[[#This Row],[VM Name]])-2))</f>
        <v>avail-vmpfbpf2inj</v>
      </c>
      <c r="T234" s="42" t="str">
        <f>_xlfn.CONCAT("asg-",LEFT(VmSpecs[[#This Row],[VM Name]],LEN(VmSpecs[[#This Row],[VM Name]])-2))</f>
        <v>asg-vmpfbpf2inj</v>
      </c>
      <c r="U234" s="42" t="str">
        <f>_xlfn.CONCAT("nsg-",VmSpecs[[#This Row],[Subnet]])</f>
        <v>nsg-sn-pfb-aue-pf2-web</v>
      </c>
      <c r="V234" s="42"/>
      <c r="W234" s="43" t="str">
        <f>VLOOKUP(VmSpecs[[#This Row],[Original Hostname (CMO)]],'SSOT Data'!A:AX,50,FALSE)</f>
        <v>Standard_D4s_v4</v>
      </c>
      <c r="X234" s="43">
        <v>128</v>
      </c>
      <c r="Y234" s="43" t="s">
        <v>65</v>
      </c>
      <c r="Z234" s="43" t="str">
        <f>"osdisk-"&amp;VmSpecs[[#This Row],[VM Name]]</f>
        <v>osdisk-vmpfbpf2inj27</v>
      </c>
      <c r="AA234" s="47" t="s">
        <v>66</v>
      </c>
      <c r="AB234" s="73">
        <v>8</v>
      </c>
      <c r="AC234" s="74" t="s">
        <v>65</v>
      </c>
      <c r="AD234" s="84" t="str">
        <f>"disk-"&amp;VmSpecs[[#This Row],[VM Name]]&amp;"-001"</f>
        <v>disk-vmpfbpf2inj27-001</v>
      </c>
      <c r="AE234" s="73">
        <v>32</v>
      </c>
      <c r="AF234" s="74" t="s">
        <v>65</v>
      </c>
      <c r="AG234" s="85" t="str">
        <f>"disk-"&amp;VmSpecs[[#This Row],[VM Name]]&amp;"-002"</f>
        <v>disk-vmpfbpf2inj27-002</v>
      </c>
      <c r="AH234" s="59"/>
      <c r="AI234" s="42"/>
      <c r="AJ234" s="42"/>
      <c r="AK234" s="42"/>
      <c r="AL234" s="42" t="str">
        <f>MID(VmSpecs[[#This Row],[VM Name]],3,9)</f>
        <v>pfbpf2inj</v>
      </c>
      <c r="AM234" s="42" t="str" cm="1">
        <f t="array" ref="AM234">_xlfn.TEXTJOIN(CHAR(10), TRUE, IF(NfsExports[FMO Single VM IP]=VmSpecs[[#This Row],[IP]],NfsExports[FMO Export Summary],""))</f>
        <v/>
      </c>
      <c r="AN234" s="43"/>
      <c r="AO234" s="42"/>
      <c r="AP234" s="42" t="str">
        <f>VmSpecs[[#This Row],[Description]]</f>
        <v>PerfTest27</v>
      </c>
      <c r="AQ234" s="43"/>
      <c r="AR234" s="43" t="s">
        <v>64</v>
      </c>
      <c r="AS234" s="43" t="s">
        <v>64</v>
      </c>
      <c r="AT234" s="43" t="s">
        <v>64</v>
      </c>
      <c r="AU234" s="43" t="s">
        <v>64</v>
      </c>
      <c r="AV234" s="42" t="s">
        <v>66</v>
      </c>
      <c r="AW234" s="42" t="s">
        <v>67</v>
      </c>
      <c r="AX234" s="42" t="s">
        <v>68</v>
      </c>
      <c r="AY234" s="42" t="s">
        <v>64</v>
      </c>
      <c r="AZ234" s="42" t="s">
        <v>64</v>
      </c>
      <c r="BA234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"PerfTest27"
Application Service: "INJ"
Lifecycle: "PFB"</v>
      </c>
      <c r="BB234" s="131" t="s">
        <v>576</v>
      </c>
      <c r="BC234" s="42" t="str">
        <f>VLOOKUP(VmSpecs[[#This Row],[Original Hostname (CMO)]],'SSOT Data'!A:AJ,36,FALSE)</f>
        <v>PerfTest27</v>
      </c>
      <c r="BD234" s="92" t="s">
        <v>568</v>
      </c>
    </row>
    <row r="235" spans="1:56" ht="29" x14ac:dyDescent="0.35">
      <c r="A235" s="78" t="s">
        <v>58</v>
      </c>
      <c r="B235" s="42" t="str">
        <f>_xlfn.XLOOKUP(VmSpecs[[#This Row],[Subnet]],NetworkReference[Subnet],NetworkReference[Subscription])</f>
        <v>NINP-PERF2</v>
      </c>
      <c r="C235" s="43" t="str">
        <f>_xlfn.XLOOKUP(VmSpecs[[#This Row],[Subnet]],NetworkReference[Subnet],NetworkReference[Virtual Network Resource Group])</f>
        <v>rg-pf2-network-aue-001</v>
      </c>
      <c r="D235" s="43" t="str">
        <f>_xlfn.XLOOKUP(VmSpecs[[#This Row],[Subnet]],NetworkReference[Subnet],NetworkReference[Virtual Network])</f>
        <v>vnet-pf2-workload-aue-001</v>
      </c>
      <c r="E235" s="132" t="s">
        <v>489</v>
      </c>
      <c r="F235" s="43" t="str">
        <f>_xlfn.XLOOKUP(VmSpecs[[#This Row],[Subnet]],NetworkReference[Subnet],NetworkReference[Virtual Network Peering])</f>
        <v>vnet-ninp-conn-pnp-hub-aue</v>
      </c>
      <c r="G235" s="43" t="str">
        <f>_xlfn.XLOOKUP(VmSpecs[[#This Row],[Subnet]],NetworkReference[Subnet],NetworkReference[Route Table])</f>
        <v>rt-sn-pfb-aue-pf2-web</v>
      </c>
      <c r="H235" s="43" t="str">
        <f>LOWER(VLOOKUP(VmSpecs[[#This Row],[Original Hostname (CMO)]],'SSOT Data'!A:K,10,FALSE))</f>
        <v>inj</v>
      </c>
      <c r="I23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35" s="44" t="s">
        <v>236</v>
      </c>
      <c r="K235" s="43" t="str">
        <f>_xlfn.CONCAT("vm",MID(VmSpecs[[#This Row],[Subnet]],4,3),VLOOKUP(VmSpecs[[#This Row],[Subscription]],NetworkReference[#All],2,FALSE),VmSpecs[[#This Row],[Service]],VmSpecs[[#This Row],[VM iteration (nn)]])</f>
        <v>vmpfbpf2inj28</v>
      </c>
      <c r="L235" s="45" t="s">
        <v>61</v>
      </c>
      <c r="M235" s="43" t="str">
        <f>VmSpecs[[#This Row],[VM Name]]&amp;".ninp.myhealthrecord.gov.au"</f>
        <v>vmpfbpf2inj28.ninp.myhealthrecord.gov.au</v>
      </c>
      <c r="N235" s="42" t="str">
        <f t="shared" si="3"/>
        <v>nic-001-vmpfbpf2inj28</v>
      </c>
      <c r="O235" s="106" t="s">
        <v>577</v>
      </c>
      <c r="P235" s="46" t="s">
        <v>521</v>
      </c>
      <c r="Q235" s="42" t="s">
        <v>522</v>
      </c>
      <c r="R235" s="42"/>
      <c r="S235" s="42" t="str">
        <f>_xlfn.CONCAT("avail-",LEFT(VmSpecs[[#This Row],[VM Name]],LEN(VmSpecs[[#This Row],[VM Name]])-2))</f>
        <v>avail-vmpfbpf2inj</v>
      </c>
      <c r="T235" s="42" t="str">
        <f>_xlfn.CONCAT("asg-",LEFT(VmSpecs[[#This Row],[VM Name]],LEN(VmSpecs[[#This Row],[VM Name]])-2))</f>
        <v>asg-vmpfbpf2inj</v>
      </c>
      <c r="U235" s="42" t="str">
        <f>_xlfn.CONCAT("nsg-",VmSpecs[[#This Row],[Subnet]])</f>
        <v>nsg-sn-pfb-aue-pf2-web</v>
      </c>
      <c r="V235" s="42"/>
      <c r="W235" s="43" t="str">
        <f>VLOOKUP(VmSpecs[[#This Row],[Original Hostname (CMO)]],'SSOT Data'!A:AX,50,FALSE)</f>
        <v>Standard_D4s_v4</v>
      </c>
      <c r="X235" s="43">
        <v>128</v>
      </c>
      <c r="Y235" s="43" t="s">
        <v>65</v>
      </c>
      <c r="Z235" s="43" t="str">
        <f>"osdisk-"&amp;VmSpecs[[#This Row],[VM Name]]</f>
        <v>osdisk-vmpfbpf2inj28</v>
      </c>
      <c r="AA235" s="47" t="s">
        <v>66</v>
      </c>
      <c r="AB235" s="73">
        <v>8</v>
      </c>
      <c r="AC235" s="74" t="s">
        <v>65</v>
      </c>
      <c r="AD235" s="84" t="str">
        <f>"disk-"&amp;VmSpecs[[#This Row],[VM Name]]&amp;"-001"</f>
        <v>disk-vmpfbpf2inj28-001</v>
      </c>
      <c r="AE235" s="73">
        <v>32</v>
      </c>
      <c r="AF235" s="74" t="s">
        <v>65</v>
      </c>
      <c r="AG235" s="85" t="str">
        <f>"disk-"&amp;VmSpecs[[#This Row],[VM Name]]&amp;"-002"</f>
        <v>disk-vmpfbpf2inj28-002</v>
      </c>
      <c r="AH235" s="59"/>
      <c r="AI235" s="42"/>
      <c r="AJ235" s="42"/>
      <c r="AK235" s="42"/>
      <c r="AL235" s="42" t="str">
        <f>MID(VmSpecs[[#This Row],[VM Name]],3,9)</f>
        <v>pfbpf2inj</v>
      </c>
      <c r="AM235" s="42" t="str" cm="1">
        <f t="array" ref="AM235">_xlfn.TEXTJOIN(CHAR(10), TRUE, IF(NfsExports[FMO Single VM IP]=VmSpecs[[#This Row],[IP]],NfsExports[FMO Export Summary],""))</f>
        <v/>
      </c>
      <c r="AN235" s="43"/>
      <c r="AO235" s="42"/>
      <c r="AP235" s="42" t="str">
        <f>VmSpecs[[#This Row],[Description]]</f>
        <v>PerfTest28</v>
      </c>
      <c r="AQ235" s="43"/>
      <c r="AR235" s="43" t="s">
        <v>64</v>
      </c>
      <c r="AS235" s="43" t="s">
        <v>64</v>
      </c>
      <c r="AT235" s="43" t="s">
        <v>64</v>
      </c>
      <c r="AU235" s="43" t="s">
        <v>64</v>
      </c>
      <c r="AV235" s="42" t="s">
        <v>66</v>
      </c>
      <c r="AW235" s="42" t="s">
        <v>67</v>
      </c>
      <c r="AX235" s="42" t="s">
        <v>68</v>
      </c>
      <c r="AY235" s="42" t="s">
        <v>64</v>
      </c>
      <c r="AZ235" s="42" t="s">
        <v>64</v>
      </c>
      <c r="BA235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"PerfTest28"
Application Service: "INJ"
Lifecycle: "PFB"</v>
      </c>
      <c r="BB235" s="135" t="s">
        <v>578</v>
      </c>
      <c r="BC235" s="42" t="str">
        <f>VLOOKUP(VmSpecs[[#This Row],[Original Hostname (CMO)]],'SSOT Data'!A:AJ,36,FALSE)</f>
        <v>PerfTest28</v>
      </c>
      <c r="BD235" s="92" t="s">
        <v>568</v>
      </c>
    </row>
    <row r="236" spans="1:56" ht="29" x14ac:dyDescent="0.35">
      <c r="A236" s="78" t="s">
        <v>58</v>
      </c>
      <c r="B236" s="42" t="str">
        <f>_xlfn.XLOOKUP(VmSpecs[[#This Row],[Subnet]],NetworkReference[Subnet],NetworkReference[Subscription])</f>
        <v>NINP-PERF2</v>
      </c>
      <c r="C236" s="43" t="str">
        <f>_xlfn.XLOOKUP(VmSpecs[[#This Row],[Subnet]],NetworkReference[Subnet],NetworkReference[Virtual Network Resource Group])</f>
        <v>rg-pf2-network-aue-001</v>
      </c>
      <c r="D236" s="43" t="str">
        <f>_xlfn.XLOOKUP(VmSpecs[[#This Row],[Subnet]],NetworkReference[Subnet],NetworkReference[Virtual Network])</f>
        <v>vnet-pf2-workload-aue-001</v>
      </c>
      <c r="E236" s="132" t="s">
        <v>489</v>
      </c>
      <c r="F236" s="43" t="str">
        <f>_xlfn.XLOOKUP(VmSpecs[[#This Row],[Subnet]],NetworkReference[Subnet],NetworkReference[Virtual Network Peering])</f>
        <v>vnet-ninp-conn-pnp-hub-aue</v>
      </c>
      <c r="G236" s="43" t="str">
        <f>_xlfn.XLOOKUP(VmSpecs[[#This Row],[Subnet]],NetworkReference[Subnet],NetworkReference[Route Table])</f>
        <v>rt-sn-pfb-aue-pf2-web</v>
      </c>
      <c r="H236" s="43" t="str">
        <f>LOWER(VLOOKUP(VmSpecs[[#This Row],[Original Hostname (CMO)]],'SSOT Data'!A:K,10,FALSE))</f>
        <v>inj</v>
      </c>
      <c r="I23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36" s="44" t="s">
        <v>239</v>
      </c>
      <c r="K236" s="43" t="str">
        <f>_xlfn.CONCAT("vm",MID(VmSpecs[[#This Row],[Subnet]],4,3),VLOOKUP(VmSpecs[[#This Row],[Subscription]],NetworkReference[#All],2,FALSE),VmSpecs[[#This Row],[Service]],VmSpecs[[#This Row],[VM iteration (nn)]])</f>
        <v>vmpfbpf2inj29</v>
      </c>
      <c r="L236" s="45" t="s">
        <v>61</v>
      </c>
      <c r="M236" s="43" t="str">
        <f>VmSpecs[[#This Row],[VM Name]]&amp;".ninp.myhealthrecord.gov.au"</f>
        <v>vmpfbpf2inj29.ninp.myhealthrecord.gov.au</v>
      </c>
      <c r="N236" s="42" t="str">
        <f t="shared" si="3"/>
        <v>nic-001-vmpfbpf2inj29</v>
      </c>
      <c r="O236" s="106" t="s">
        <v>579</v>
      </c>
      <c r="P236" s="46" t="s">
        <v>521</v>
      </c>
      <c r="Q236" s="42" t="s">
        <v>522</v>
      </c>
      <c r="R236" s="42"/>
      <c r="S236" s="42" t="str">
        <f>_xlfn.CONCAT("avail-",LEFT(VmSpecs[[#This Row],[VM Name]],LEN(VmSpecs[[#This Row],[VM Name]])-2))</f>
        <v>avail-vmpfbpf2inj</v>
      </c>
      <c r="T236" s="42" t="str">
        <f>_xlfn.CONCAT("asg-",LEFT(VmSpecs[[#This Row],[VM Name]],LEN(VmSpecs[[#This Row],[VM Name]])-2))</f>
        <v>asg-vmpfbpf2inj</v>
      </c>
      <c r="U236" s="42" t="str">
        <f>_xlfn.CONCAT("nsg-",VmSpecs[[#This Row],[Subnet]])</f>
        <v>nsg-sn-pfb-aue-pf2-web</v>
      </c>
      <c r="V236" s="42"/>
      <c r="W236" s="43" t="str">
        <f>VLOOKUP(VmSpecs[[#This Row],[Original Hostname (CMO)]],'SSOT Data'!A:AX,50,FALSE)</f>
        <v>Standard_D4s_v4</v>
      </c>
      <c r="X236" s="43">
        <v>128</v>
      </c>
      <c r="Y236" s="43" t="s">
        <v>65</v>
      </c>
      <c r="Z236" s="43" t="str">
        <f>"osdisk-"&amp;VmSpecs[[#This Row],[VM Name]]</f>
        <v>osdisk-vmpfbpf2inj29</v>
      </c>
      <c r="AA236" s="47" t="s">
        <v>66</v>
      </c>
      <c r="AB236" s="73">
        <v>8</v>
      </c>
      <c r="AC236" s="74" t="s">
        <v>65</v>
      </c>
      <c r="AD236" s="84" t="str">
        <f>"disk-"&amp;VmSpecs[[#This Row],[VM Name]]&amp;"-001"</f>
        <v>disk-vmpfbpf2inj29-001</v>
      </c>
      <c r="AE236" s="73">
        <v>32</v>
      </c>
      <c r="AF236" s="74" t="s">
        <v>65</v>
      </c>
      <c r="AG236" s="85" t="str">
        <f>"disk-"&amp;VmSpecs[[#This Row],[VM Name]]&amp;"-002"</f>
        <v>disk-vmpfbpf2inj29-002</v>
      </c>
      <c r="AH236" s="59"/>
      <c r="AI236" s="42"/>
      <c r="AJ236" s="42"/>
      <c r="AK236" s="42"/>
      <c r="AL236" s="42" t="str">
        <f>MID(VmSpecs[[#This Row],[VM Name]],3,9)</f>
        <v>pfbpf2inj</v>
      </c>
      <c r="AM236" s="42" t="str" cm="1">
        <f t="array" ref="AM236">_xlfn.TEXTJOIN(CHAR(10), TRUE, IF(NfsExports[FMO Single VM IP]=VmSpecs[[#This Row],[IP]],NfsExports[FMO Export Summary],""))</f>
        <v/>
      </c>
      <c r="AN236" s="43"/>
      <c r="AO236" s="42"/>
      <c r="AP236" s="42" t="str">
        <f>VmSpecs[[#This Row],[Description]]</f>
        <v>PerfTest29</v>
      </c>
      <c r="AQ236" s="43"/>
      <c r="AR236" s="43" t="s">
        <v>64</v>
      </c>
      <c r="AS236" s="43" t="s">
        <v>64</v>
      </c>
      <c r="AT236" s="43" t="s">
        <v>64</v>
      </c>
      <c r="AU236" s="43" t="s">
        <v>64</v>
      </c>
      <c r="AV236" s="42" t="s">
        <v>66</v>
      </c>
      <c r="AW236" s="42" t="s">
        <v>67</v>
      </c>
      <c r="AX236" s="42" t="s">
        <v>68</v>
      </c>
      <c r="AY236" s="42" t="s">
        <v>64</v>
      </c>
      <c r="AZ236" s="42" t="s">
        <v>64</v>
      </c>
      <c r="BA236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"PerfTest29"
Application Service: "INJ"
Lifecycle: "PFB"</v>
      </c>
      <c r="BB236" s="131" t="s">
        <v>580</v>
      </c>
      <c r="BC236" s="42" t="str">
        <f>VLOOKUP(VmSpecs[[#This Row],[Original Hostname (CMO)]],'SSOT Data'!A:AJ,36,FALSE)</f>
        <v>PerfTest29</v>
      </c>
      <c r="BD236" s="92" t="s">
        <v>568</v>
      </c>
    </row>
    <row r="237" spans="1:56" ht="29" x14ac:dyDescent="0.35">
      <c r="A237" s="78" t="s">
        <v>58</v>
      </c>
      <c r="B237" s="42" t="str">
        <f>_xlfn.XLOOKUP(VmSpecs[[#This Row],[Subnet]],NetworkReference[Subnet],NetworkReference[Subscription])</f>
        <v>NINP-PERF2</v>
      </c>
      <c r="C237" s="43" t="str">
        <f>_xlfn.XLOOKUP(VmSpecs[[#This Row],[Subnet]],NetworkReference[Subnet],NetworkReference[Virtual Network Resource Group])</f>
        <v>rg-pf2-network-aue-001</v>
      </c>
      <c r="D237" s="43" t="str">
        <f>_xlfn.XLOOKUP(VmSpecs[[#This Row],[Subnet]],NetworkReference[Subnet],NetworkReference[Virtual Network])</f>
        <v>vnet-pf2-workload-aue-001</v>
      </c>
      <c r="E237" s="132" t="s">
        <v>489</v>
      </c>
      <c r="F237" s="43" t="str">
        <f>_xlfn.XLOOKUP(VmSpecs[[#This Row],[Subnet]],NetworkReference[Subnet],NetworkReference[Virtual Network Peering])</f>
        <v>vnet-ninp-conn-pnp-hub-aue</v>
      </c>
      <c r="G237" s="43" t="str">
        <f>_xlfn.XLOOKUP(VmSpecs[[#This Row],[Subnet]],NetworkReference[Subnet],NetworkReference[Route Table])</f>
        <v>rt-sn-pfb-aue-pf2-web</v>
      </c>
      <c r="H237" s="43" t="str">
        <f>LOWER(VLOOKUP(VmSpecs[[#This Row],[Original Hostname (CMO)]],'SSOT Data'!A:K,10,FALSE))</f>
        <v>inj</v>
      </c>
      <c r="I23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37" s="44" t="s">
        <v>242</v>
      </c>
      <c r="K237" s="43" t="str">
        <f>_xlfn.CONCAT("vm",MID(VmSpecs[[#This Row],[Subnet]],4,3),VLOOKUP(VmSpecs[[#This Row],[Subscription]],NetworkReference[#All],2,FALSE),VmSpecs[[#This Row],[Service]],VmSpecs[[#This Row],[VM iteration (nn)]])</f>
        <v>vmpfbpf2inj30</v>
      </c>
      <c r="L237" s="45" t="s">
        <v>61</v>
      </c>
      <c r="M237" s="43" t="str">
        <f>VmSpecs[[#This Row],[VM Name]]&amp;".ninp.myhealthrecord.gov.au"</f>
        <v>vmpfbpf2inj30.ninp.myhealthrecord.gov.au</v>
      </c>
      <c r="N237" s="42" t="str">
        <f t="shared" si="3"/>
        <v>nic-001-vmpfbpf2inj30</v>
      </c>
      <c r="O237" s="106" t="s">
        <v>581</v>
      </c>
      <c r="P237" s="46" t="s">
        <v>521</v>
      </c>
      <c r="Q237" s="42" t="s">
        <v>522</v>
      </c>
      <c r="R237" s="42"/>
      <c r="S237" s="42" t="str">
        <f>_xlfn.CONCAT("avail-",LEFT(VmSpecs[[#This Row],[VM Name]],LEN(VmSpecs[[#This Row],[VM Name]])-2))</f>
        <v>avail-vmpfbpf2inj</v>
      </c>
      <c r="T237" s="42" t="str">
        <f>_xlfn.CONCAT("asg-",LEFT(VmSpecs[[#This Row],[VM Name]],LEN(VmSpecs[[#This Row],[VM Name]])-2))</f>
        <v>asg-vmpfbpf2inj</v>
      </c>
      <c r="U237" s="42" t="str">
        <f>_xlfn.CONCAT("nsg-",VmSpecs[[#This Row],[Subnet]])</f>
        <v>nsg-sn-pfb-aue-pf2-web</v>
      </c>
      <c r="V237" s="42"/>
      <c r="W237" s="43" t="str">
        <f>VLOOKUP(VmSpecs[[#This Row],[Original Hostname (CMO)]],'SSOT Data'!A:AX,50,FALSE)</f>
        <v>Standard_D4s_v4</v>
      </c>
      <c r="X237" s="43">
        <v>128</v>
      </c>
      <c r="Y237" s="43" t="s">
        <v>65</v>
      </c>
      <c r="Z237" s="43" t="str">
        <f>"osdisk-"&amp;VmSpecs[[#This Row],[VM Name]]</f>
        <v>osdisk-vmpfbpf2inj30</v>
      </c>
      <c r="AA237" s="47" t="s">
        <v>66</v>
      </c>
      <c r="AB237" s="73">
        <v>8</v>
      </c>
      <c r="AC237" s="74" t="s">
        <v>65</v>
      </c>
      <c r="AD237" s="84" t="str">
        <f>"disk-"&amp;VmSpecs[[#This Row],[VM Name]]&amp;"-001"</f>
        <v>disk-vmpfbpf2inj30-001</v>
      </c>
      <c r="AE237" s="73">
        <v>32</v>
      </c>
      <c r="AF237" s="74" t="s">
        <v>65</v>
      </c>
      <c r="AG237" s="85" t="str">
        <f>"disk-"&amp;VmSpecs[[#This Row],[VM Name]]&amp;"-002"</f>
        <v>disk-vmpfbpf2inj30-002</v>
      </c>
      <c r="AH237" s="59"/>
      <c r="AI237" s="42"/>
      <c r="AJ237" s="42"/>
      <c r="AK237" s="42"/>
      <c r="AL237" s="42" t="str">
        <f>MID(VmSpecs[[#This Row],[VM Name]],3,9)</f>
        <v>pfbpf2inj</v>
      </c>
      <c r="AM237" s="42" t="str" cm="1">
        <f t="array" ref="AM237">_xlfn.TEXTJOIN(CHAR(10), TRUE, IF(NfsExports[FMO Single VM IP]=VmSpecs[[#This Row],[IP]],NfsExports[FMO Export Summary],""))</f>
        <v/>
      </c>
      <c r="AN237" s="43"/>
      <c r="AO237" s="42"/>
      <c r="AP237" s="42" t="str">
        <f>VmSpecs[[#This Row],[Description]]</f>
        <v>PerfTest30</v>
      </c>
      <c r="AQ237" s="43"/>
      <c r="AR237" s="43" t="s">
        <v>64</v>
      </c>
      <c r="AS237" s="43" t="s">
        <v>64</v>
      </c>
      <c r="AT237" s="43" t="s">
        <v>64</v>
      </c>
      <c r="AU237" s="43" t="s">
        <v>64</v>
      </c>
      <c r="AV237" s="42" t="s">
        <v>66</v>
      </c>
      <c r="AW237" s="42" t="s">
        <v>67</v>
      </c>
      <c r="AX237" s="42" t="s">
        <v>68</v>
      </c>
      <c r="AY237" s="42" t="s">
        <v>64</v>
      </c>
      <c r="AZ237" s="42" t="s">
        <v>64</v>
      </c>
      <c r="BA237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"PerfTest30"
Application Service: "INJ"
Lifecycle: "PFB"</v>
      </c>
      <c r="BB237" s="131" t="s">
        <v>582</v>
      </c>
      <c r="BC237" s="42" t="str">
        <f>VLOOKUP(VmSpecs[[#This Row],[Original Hostname (CMO)]],'SSOT Data'!A:AJ,36,FALSE)</f>
        <v>PerfTest30</v>
      </c>
      <c r="BD237" s="92" t="s">
        <v>568</v>
      </c>
    </row>
    <row r="238" spans="1:56" ht="29" x14ac:dyDescent="0.35">
      <c r="A238" s="78"/>
      <c r="B238" s="42" t="str">
        <f>_xlfn.XLOOKUP(VmSpecs[[#This Row],[Subnet]],NetworkReference[Subnet],NetworkReference[Subscription])</f>
        <v>NINP-PERF2</v>
      </c>
      <c r="C238" s="43" t="str">
        <f>_xlfn.XLOOKUP(VmSpecs[[#This Row],[Subnet]],NetworkReference[Subnet],NetworkReference[Virtual Network Resource Group])</f>
        <v>rg-pf2-network-aue-001</v>
      </c>
      <c r="D238" s="43" t="str">
        <f>_xlfn.XLOOKUP(VmSpecs[[#This Row],[Subnet]],NetworkReference[Subnet],NetworkReference[Virtual Network])</f>
        <v>vnet-pf2-workload-aue-001</v>
      </c>
      <c r="E238" s="132" t="s">
        <v>489</v>
      </c>
      <c r="F238" s="43" t="str">
        <f>_xlfn.XLOOKUP(VmSpecs[[#This Row],[Subnet]],NetworkReference[Subnet],NetworkReference[Virtual Network Peering])</f>
        <v>vnet-ninp-conn-pnp-hub-aue</v>
      </c>
      <c r="G238" s="43" t="str">
        <f>_xlfn.XLOOKUP(VmSpecs[[#This Row],[Subnet]],NetworkReference[Subnet],NetworkReference[Route Table])</f>
        <v>rt-sn-pfb-aue-pf2-web</v>
      </c>
      <c r="H238" s="43" t="str">
        <f>LOWER(VLOOKUP(VmSpecs[[#This Row],[Original Hostname (CMO)]],'SSOT Data'!A:K,10,FALSE))</f>
        <v>mob</v>
      </c>
      <c r="I23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38" s="44" t="s">
        <v>60</v>
      </c>
      <c r="K238" s="43" t="str">
        <f>_xlfn.CONCAT("vm",MID(VmSpecs[[#This Row],[Subnet]],4,3),VLOOKUP(VmSpecs[[#This Row],[Subscription]],NetworkReference[#All],2,FALSE),VmSpecs[[#This Row],[Service]],VmSpecs[[#This Row],[VM iteration (nn)]])</f>
        <v>vmpfbpf2mob01</v>
      </c>
      <c r="L238" s="45" t="s">
        <v>61</v>
      </c>
      <c r="M238" s="43" t="str">
        <f>VmSpecs[[#This Row],[VM Name]]&amp;".ninp.myhealthrecord.gov.au"</f>
        <v>vmpfbpf2mob01.ninp.myhealthrecord.gov.au</v>
      </c>
      <c r="N238" s="42" t="str">
        <f t="shared" si="3"/>
        <v>nic-001-vmpfbpf2mob01</v>
      </c>
      <c r="O238" s="106" t="s">
        <v>583</v>
      </c>
      <c r="P238" s="46" t="s">
        <v>63</v>
      </c>
      <c r="Q238" s="42" t="str">
        <f>VLOOKUP(VmSpecs[[#This Row],[Original Hostname (CMO)]],'SSOT Data'!A:E,5,FALSE)</f>
        <v>OEL6.10</v>
      </c>
      <c r="R238" s="42"/>
      <c r="S238" s="42" t="str">
        <f>_xlfn.CONCAT("avail-",LEFT(VmSpecs[[#This Row],[VM Name]],LEN(VmSpecs[[#This Row],[VM Name]])-2))</f>
        <v>avail-vmpfbpf2mob</v>
      </c>
      <c r="T238" s="42" t="str">
        <f>_xlfn.CONCAT("asg-",LEFT(VmSpecs[[#This Row],[VM Name]],LEN(VmSpecs[[#This Row],[VM Name]])-2))</f>
        <v>asg-vmpfbpf2mob</v>
      </c>
      <c r="U238" s="42" t="str">
        <f>_xlfn.CONCAT("nsg-",VmSpecs[[#This Row],[Subnet]])</f>
        <v>nsg-sn-pfb-aue-pf2-web</v>
      </c>
      <c r="V238" s="42"/>
      <c r="W238" s="43" t="str">
        <f>VLOOKUP(VmSpecs[[#This Row],[Original Hostname (CMO)]],'SSOT Data'!A:AX,50,FALSE)</f>
        <v>Standard_D4s_v4</v>
      </c>
      <c r="X238" s="43">
        <v>64</v>
      </c>
      <c r="Y238" s="43" t="s">
        <v>65</v>
      </c>
      <c r="Z238" s="43" t="str">
        <f>"osdisk-"&amp;VmSpecs[[#This Row],[VM Name]]</f>
        <v>osdisk-vmpfbpf2mob01</v>
      </c>
      <c r="AA238" s="47" t="s">
        <v>66</v>
      </c>
      <c r="AB238" s="73">
        <v>8</v>
      </c>
      <c r="AC238" s="74" t="s">
        <v>65</v>
      </c>
      <c r="AD238" s="84" t="str">
        <f>"disk-"&amp;VmSpecs[[#This Row],[VM Name]]&amp;"-001"</f>
        <v>disk-vmpfbpf2mob01-001</v>
      </c>
      <c r="AE238" s="73">
        <v>32</v>
      </c>
      <c r="AF238" s="74" t="s">
        <v>65</v>
      </c>
      <c r="AG238" s="85" t="str">
        <f>"disk-"&amp;VmSpecs[[#This Row],[VM Name]]&amp;"-002"</f>
        <v>disk-vmpfbpf2mob01-002</v>
      </c>
      <c r="AH238" s="59"/>
      <c r="AI238" s="42"/>
      <c r="AJ238" s="42"/>
      <c r="AK238" s="42"/>
      <c r="AL238" s="42" t="str">
        <f>MID(VmSpecs[[#This Row],[VM Name]],3,9)</f>
        <v>pfbpf2mob</v>
      </c>
      <c r="AM238" s="42" t="str" cm="1">
        <f t="array" ref="AM238">_xlfn.TEXTJOIN(CHAR(10), TRUE, IF(NfsExports[FMO Single VM IP]=VmSpecs[[#This Row],[IP]],NfsExports[FMO Export Summary],""))</f>
        <v>/apps/pcehr 40GB</v>
      </c>
      <c r="AN238" s="43" t="str" cm="1">
        <f t="array" ref="AN23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/apps/nfs/pft1qzone_pfb 15GB</v>
      </c>
      <c r="AO238" s="42"/>
      <c r="AP238" s="42" t="str">
        <f>VmSpecs[[#This Row],[Description]]</f>
        <v>B2M-OAG N1</v>
      </c>
      <c r="AQ238" s="43"/>
      <c r="AR238" s="43"/>
      <c r="AS238" s="43"/>
      <c r="AT238" s="43"/>
      <c r="AU238" s="43"/>
      <c r="AV238" s="42"/>
      <c r="AW238" s="42"/>
      <c r="AX238" s="42"/>
      <c r="AY238" s="42"/>
      <c r="AZ238" s="42"/>
      <c r="BA238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"B2M-OAG N1"
Application Service: "MOB"
Lifecycle: "PFB"</v>
      </c>
      <c r="BB238" s="78" t="s">
        <v>584</v>
      </c>
      <c r="BC238" s="42" t="str">
        <f>VLOOKUP(VmSpecs[[#This Row],[Original Hostname (CMO)]],'SSOT Data'!A:AJ,36,FALSE)</f>
        <v>B2M-OAG N1</v>
      </c>
      <c r="BD238" s="126">
        <f>VLOOKUP(VmSpecs[[#This Row],[Original Hostname (CMO)]],'SSOT Data'!A:AQ,43,FALSE)</f>
        <v>1</v>
      </c>
    </row>
    <row r="239" spans="1:56" ht="29" x14ac:dyDescent="0.35">
      <c r="A239" s="78"/>
      <c r="B239" s="42" t="str">
        <f>_xlfn.XLOOKUP(VmSpecs[[#This Row],[Subnet]],NetworkReference[Subnet],NetworkReference[Subscription])</f>
        <v>NINP-PERF2</v>
      </c>
      <c r="C239" s="43" t="str">
        <f>_xlfn.XLOOKUP(VmSpecs[[#This Row],[Subnet]],NetworkReference[Subnet],NetworkReference[Virtual Network Resource Group])</f>
        <v>rg-pf2-network-aue-001</v>
      </c>
      <c r="D239" s="43" t="str">
        <f>_xlfn.XLOOKUP(VmSpecs[[#This Row],[Subnet]],NetworkReference[Subnet],NetworkReference[Virtual Network])</f>
        <v>vnet-pf2-workload-aue-001</v>
      </c>
      <c r="E239" s="132" t="s">
        <v>489</v>
      </c>
      <c r="F239" s="43" t="str">
        <f>_xlfn.XLOOKUP(VmSpecs[[#This Row],[Subnet]],NetworkReference[Subnet],NetworkReference[Virtual Network Peering])</f>
        <v>vnet-ninp-conn-pnp-hub-aue</v>
      </c>
      <c r="G239" s="43" t="str">
        <f>_xlfn.XLOOKUP(VmSpecs[[#This Row],[Subnet]],NetworkReference[Subnet],NetworkReference[Route Table])</f>
        <v>rt-sn-pfb-aue-pf2-web</v>
      </c>
      <c r="H239" s="43" t="str">
        <f>LOWER(VLOOKUP(VmSpecs[[#This Row],[Original Hostname (CMO)]],'SSOT Data'!A:K,10,FALSE))</f>
        <v>mob</v>
      </c>
      <c r="I23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39" s="44" t="s">
        <v>72</v>
      </c>
      <c r="K239" s="43" t="str">
        <f>_xlfn.CONCAT("vm",MID(VmSpecs[[#This Row],[Subnet]],4,3),VLOOKUP(VmSpecs[[#This Row],[Subscription]],NetworkReference[#All],2,FALSE),VmSpecs[[#This Row],[Service]],VmSpecs[[#This Row],[VM iteration (nn)]])</f>
        <v>vmpfbpf2mob02</v>
      </c>
      <c r="L239" s="45" t="s">
        <v>61</v>
      </c>
      <c r="M239" s="43" t="str">
        <f>VmSpecs[[#This Row],[VM Name]]&amp;".ninp.myhealthrecord.gov.au"</f>
        <v>vmpfbpf2mob02.ninp.myhealthrecord.gov.au</v>
      </c>
      <c r="N239" s="42" t="str">
        <f t="shared" si="3"/>
        <v>nic-001-vmpfbpf2mob02</v>
      </c>
      <c r="O239" s="106" t="s">
        <v>585</v>
      </c>
      <c r="P239" s="46" t="s">
        <v>63</v>
      </c>
      <c r="Q239" s="42" t="str">
        <f>VLOOKUP(VmSpecs[[#This Row],[Original Hostname (CMO)]],'SSOT Data'!A:E,5,FALSE)</f>
        <v>OEL6.10</v>
      </c>
      <c r="R239" s="42"/>
      <c r="S239" s="42" t="str">
        <f>_xlfn.CONCAT("avail-",LEFT(VmSpecs[[#This Row],[VM Name]],LEN(VmSpecs[[#This Row],[VM Name]])-2))</f>
        <v>avail-vmpfbpf2mob</v>
      </c>
      <c r="T239" s="42" t="str">
        <f>_xlfn.CONCAT("asg-",LEFT(VmSpecs[[#This Row],[VM Name]],LEN(VmSpecs[[#This Row],[VM Name]])-2))</f>
        <v>asg-vmpfbpf2mob</v>
      </c>
      <c r="U239" s="42" t="str">
        <f>_xlfn.CONCAT("nsg-",VmSpecs[[#This Row],[Subnet]])</f>
        <v>nsg-sn-pfb-aue-pf2-web</v>
      </c>
      <c r="V239" s="42"/>
      <c r="W239" s="43" t="str">
        <f>VLOOKUP(VmSpecs[[#This Row],[Original Hostname (CMO)]],'SSOT Data'!A:AX,50,FALSE)</f>
        <v>Standard_D4s_v4</v>
      </c>
      <c r="X239" s="43">
        <v>64</v>
      </c>
      <c r="Y239" s="43" t="s">
        <v>65</v>
      </c>
      <c r="Z239" s="43" t="str">
        <f>"osdisk-"&amp;VmSpecs[[#This Row],[VM Name]]</f>
        <v>osdisk-vmpfbpf2mob02</v>
      </c>
      <c r="AA239" s="47" t="s">
        <v>66</v>
      </c>
      <c r="AB239" s="73">
        <v>8</v>
      </c>
      <c r="AC239" s="74" t="s">
        <v>65</v>
      </c>
      <c r="AD239" s="84" t="str">
        <f>"disk-"&amp;VmSpecs[[#This Row],[VM Name]]&amp;"-001"</f>
        <v>disk-vmpfbpf2mob02-001</v>
      </c>
      <c r="AE239" s="73">
        <v>32</v>
      </c>
      <c r="AF239" s="74" t="s">
        <v>65</v>
      </c>
      <c r="AG239" s="85" t="str">
        <f>"disk-"&amp;VmSpecs[[#This Row],[VM Name]]&amp;"-002"</f>
        <v>disk-vmpfbpf2mob02-002</v>
      </c>
      <c r="AH239" s="59"/>
      <c r="AI239" s="42"/>
      <c r="AJ239" s="42"/>
      <c r="AK239" s="42"/>
      <c r="AL239" s="42" t="str">
        <f>MID(VmSpecs[[#This Row],[VM Name]],3,9)</f>
        <v>pfbpf2mob</v>
      </c>
      <c r="AM239" s="42" t="str" cm="1">
        <f t="array" ref="AM239">_xlfn.TEXTJOIN(CHAR(10), TRUE, IF(NfsExports[FMO Single VM IP]=VmSpecs[[#This Row],[IP]],NfsExports[FMO Export Summary],""))</f>
        <v>/apps/pcehr 40GB</v>
      </c>
      <c r="AN239" s="43" t="str" cm="1">
        <f t="array" ref="AN23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/apps/nfs/pft1qzone_pfb 15GB</v>
      </c>
      <c r="AO239" s="42"/>
      <c r="AP239" s="42" t="str">
        <f>VmSpecs[[#This Row],[Description]]</f>
        <v>B2M-OAG N2</v>
      </c>
      <c r="AQ239" s="43"/>
      <c r="AR239" s="43"/>
      <c r="AS239" s="43"/>
      <c r="AT239" s="43"/>
      <c r="AU239" s="43"/>
      <c r="AV239" s="42"/>
      <c r="AW239" s="42"/>
      <c r="AX239" s="42"/>
      <c r="AY239" s="42"/>
      <c r="AZ239" s="42"/>
      <c r="BA239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"B2M-OAG N2"
Application Service: "MOB"
Lifecycle: "PFB"</v>
      </c>
      <c r="BB239" s="78" t="s">
        <v>586</v>
      </c>
      <c r="BC239" s="42" t="str">
        <f>VLOOKUP(VmSpecs[[#This Row],[Original Hostname (CMO)]],'SSOT Data'!A:AJ,36,FALSE)</f>
        <v>B2M-OAG N2</v>
      </c>
      <c r="BD239" s="126">
        <f>VLOOKUP(VmSpecs[[#This Row],[Original Hostname (CMO)]],'SSOT Data'!A:AQ,43,FALSE)</f>
        <v>1</v>
      </c>
    </row>
    <row r="240" spans="1:56" ht="29" x14ac:dyDescent="0.35">
      <c r="A240" s="78" t="s">
        <v>58</v>
      </c>
      <c r="B240" s="42" t="str">
        <f>_xlfn.XLOOKUP(VmSpecs[[#This Row],[Subnet]],NetworkReference[Subnet],NetworkReference[Subscription])</f>
        <v>NINP-PERF2</v>
      </c>
      <c r="C240" s="43" t="str">
        <f>_xlfn.XLOOKUP(VmSpecs[[#This Row],[Subnet]],NetworkReference[Subnet],NetworkReference[Virtual Network Resource Group])</f>
        <v>rg-pf2-network-aue-001</v>
      </c>
      <c r="D240" s="43" t="str">
        <f>_xlfn.XLOOKUP(VmSpecs[[#This Row],[Subnet]],NetworkReference[Subnet],NetworkReference[Virtual Network])</f>
        <v>vnet-pf2-workload-aue-001</v>
      </c>
      <c r="E240" s="132" t="s">
        <v>489</v>
      </c>
      <c r="F240" s="43" t="str">
        <f>_xlfn.XLOOKUP(VmSpecs[[#This Row],[Subnet]],NetworkReference[Subnet],NetworkReference[Virtual Network Peering])</f>
        <v>vnet-ninp-conn-pnp-hub-aue</v>
      </c>
      <c r="G240" s="43" t="str">
        <f>_xlfn.XLOOKUP(VmSpecs[[#This Row],[Subnet]],NetworkReference[Subnet],NetworkReference[Route Table])</f>
        <v>rt-sn-pfb-aue-pf2-web</v>
      </c>
      <c r="H240" s="43" t="str">
        <f>LOWER(VLOOKUP(VmSpecs[[#This Row],[Original Hostname (CMO)]],'SSOT Data'!A:K,10,FALSE))</f>
        <v>nes</v>
      </c>
      <c r="I24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40" s="44" t="s">
        <v>60</v>
      </c>
      <c r="K240" s="43" t="str">
        <f>_xlfn.CONCAT("vm",MID(VmSpecs[[#This Row],[Subnet]],4,3),VLOOKUP(VmSpecs[[#This Row],[Subscription]],NetworkReference[#All],2,FALSE),VmSpecs[[#This Row],[Service]],VmSpecs[[#This Row],[VM iteration (nn)]])</f>
        <v>vmpfbpf2nes01</v>
      </c>
      <c r="L240" s="45" t="s">
        <v>61</v>
      </c>
      <c r="M240" s="43" t="str">
        <f>VmSpecs[[#This Row],[VM Name]]&amp;".ninp.myhealthrecord.gov.au"</f>
        <v>vmpfbpf2nes01.ninp.myhealthrecord.gov.au</v>
      </c>
      <c r="N240" s="42" t="str">
        <f t="shared" si="3"/>
        <v>nic-001-vmpfbpf2nes01</v>
      </c>
      <c r="O240" s="106" t="s">
        <v>587</v>
      </c>
      <c r="P240" s="46" t="s">
        <v>63</v>
      </c>
      <c r="Q240" s="42" t="str">
        <f>VLOOKUP(VmSpecs[[#This Row],[Original Hostname (CMO)]],'SSOT Data'!A:E,5,FALSE)</f>
        <v>OEL7.9</v>
      </c>
      <c r="R240" s="42"/>
      <c r="S240" s="42" t="str">
        <f>_xlfn.CONCAT("avail-",LEFT(VmSpecs[[#This Row],[VM Name]],LEN(VmSpecs[[#This Row],[VM Name]])-2),"-01")</f>
        <v>avail-vmpfbpf2nes-01</v>
      </c>
      <c r="T240" s="42" t="str">
        <f>_xlfn.CONCAT("asg-",LEFT(VmSpecs[[#This Row],[VM Name]],LEN(VmSpecs[[#This Row],[VM Name]])-2))</f>
        <v>asg-vmpfbpf2nes</v>
      </c>
      <c r="U240" s="42" t="str">
        <f>_xlfn.CONCAT("nsg-",VmSpecs[[#This Row],[Subnet]])</f>
        <v>nsg-sn-pfb-aue-pf2-web</v>
      </c>
      <c r="V240" s="42"/>
      <c r="W240" s="43" t="str">
        <f>VLOOKUP(VmSpecs[[#This Row],[Original Hostname (CMO)]],'SSOT Data'!A:AX,50,FALSE)</f>
        <v>Standard_D4s_v4</v>
      </c>
      <c r="X240" s="43">
        <v>64</v>
      </c>
      <c r="Y240" s="43" t="s">
        <v>65</v>
      </c>
      <c r="Z240" s="43" t="str">
        <f>"osdisk-"&amp;VmSpecs[[#This Row],[VM Name]]</f>
        <v>osdisk-vmpfbpf2nes01</v>
      </c>
      <c r="AA240" s="47" t="s">
        <v>66</v>
      </c>
      <c r="AB240" s="73">
        <v>8</v>
      </c>
      <c r="AC240" s="74" t="s">
        <v>65</v>
      </c>
      <c r="AD240" s="84" t="str">
        <f>"disk-"&amp;VmSpecs[[#This Row],[VM Name]]&amp;"-001"</f>
        <v>disk-vmpfbpf2nes01-001</v>
      </c>
      <c r="AE240" s="73">
        <v>32</v>
      </c>
      <c r="AF240" s="74" t="s">
        <v>65</v>
      </c>
      <c r="AG240" s="85" t="str">
        <f>"disk-"&amp;VmSpecs[[#This Row],[VM Name]]&amp;"-002"</f>
        <v>disk-vmpfbpf2nes01-002</v>
      </c>
      <c r="AH240" s="59"/>
      <c r="AI240" s="42"/>
      <c r="AJ240" s="42"/>
      <c r="AK240" s="42"/>
      <c r="AL240" s="42" t="str">
        <f>MID(VmSpecs[[#This Row],[VM Name]],3,9)</f>
        <v>pfbpf2nes</v>
      </c>
      <c r="AM240" s="42" t="str" cm="1">
        <f t="array" ref="AM240">_xlfn.TEXTJOIN(CHAR(10), TRUE, IF(NfsExports[FMO Single VM IP]=VmSpecs[[#This Row],[IP]],NfsExports[FMO Export Summary],""))</f>
        <v>/apps/pcehr 30GB
/opt 30GB</v>
      </c>
      <c r="AN240" s="43" t="str" cm="1">
        <f t="array" ref="AN24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40" s="42"/>
      <c r="AP240" s="42" t="str">
        <f>VmSpecs[[#This Row],[Description]]</f>
        <v>Nessus Scanner</v>
      </c>
      <c r="AQ240" s="43"/>
      <c r="AR240" s="43" t="s">
        <v>64</v>
      </c>
      <c r="AS240" s="43" t="s">
        <v>64</v>
      </c>
      <c r="AT240" s="43" t="s">
        <v>64</v>
      </c>
      <c r="AU240" s="43" t="s">
        <v>64</v>
      </c>
      <c r="AV240" s="42" t="s">
        <v>66</v>
      </c>
      <c r="AW240" s="42" t="s">
        <v>67</v>
      </c>
      <c r="AX240" s="42" t="s">
        <v>68</v>
      </c>
      <c r="AY240" s="42" t="s">
        <v>64</v>
      </c>
      <c r="AZ240" s="42" t="s">
        <v>64</v>
      </c>
      <c r="BA24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"Nessus Scanner"
Application Service: "NES"
Lifecycle: "PFB"</v>
      </c>
      <c r="BB240" s="78" t="s">
        <v>588</v>
      </c>
      <c r="BC240" s="42" t="str">
        <f>VLOOKUP(VmSpecs[[#This Row],[Original Hostname (CMO)]],'SSOT Data'!A:AJ,36,FALSE)</f>
        <v>Nessus Scanner</v>
      </c>
      <c r="BD240" s="43" t="s">
        <v>287</v>
      </c>
    </row>
    <row r="241" spans="1:56" ht="43.5" x14ac:dyDescent="0.35">
      <c r="A241" s="78" t="s">
        <v>58</v>
      </c>
      <c r="B241" s="42" t="str">
        <f>_xlfn.XLOOKUP(VmSpecs[[#This Row],[Subnet]],NetworkReference[Subnet],NetworkReference[Subscription])</f>
        <v>NINP-PERF2</v>
      </c>
      <c r="C241" s="43" t="str">
        <f>_xlfn.XLOOKUP(VmSpecs[[#This Row],[Subnet]],NetworkReference[Subnet],NetworkReference[Virtual Network Resource Group])</f>
        <v>rg-pf2-network-aue-001</v>
      </c>
      <c r="D241" s="43" t="str">
        <f>_xlfn.XLOOKUP(VmSpecs[[#This Row],[Subnet]],NetworkReference[Subnet],NetworkReference[Virtual Network])</f>
        <v>vnet-pf2-workload-aue-001</v>
      </c>
      <c r="E241" s="132" t="s">
        <v>489</v>
      </c>
      <c r="F241" s="43" t="str">
        <f>_xlfn.XLOOKUP(VmSpecs[[#This Row],[Subnet]],NetworkReference[Subnet],NetworkReference[Virtual Network Peering])</f>
        <v>vnet-ninp-conn-pnp-hub-aue</v>
      </c>
      <c r="G241" s="43" t="str">
        <f>_xlfn.XLOOKUP(VmSpecs[[#This Row],[Subnet]],NetworkReference[Subnet],NetworkReference[Route Table])</f>
        <v>rt-sn-pfb-aue-pf2-web</v>
      </c>
      <c r="H241" s="43" t="str">
        <f>LOWER(VLOOKUP(VmSpecs[[#This Row],[Original Hostname (CMO)]],'SSOT Data'!A:K,10,FALSE))</f>
        <v>oag</v>
      </c>
      <c r="I24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41" s="44" t="s">
        <v>60</v>
      </c>
      <c r="K241" s="43" t="str">
        <f>_xlfn.CONCAT("vm",MID(VmSpecs[[#This Row],[Subnet]],4,3),VLOOKUP(VmSpecs[[#This Row],[Subscription]],NetworkReference[#All],2,FALSE),VmSpecs[[#This Row],[Service]],VmSpecs[[#This Row],[VM iteration (nn)]])</f>
        <v>vmpfbpf2oag01</v>
      </c>
      <c r="L241" s="45" t="s">
        <v>61</v>
      </c>
      <c r="M241" s="43" t="str">
        <f>VmSpecs[[#This Row],[VM Name]]&amp;".ninp.myhealthrecord.gov.au"</f>
        <v>vmpfbpf2oag01.ninp.myhealthrecord.gov.au</v>
      </c>
      <c r="N241" s="42" t="str">
        <f t="shared" si="3"/>
        <v>nic-001-vmpfbpf2oag01</v>
      </c>
      <c r="O241" s="106" t="s">
        <v>589</v>
      </c>
      <c r="P241" s="46" t="s">
        <v>63</v>
      </c>
      <c r="Q241" s="42" t="str">
        <f>VLOOKUP(VmSpecs[[#This Row],[Original Hostname (CMO)]],'SSOT Data'!A:E,5,FALSE)</f>
        <v>OEL6.10</v>
      </c>
      <c r="R241" s="42"/>
      <c r="S241" s="42" t="str">
        <f>_xlfn.CONCAT("avail-",LEFT(VmSpecs[[#This Row],[VM Name]],LEN(VmSpecs[[#This Row],[VM Name]])-2))</f>
        <v>avail-vmpfbpf2oag</v>
      </c>
      <c r="T241" s="42" t="str">
        <f>_xlfn.CONCAT("asg-",LEFT(VmSpecs[[#This Row],[VM Name]],LEN(VmSpecs[[#This Row],[VM Name]])-2))</f>
        <v>asg-vmpfbpf2oag</v>
      </c>
      <c r="U241" s="42" t="str">
        <f>_xlfn.CONCAT("nsg-",VmSpecs[[#This Row],[Subnet]])</f>
        <v>nsg-sn-pfb-aue-pf2-web</v>
      </c>
      <c r="V241" s="42" t="s">
        <v>64</v>
      </c>
      <c r="W241" s="43" t="str">
        <f>VLOOKUP(VmSpecs[[#This Row],[Original Hostname (CMO)]],'SSOT Data'!A:AX,50,FALSE)</f>
        <v>Standard_D8s_v4</v>
      </c>
      <c r="X241" s="43">
        <v>64</v>
      </c>
      <c r="Y241" s="43" t="s">
        <v>65</v>
      </c>
      <c r="Z241" s="43" t="str">
        <f>"osdisk-"&amp;VmSpecs[[#This Row],[VM Name]]</f>
        <v>osdisk-vmpfbpf2oag01</v>
      </c>
      <c r="AA241" s="47" t="s">
        <v>66</v>
      </c>
      <c r="AB241" s="73">
        <v>8</v>
      </c>
      <c r="AC241" s="74" t="s">
        <v>65</v>
      </c>
      <c r="AD241" s="84" t="str">
        <f>"disk-"&amp;VmSpecs[[#This Row],[VM Name]]&amp;"-001"</f>
        <v>disk-vmpfbpf2oag01-001</v>
      </c>
      <c r="AE241" s="73">
        <v>32</v>
      </c>
      <c r="AF241" s="74" t="s">
        <v>65</v>
      </c>
      <c r="AG241" s="85" t="str">
        <f>"disk-"&amp;VmSpecs[[#This Row],[VM Name]]&amp;"-002"</f>
        <v>disk-vmpfbpf2oag01-002</v>
      </c>
      <c r="AH241" s="59" t="s">
        <v>285</v>
      </c>
      <c r="AI241" s="42"/>
      <c r="AJ241" s="42"/>
      <c r="AK241" s="42"/>
      <c r="AL241" s="42" t="str">
        <f>MID(VmSpecs[[#This Row],[VM Name]],3,9)</f>
        <v>pfbpf2oag</v>
      </c>
      <c r="AM241" s="43" t="str" cm="1">
        <f t="array" ref="AM241">_xlfn.TEXTJOIN(CHAR(10), TRUE, IF(NfsExports[FMO Single VM IP]=VmSpecs[[#This Row],[IP]],NfsExports[FMO Export Summary],""))</f>
        <v>/apps/pcehr 40GB</v>
      </c>
      <c r="AN241" s="43" t="str" cm="1">
        <f t="array" ref="AN24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
/apps/nfs/t2_shareq_pfb 15GB</v>
      </c>
      <c r="AO241" s="42"/>
      <c r="AP241" s="42" t="str">
        <f>VmSpecs[[#This Row],[Description]]</f>
        <v>B2B-OAG N1</v>
      </c>
      <c r="AQ241" s="43"/>
      <c r="AR241" s="43" t="s">
        <v>64</v>
      </c>
      <c r="AS241" s="43" t="s">
        <v>64</v>
      </c>
      <c r="AT241" s="43" t="s">
        <v>64</v>
      </c>
      <c r="AU241" s="43" t="s">
        <v>64</v>
      </c>
      <c r="AV241" s="42" t="s">
        <v>66</v>
      </c>
      <c r="AW241" s="42" t="s">
        <v>67</v>
      </c>
      <c r="AX241" s="42" t="s">
        <v>68</v>
      </c>
      <c r="AY241" s="42" t="s">
        <v>64</v>
      </c>
      <c r="AZ241" s="42" t="s">
        <v>64</v>
      </c>
      <c r="BA24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"B2B-OAG N1"
Application Service: "OAG"
Lifecycle: "PFB"</v>
      </c>
      <c r="BB241" s="78" t="s">
        <v>590</v>
      </c>
      <c r="BC241" s="42" t="str">
        <f>VLOOKUP(VmSpecs[[#This Row],[Original Hostname (CMO)]],'SSOT Data'!A:AJ,36,FALSE)</f>
        <v>B2B-OAG N1</v>
      </c>
      <c r="BD241" s="43"/>
    </row>
    <row r="242" spans="1:56" ht="43.5" x14ac:dyDescent="0.35">
      <c r="A242" s="78" t="s">
        <v>58</v>
      </c>
      <c r="B242" s="42" t="str">
        <f>_xlfn.XLOOKUP(VmSpecs[[#This Row],[Subnet]],NetworkReference[Subnet],NetworkReference[Subscription])</f>
        <v>NINP-PERF2</v>
      </c>
      <c r="C242" s="43" t="str">
        <f>_xlfn.XLOOKUP(VmSpecs[[#This Row],[Subnet]],NetworkReference[Subnet],NetworkReference[Virtual Network Resource Group])</f>
        <v>rg-pf2-network-aue-001</v>
      </c>
      <c r="D242" s="43" t="str">
        <f>_xlfn.XLOOKUP(VmSpecs[[#This Row],[Subnet]],NetworkReference[Subnet],NetworkReference[Virtual Network])</f>
        <v>vnet-pf2-workload-aue-001</v>
      </c>
      <c r="E242" s="132" t="s">
        <v>489</v>
      </c>
      <c r="F242" s="43" t="str">
        <f>_xlfn.XLOOKUP(VmSpecs[[#This Row],[Subnet]],NetworkReference[Subnet],NetworkReference[Virtual Network Peering])</f>
        <v>vnet-ninp-conn-pnp-hub-aue</v>
      </c>
      <c r="G242" s="43" t="str">
        <f>_xlfn.XLOOKUP(VmSpecs[[#This Row],[Subnet]],NetworkReference[Subnet],NetworkReference[Route Table])</f>
        <v>rt-sn-pfb-aue-pf2-web</v>
      </c>
      <c r="H242" s="43" t="str">
        <f>LOWER(VLOOKUP(VmSpecs[[#This Row],[Original Hostname (CMO)]],'SSOT Data'!A:K,10,FALSE))</f>
        <v>oag</v>
      </c>
      <c r="I24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42" s="44" t="s">
        <v>72</v>
      </c>
      <c r="K242" s="43" t="str">
        <f>_xlfn.CONCAT("vm",MID(VmSpecs[[#This Row],[Subnet]],4,3),VLOOKUP(VmSpecs[[#This Row],[Subscription]],NetworkReference[#All],2,FALSE),VmSpecs[[#This Row],[Service]],VmSpecs[[#This Row],[VM iteration (nn)]])</f>
        <v>vmpfbpf2oag02</v>
      </c>
      <c r="L242" s="45" t="s">
        <v>61</v>
      </c>
      <c r="M242" s="43" t="str">
        <f>VmSpecs[[#This Row],[VM Name]]&amp;".ninp.myhealthrecord.gov.au"</f>
        <v>vmpfbpf2oag02.ninp.myhealthrecord.gov.au</v>
      </c>
      <c r="N242" s="42" t="str">
        <f t="shared" si="3"/>
        <v>nic-001-vmpfbpf2oag02</v>
      </c>
      <c r="O242" s="106" t="s">
        <v>591</v>
      </c>
      <c r="P242" s="46" t="s">
        <v>63</v>
      </c>
      <c r="Q242" s="42" t="str">
        <f>VLOOKUP(VmSpecs[[#This Row],[Original Hostname (CMO)]],'SSOT Data'!A:E,5,FALSE)</f>
        <v>OEL6.10</v>
      </c>
      <c r="R242" s="42"/>
      <c r="S242" s="42" t="str">
        <f>_xlfn.CONCAT("avail-",LEFT(VmSpecs[[#This Row],[VM Name]],LEN(VmSpecs[[#This Row],[VM Name]])-2))</f>
        <v>avail-vmpfbpf2oag</v>
      </c>
      <c r="T242" s="42" t="str">
        <f>_xlfn.CONCAT("asg-",LEFT(VmSpecs[[#This Row],[VM Name]],LEN(VmSpecs[[#This Row],[VM Name]])-2))</f>
        <v>asg-vmpfbpf2oag</v>
      </c>
      <c r="U242" s="42" t="str">
        <f>_xlfn.CONCAT("nsg-",VmSpecs[[#This Row],[Subnet]])</f>
        <v>nsg-sn-pfb-aue-pf2-web</v>
      </c>
      <c r="V242" s="42" t="s">
        <v>64</v>
      </c>
      <c r="W242" s="43" t="str">
        <f>VLOOKUP(VmSpecs[[#This Row],[Original Hostname (CMO)]],'SSOT Data'!A:AX,50,FALSE)</f>
        <v>Standard_D8s_v4</v>
      </c>
      <c r="X242" s="43">
        <v>64</v>
      </c>
      <c r="Y242" s="43" t="s">
        <v>65</v>
      </c>
      <c r="Z242" s="43" t="str">
        <f>"osdisk-"&amp;VmSpecs[[#This Row],[VM Name]]</f>
        <v>osdisk-vmpfbpf2oag02</v>
      </c>
      <c r="AA242" s="47" t="s">
        <v>66</v>
      </c>
      <c r="AB242" s="73">
        <v>8</v>
      </c>
      <c r="AC242" s="74" t="s">
        <v>65</v>
      </c>
      <c r="AD242" s="84" t="str">
        <f>"disk-"&amp;VmSpecs[[#This Row],[VM Name]]&amp;"-001"</f>
        <v>disk-vmpfbpf2oag02-001</v>
      </c>
      <c r="AE242" s="73">
        <v>32</v>
      </c>
      <c r="AF242" s="74" t="s">
        <v>65</v>
      </c>
      <c r="AG242" s="85" t="str">
        <f>"disk-"&amp;VmSpecs[[#This Row],[VM Name]]&amp;"-002"</f>
        <v>disk-vmpfbpf2oag02-002</v>
      </c>
      <c r="AH242" s="59" t="s">
        <v>285</v>
      </c>
      <c r="AI242" s="42"/>
      <c r="AJ242" s="42"/>
      <c r="AK242" s="42"/>
      <c r="AL242" s="42" t="str">
        <f>MID(VmSpecs[[#This Row],[VM Name]],3,9)</f>
        <v>pfbpf2oag</v>
      </c>
      <c r="AM242" s="43" t="str" cm="1">
        <f t="array" ref="AM242">_xlfn.TEXTJOIN(CHAR(10), TRUE, IF(NfsExports[FMO Single VM IP]=VmSpecs[[#This Row],[IP]],NfsExports[FMO Export Summary],""))</f>
        <v>/apps/pcehr 40GB</v>
      </c>
      <c r="AN242" s="43" t="str" cm="1">
        <f t="array" ref="AN24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
/apps/nfs/t2_shareq_pfb 15GB</v>
      </c>
      <c r="AO242" s="42"/>
      <c r="AP242" s="42" t="str">
        <f>VmSpecs[[#This Row],[Description]]</f>
        <v>B2B-OAG N2</v>
      </c>
      <c r="AQ242" s="43"/>
      <c r="AR242" s="43" t="s">
        <v>64</v>
      </c>
      <c r="AS242" s="43" t="s">
        <v>64</v>
      </c>
      <c r="AT242" s="43" t="s">
        <v>64</v>
      </c>
      <c r="AU242" s="43" t="s">
        <v>64</v>
      </c>
      <c r="AV242" s="42" t="s">
        <v>66</v>
      </c>
      <c r="AW242" s="42" t="s">
        <v>67</v>
      </c>
      <c r="AX242" s="42" t="s">
        <v>68</v>
      </c>
      <c r="AY242" s="42" t="s">
        <v>64</v>
      </c>
      <c r="AZ242" s="42" t="s">
        <v>64</v>
      </c>
      <c r="BA24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"B2B-OAG N2"
Application Service: "OAG"
Lifecycle: "PFB"</v>
      </c>
      <c r="BB242" s="78" t="s">
        <v>592</v>
      </c>
      <c r="BC242" s="42" t="str">
        <f>VLOOKUP(VmSpecs[[#This Row],[Original Hostname (CMO)]],'SSOT Data'!A:AJ,36,FALSE)</f>
        <v>B2B-OAG N2</v>
      </c>
      <c r="BD242" s="43"/>
    </row>
    <row r="243" spans="1:56" ht="43.5" x14ac:dyDescent="0.35">
      <c r="A243" s="78" t="s">
        <v>58</v>
      </c>
      <c r="B243" s="42" t="str">
        <f>_xlfn.XLOOKUP(VmSpecs[[#This Row],[Subnet]],NetworkReference[Subnet],NetworkReference[Subscription])</f>
        <v>NINP-PERF2</v>
      </c>
      <c r="C243" s="43" t="str">
        <f>_xlfn.XLOOKUP(VmSpecs[[#This Row],[Subnet]],NetworkReference[Subnet],NetworkReference[Virtual Network Resource Group])</f>
        <v>rg-pf2-network-aue-001</v>
      </c>
      <c r="D243" s="43" t="str">
        <f>_xlfn.XLOOKUP(VmSpecs[[#This Row],[Subnet]],NetworkReference[Subnet],NetworkReference[Virtual Network])</f>
        <v>vnet-pf2-workload-aue-001</v>
      </c>
      <c r="E243" s="132" t="s">
        <v>489</v>
      </c>
      <c r="F243" s="43" t="str">
        <f>_xlfn.XLOOKUP(VmSpecs[[#This Row],[Subnet]],NetworkReference[Subnet],NetworkReference[Virtual Network Peering])</f>
        <v>vnet-ninp-conn-pnp-hub-aue</v>
      </c>
      <c r="G243" s="43" t="str">
        <f>_xlfn.XLOOKUP(VmSpecs[[#This Row],[Subnet]],NetworkReference[Subnet],NetworkReference[Route Table])</f>
        <v>rt-sn-pfb-aue-pf2-web</v>
      </c>
      <c r="H243" s="43" t="str">
        <f>LOWER(VLOOKUP(VmSpecs[[#This Row],[Original Hostname (CMO)]],'SSOT Data'!A:K,10,FALSE))</f>
        <v>oag</v>
      </c>
      <c r="I24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43" s="44" t="s">
        <v>75</v>
      </c>
      <c r="K243" s="43" t="str">
        <f>_xlfn.CONCAT("vm",MID(VmSpecs[[#This Row],[Subnet]],4,3),VLOOKUP(VmSpecs[[#This Row],[Subscription]],NetworkReference[#All],2,FALSE),VmSpecs[[#This Row],[Service]],VmSpecs[[#This Row],[VM iteration (nn)]])</f>
        <v>vmpfbpf2oag03</v>
      </c>
      <c r="L243" s="45" t="s">
        <v>61</v>
      </c>
      <c r="M243" s="43" t="str">
        <f>VmSpecs[[#This Row],[VM Name]]&amp;".ninp.myhealthrecord.gov.au"</f>
        <v>vmpfbpf2oag03.ninp.myhealthrecord.gov.au</v>
      </c>
      <c r="N243" s="42" t="str">
        <f t="shared" si="3"/>
        <v>nic-001-vmpfbpf2oag03</v>
      </c>
      <c r="O243" s="106" t="s">
        <v>593</v>
      </c>
      <c r="P243" s="46" t="s">
        <v>63</v>
      </c>
      <c r="Q243" s="42" t="str">
        <f>VLOOKUP(VmSpecs[[#This Row],[Original Hostname (CMO)]],'SSOT Data'!A:E,5,FALSE)</f>
        <v>OEL6.10</v>
      </c>
      <c r="R243" s="42"/>
      <c r="S243" s="42" t="str">
        <f>_xlfn.CONCAT("avail-",LEFT(VmSpecs[[#This Row],[VM Name]],LEN(VmSpecs[[#This Row],[VM Name]])-2))</f>
        <v>avail-vmpfbpf2oag</v>
      </c>
      <c r="T243" s="42" t="str">
        <f>_xlfn.CONCAT("asg-",LEFT(VmSpecs[[#This Row],[VM Name]],LEN(VmSpecs[[#This Row],[VM Name]])-2))</f>
        <v>asg-vmpfbpf2oag</v>
      </c>
      <c r="U243" s="42" t="str">
        <f>_xlfn.CONCAT("nsg-",VmSpecs[[#This Row],[Subnet]])</f>
        <v>nsg-sn-pfb-aue-pf2-web</v>
      </c>
      <c r="V243" s="42" t="s">
        <v>64</v>
      </c>
      <c r="W243" s="43" t="str">
        <f>VLOOKUP(VmSpecs[[#This Row],[Original Hostname (CMO)]],'SSOT Data'!A:AX,50,FALSE)</f>
        <v>Standard_D8s_v4</v>
      </c>
      <c r="X243" s="43">
        <v>64</v>
      </c>
      <c r="Y243" s="43" t="s">
        <v>65</v>
      </c>
      <c r="Z243" s="43" t="str">
        <f>"osdisk-"&amp;VmSpecs[[#This Row],[VM Name]]</f>
        <v>osdisk-vmpfbpf2oag03</v>
      </c>
      <c r="AA243" s="47" t="s">
        <v>66</v>
      </c>
      <c r="AB243" s="73">
        <v>8</v>
      </c>
      <c r="AC243" s="74" t="s">
        <v>65</v>
      </c>
      <c r="AD243" s="84" t="str">
        <f>"disk-"&amp;VmSpecs[[#This Row],[VM Name]]&amp;"-001"</f>
        <v>disk-vmpfbpf2oag03-001</v>
      </c>
      <c r="AE243" s="73">
        <v>32</v>
      </c>
      <c r="AF243" s="74" t="s">
        <v>65</v>
      </c>
      <c r="AG243" s="85" t="str">
        <f>"disk-"&amp;VmSpecs[[#This Row],[VM Name]]&amp;"-002"</f>
        <v>disk-vmpfbpf2oag03-002</v>
      </c>
      <c r="AH243" s="59" t="s">
        <v>285</v>
      </c>
      <c r="AI243" s="42"/>
      <c r="AJ243" s="42"/>
      <c r="AK243" s="42"/>
      <c r="AL243" s="42" t="str">
        <f>MID(VmSpecs[[#This Row],[VM Name]],3,9)</f>
        <v>pfbpf2oag</v>
      </c>
      <c r="AM243" s="43" t="str" cm="1">
        <f t="array" ref="AM243">_xlfn.TEXTJOIN(CHAR(10), TRUE, IF(NfsExports[FMO Single VM IP]=VmSpecs[[#This Row],[IP]],NfsExports[FMO Export Summary],""))</f>
        <v>/apps/pcehr 40GB</v>
      </c>
      <c r="AN243" s="43" t="str" cm="1">
        <f t="array" ref="AN24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
/apps/nfs/t2_shareq_pfb 15GB</v>
      </c>
      <c r="AO243" s="42"/>
      <c r="AP243" s="42" t="str">
        <f>VmSpecs[[#This Row],[Description]]</f>
        <v>B2B-OAG N3</v>
      </c>
      <c r="AQ243" s="43"/>
      <c r="AR243" s="43" t="s">
        <v>64</v>
      </c>
      <c r="AS243" s="43" t="s">
        <v>64</v>
      </c>
      <c r="AT243" s="43" t="s">
        <v>64</v>
      </c>
      <c r="AU243" s="43" t="s">
        <v>64</v>
      </c>
      <c r="AV243" s="42" t="s">
        <v>66</v>
      </c>
      <c r="AW243" s="42" t="s">
        <v>67</v>
      </c>
      <c r="AX243" s="42" t="s">
        <v>68</v>
      </c>
      <c r="AY243" s="42" t="s">
        <v>64</v>
      </c>
      <c r="AZ243" s="42" t="s">
        <v>64</v>
      </c>
      <c r="BA24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"B2B-OAG N3"
Application Service: "OAG"
Lifecycle: "PFB"</v>
      </c>
      <c r="BB243" s="78" t="s">
        <v>594</v>
      </c>
      <c r="BC243" s="42" t="str">
        <f>VLOOKUP(VmSpecs[[#This Row],[Original Hostname (CMO)]],'SSOT Data'!A:AJ,36,FALSE)</f>
        <v>B2B-OAG N3</v>
      </c>
      <c r="BD243" s="43"/>
    </row>
    <row r="244" spans="1:56" ht="43.5" x14ac:dyDescent="0.35">
      <c r="A244" s="78" t="s">
        <v>58</v>
      </c>
      <c r="B244" s="42" t="str">
        <f>_xlfn.XLOOKUP(VmSpecs[[#This Row],[Subnet]],NetworkReference[Subnet],NetworkReference[Subscription])</f>
        <v>NINP-PERF2</v>
      </c>
      <c r="C244" s="43" t="str">
        <f>_xlfn.XLOOKUP(VmSpecs[[#This Row],[Subnet]],NetworkReference[Subnet],NetworkReference[Virtual Network Resource Group])</f>
        <v>rg-pf2-network-aue-001</v>
      </c>
      <c r="D244" s="43" t="str">
        <f>_xlfn.XLOOKUP(VmSpecs[[#This Row],[Subnet]],NetworkReference[Subnet],NetworkReference[Virtual Network])</f>
        <v>vnet-pf2-workload-aue-001</v>
      </c>
      <c r="E244" s="132" t="s">
        <v>489</v>
      </c>
      <c r="F244" s="43" t="str">
        <f>_xlfn.XLOOKUP(VmSpecs[[#This Row],[Subnet]],NetworkReference[Subnet],NetworkReference[Virtual Network Peering])</f>
        <v>vnet-ninp-conn-pnp-hub-aue</v>
      </c>
      <c r="G244" s="43" t="str">
        <f>_xlfn.XLOOKUP(VmSpecs[[#This Row],[Subnet]],NetworkReference[Subnet],NetworkReference[Route Table])</f>
        <v>rt-sn-pfb-aue-pf2-web</v>
      </c>
      <c r="H244" s="43" t="str">
        <f>LOWER(VLOOKUP(VmSpecs[[#This Row],[Original Hostname (CMO)]],'SSOT Data'!A:K,10,FALSE))</f>
        <v>oag</v>
      </c>
      <c r="I24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44" s="44" t="s">
        <v>78</v>
      </c>
      <c r="K244" s="43" t="str">
        <f>_xlfn.CONCAT("vm",MID(VmSpecs[[#This Row],[Subnet]],4,3),VLOOKUP(VmSpecs[[#This Row],[Subscription]],NetworkReference[#All],2,FALSE),VmSpecs[[#This Row],[Service]],VmSpecs[[#This Row],[VM iteration (nn)]])</f>
        <v>vmpfbpf2oag04</v>
      </c>
      <c r="L244" s="45" t="s">
        <v>61</v>
      </c>
      <c r="M244" s="43" t="str">
        <f>VmSpecs[[#This Row],[VM Name]]&amp;".ninp.myhealthrecord.gov.au"</f>
        <v>vmpfbpf2oag04.ninp.myhealthrecord.gov.au</v>
      </c>
      <c r="N244" s="42" t="str">
        <f t="shared" si="3"/>
        <v>nic-001-vmpfbpf2oag04</v>
      </c>
      <c r="O244" s="106" t="s">
        <v>595</v>
      </c>
      <c r="P244" s="46" t="s">
        <v>63</v>
      </c>
      <c r="Q244" s="42" t="str">
        <f>VLOOKUP(VmSpecs[[#This Row],[Original Hostname (CMO)]],'SSOT Data'!A:E,5,FALSE)</f>
        <v>OEL6.10</v>
      </c>
      <c r="R244" s="42"/>
      <c r="S244" s="42" t="str">
        <f>_xlfn.CONCAT("avail-",LEFT(VmSpecs[[#This Row],[VM Name]],LEN(VmSpecs[[#This Row],[VM Name]])-2))</f>
        <v>avail-vmpfbpf2oag</v>
      </c>
      <c r="T244" s="42" t="str">
        <f>_xlfn.CONCAT("asg-",LEFT(VmSpecs[[#This Row],[VM Name]],LEN(VmSpecs[[#This Row],[VM Name]])-2))</f>
        <v>asg-vmpfbpf2oag</v>
      </c>
      <c r="U244" s="42" t="str">
        <f>_xlfn.CONCAT("nsg-",VmSpecs[[#This Row],[Subnet]])</f>
        <v>nsg-sn-pfb-aue-pf2-web</v>
      </c>
      <c r="V244" s="42" t="s">
        <v>64</v>
      </c>
      <c r="W244" s="43" t="str">
        <f>VLOOKUP(VmSpecs[[#This Row],[Original Hostname (CMO)]],'SSOT Data'!A:AX,50,FALSE)</f>
        <v>Standard_D8s_v4</v>
      </c>
      <c r="X244" s="43">
        <v>64</v>
      </c>
      <c r="Y244" s="43" t="s">
        <v>65</v>
      </c>
      <c r="Z244" s="43" t="str">
        <f>"osdisk-"&amp;VmSpecs[[#This Row],[VM Name]]</f>
        <v>osdisk-vmpfbpf2oag04</v>
      </c>
      <c r="AA244" s="47" t="s">
        <v>66</v>
      </c>
      <c r="AB244" s="73">
        <v>8</v>
      </c>
      <c r="AC244" s="74" t="s">
        <v>65</v>
      </c>
      <c r="AD244" s="84" t="str">
        <f>"disk-"&amp;VmSpecs[[#This Row],[VM Name]]&amp;"-001"</f>
        <v>disk-vmpfbpf2oag04-001</v>
      </c>
      <c r="AE244" s="73">
        <v>32</v>
      </c>
      <c r="AF244" s="74" t="s">
        <v>65</v>
      </c>
      <c r="AG244" s="85" t="str">
        <f>"disk-"&amp;VmSpecs[[#This Row],[VM Name]]&amp;"-002"</f>
        <v>disk-vmpfbpf2oag04-002</v>
      </c>
      <c r="AH244" s="59" t="s">
        <v>285</v>
      </c>
      <c r="AI244" s="42"/>
      <c r="AJ244" s="42"/>
      <c r="AK244" s="42"/>
      <c r="AL244" s="42" t="str">
        <f>MID(VmSpecs[[#This Row],[VM Name]],3,9)</f>
        <v>pfbpf2oag</v>
      </c>
      <c r="AM244" s="43" t="str" cm="1">
        <f t="array" ref="AM244">_xlfn.TEXTJOIN(CHAR(10), TRUE, IF(NfsExports[FMO Single VM IP]=VmSpecs[[#This Row],[IP]],NfsExports[FMO Export Summary],""))</f>
        <v>/apps/pcehr 40GB</v>
      </c>
      <c r="AN244" s="43" t="str" cm="1">
        <f t="array" ref="AN24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
/apps/nfs/t2_shareq_pfb 15GB</v>
      </c>
      <c r="AO244" s="42"/>
      <c r="AP244" s="42" t="str">
        <f>VmSpecs[[#This Row],[Description]]</f>
        <v>B2B-OAG N4</v>
      </c>
      <c r="AQ244" s="43"/>
      <c r="AR244" s="43" t="s">
        <v>64</v>
      </c>
      <c r="AS244" s="43" t="s">
        <v>64</v>
      </c>
      <c r="AT244" s="43" t="s">
        <v>64</v>
      </c>
      <c r="AU244" s="43" t="s">
        <v>64</v>
      </c>
      <c r="AV244" s="42" t="s">
        <v>66</v>
      </c>
      <c r="AW244" s="42" t="s">
        <v>67</v>
      </c>
      <c r="AX244" s="42" t="s">
        <v>68</v>
      </c>
      <c r="AY244" s="42" t="s">
        <v>64</v>
      </c>
      <c r="AZ244" s="42" t="s">
        <v>64</v>
      </c>
      <c r="BA24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"B2B-OAG N4"
Application Service: "OAG"
Lifecycle: "PFB"</v>
      </c>
      <c r="BB244" s="78" t="s">
        <v>596</v>
      </c>
      <c r="BC244" s="42" t="str">
        <f>VLOOKUP(VmSpecs[[#This Row],[Original Hostname (CMO)]],'SSOT Data'!A:AJ,36,FALSE)</f>
        <v>B2B-OAG N4</v>
      </c>
      <c r="BD244" s="43"/>
    </row>
    <row r="245" spans="1:56" ht="43.5" x14ac:dyDescent="0.35">
      <c r="A245" s="78" t="s">
        <v>58</v>
      </c>
      <c r="B245" s="42" t="str">
        <f>_xlfn.XLOOKUP(VmSpecs[[#This Row],[Subnet]],NetworkReference[Subnet],NetworkReference[Subscription])</f>
        <v>NINP-PERF2</v>
      </c>
      <c r="C245" s="43" t="str">
        <f>_xlfn.XLOOKUP(VmSpecs[[#This Row],[Subnet]],NetworkReference[Subnet],NetworkReference[Virtual Network Resource Group])</f>
        <v>rg-pf2-network-aue-001</v>
      </c>
      <c r="D245" s="43" t="str">
        <f>_xlfn.XLOOKUP(VmSpecs[[#This Row],[Subnet]],NetworkReference[Subnet],NetworkReference[Virtual Network])</f>
        <v>vnet-pf2-workload-aue-001</v>
      </c>
      <c r="E245" s="132" t="s">
        <v>489</v>
      </c>
      <c r="F245" s="43" t="str">
        <f>_xlfn.XLOOKUP(VmSpecs[[#This Row],[Subnet]],NetworkReference[Subnet],NetworkReference[Virtual Network Peering])</f>
        <v>vnet-ninp-conn-pnp-hub-aue</v>
      </c>
      <c r="G245" s="43" t="str">
        <f>_xlfn.XLOOKUP(VmSpecs[[#This Row],[Subnet]],NetworkReference[Subnet],NetworkReference[Route Table])</f>
        <v>rt-sn-pfb-aue-pf2-web</v>
      </c>
      <c r="H245" s="43" t="str">
        <f>LOWER(VLOOKUP(VmSpecs[[#This Row],[Original Hostname (CMO)]],'SSOT Data'!A:K,10,FALSE))</f>
        <v>oag</v>
      </c>
      <c r="I24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45" s="44" t="s">
        <v>81</v>
      </c>
      <c r="K245" s="43" t="str">
        <f>_xlfn.CONCAT("vm",MID(VmSpecs[[#This Row],[Subnet]],4,3),VLOOKUP(VmSpecs[[#This Row],[Subscription]],NetworkReference[#All],2,FALSE),VmSpecs[[#This Row],[Service]],VmSpecs[[#This Row],[VM iteration (nn)]])</f>
        <v>vmpfbpf2oag05</v>
      </c>
      <c r="L245" s="45" t="s">
        <v>61</v>
      </c>
      <c r="M245" s="43" t="str">
        <f>VmSpecs[[#This Row],[VM Name]]&amp;".ninp.myhealthrecord.gov.au"</f>
        <v>vmpfbpf2oag05.ninp.myhealthrecord.gov.au</v>
      </c>
      <c r="N245" s="42" t="str">
        <f t="shared" si="3"/>
        <v>nic-001-vmpfbpf2oag05</v>
      </c>
      <c r="O245" s="106" t="s">
        <v>597</v>
      </c>
      <c r="P245" s="46" t="s">
        <v>63</v>
      </c>
      <c r="Q245" s="42" t="str">
        <f>VLOOKUP(VmSpecs[[#This Row],[Original Hostname (CMO)]],'SSOT Data'!A:E,5,FALSE)</f>
        <v>OEL6.10</v>
      </c>
      <c r="R245" s="42"/>
      <c r="S245" s="42" t="str">
        <f>_xlfn.CONCAT("avail-",LEFT(VmSpecs[[#This Row],[VM Name]],LEN(VmSpecs[[#This Row],[VM Name]])-2))</f>
        <v>avail-vmpfbpf2oag</v>
      </c>
      <c r="T245" s="42" t="str">
        <f>_xlfn.CONCAT("asg-",LEFT(VmSpecs[[#This Row],[VM Name]],LEN(VmSpecs[[#This Row],[VM Name]])-2))</f>
        <v>asg-vmpfbpf2oag</v>
      </c>
      <c r="U245" s="42" t="str">
        <f>_xlfn.CONCAT("nsg-",VmSpecs[[#This Row],[Subnet]])</f>
        <v>nsg-sn-pfb-aue-pf2-web</v>
      </c>
      <c r="V245" s="42" t="s">
        <v>64</v>
      </c>
      <c r="W245" s="43" t="str">
        <f>VLOOKUP(VmSpecs[[#This Row],[Original Hostname (CMO)]],'SSOT Data'!A:AX,50,FALSE)</f>
        <v>Standard_D8s_v4</v>
      </c>
      <c r="X245" s="43">
        <v>64</v>
      </c>
      <c r="Y245" s="43" t="s">
        <v>65</v>
      </c>
      <c r="Z245" s="43" t="str">
        <f>"osdisk-"&amp;VmSpecs[[#This Row],[VM Name]]</f>
        <v>osdisk-vmpfbpf2oag05</v>
      </c>
      <c r="AA245" s="47" t="s">
        <v>66</v>
      </c>
      <c r="AB245" s="73">
        <v>8</v>
      </c>
      <c r="AC245" s="74" t="s">
        <v>65</v>
      </c>
      <c r="AD245" s="84" t="str">
        <f>"disk-"&amp;VmSpecs[[#This Row],[VM Name]]&amp;"-001"</f>
        <v>disk-vmpfbpf2oag05-001</v>
      </c>
      <c r="AE245" s="73">
        <v>32</v>
      </c>
      <c r="AF245" s="74" t="s">
        <v>65</v>
      </c>
      <c r="AG245" s="85" t="str">
        <f>"disk-"&amp;VmSpecs[[#This Row],[VM Name]]&amp;"-002"</f>
        <v>disk-vmpfbpf2oag05-002</v>
      </c>
      <c r="AH245" s="59" t="s">
        <v>285</v>
      </c>
      <c r="AI245" s="42"/>
      <c r="AJ245" s="42"/>
      <c r="AK245" s="42"/>
      <c r="AL245" s="42" t="str">
        <f>MID(VmSpecs[[#This Row],[VM Name]],3,9)</f>
        <v>pfbpf2oag</v>
      </c>
      <c r="AM245" s="43" t="str" cm="1">
        <f t="array" ref="AM245">_xlfn.TEXTJOIN(CHAR(10), TRUE, IF(NfsExports[FMO Single VM IP]=VmSpecs[[#This Row],[IP]],NfsExports[FMO Export Summary],""))</f>
        <v>/apps/pcehr 40GB</v>
      </c>
      <c r="AN245" s="43" t="str" cm="1">
        <f t="array" ref="AN24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
/apps/nfs/t2_shareq_pfb 15GB</v>
      </c>
      <c r="AO245" s="42"/>
      <c r="AP245" s="42" t="str">
        <f>VmSpecs[[#This Row],[Description]]</f>
        <v>B2B-OAG N5</v>
      </c>
      <c r="AQ245" s="43"/>
      <c r="AR245" s="43" t="s">
        <v>64</v>
      </c>
      <c r="AS245" s="43" t="s">
        <v>64</v>
      </c>
      <c r="AT245" s="43" t="s">
        <v>64</v>
      </c>
      <c r="AU245" s="43" t="s">
        <v>64</v>
      </c>
      <c r="AV245" s="42" t="s">
        <v>66</v>
      </c>
      <c r="AW245" s="42" t="s">
        <v>67</v>
      </c>
      <c r="AX245" s="42" t="s">
        <v>68</v>
      </c>
      <c r="AY245" s="42" t="s">
        <v>64</v>
      </c>
      <c r="AZ245" s="42" t="s">
        <v>64</v>
      </c>
      <c r="BA24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"B2B-OAG N5"
Application Service: "OAG"
Lifecycle: "PFB"</v>
      </c>
      <c r="BB245" s="78" t="s">
        <v>598</v>
      </c>
      <c r="BC245" s="42" t="str">
        <f>VLOOKUP(VmSpecs[[#This Row],[Original Hostname (CMO)]],'SSOT Data'!A:AJ,36,FALSE)</f>
        <v>B2B-OAG N5</v>
      </c>
      <c r="BD245" s="43" t="s">
        <v>599</v>
      </c>
    </row>
    <row r="246" spans="1:56" ht="43.5" x14ac:dyDescent="0.35">
      <c r="A246" s="78" t="s">
        <v>58</v>
      </c>
      <c r="B246" s="42" t="str">
        <f>_xlfn.XLOOKUP(VmSpecs[[#This Row],[Subnet]],NetworkReference[Subnet],NetworkReference[Subscription])</f>
        <v>NINP-PERF2</v>
      </c>
      <c r="C246" s="43" t="str">
        <f>_xlfn.XLOOKUP(VmSpecs[[#This Row],[Subnet]],NetworkReference[Subnet],NetworkReference[Virtual Network Resource Group])</f>
        <v>rg-pf2-network-aue-001</v>
      </c>
      <c r="D246" s="43" t="str">
        <f>_xlfn.XLOOKUP(VmSpecs[[#This Row],[Subnet]],NetworkReference[Subnet],NetworkReference[Virtual Network])</f>
        <v>vnet-pf2-workload-aue-001</v>
      </c>
      <c r="E246" s="132" t="s">
        <v>489</v>
      </c>
      <c r="F246" s="43" t="str">
        <f>_xlfn.XLOOKUP(VmSpecs[[#This Row],[Subnet]],NetworkReference[Subnet],NetworkReference[Virtual Network Peering])</f>
        <v>vnet-ninp-conn-pnp-hub-aue</v>
      </c>
      <c r="G246" s="43" t="str">
        <f>_xlfn.XLOOKUP(VmSpecs[[#This Row],[Subnet]],NetworkReference[Subnet],NetworkReference[Route Table])</f>
        <v>rt-sn-pfb-aue-pf2-web</v>
      </c>
      <c r="H246" s="43" t="str">
        <f>LOWER(VLOOKUP(VmSpecs[[#This Row],[Original Hostname (CMO)]],'SSOT Data'!A:K,10,FALSE))</f>
        <v>oag</v>
      </c>
      <c r="I24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46" s="44" t="s">
        <v>84</v>
      </c>
      <c r="K246" s="43" t="str">
        <f>_xlfn.CONCAT("vm",MID(VmSpecs[[#This Row],[Subnet]],4,3),VLOOKUP(VmSpecs[[#This Row],[Subscription]],NetworkReference[#All],2,FALSE),VmSpecs[[#This Row],[Service]],VmSpecs[[#This Row],[VM iteration (nn)]])</f>
        <v>vmpfbpf2oag06</v>
      </c>
      <c r="L246" s="45" t="s">
        <v>61</v>
      </c>
      <c r="M246" s="43" t="str">
        <f>VmSpecs[[#This Row],[VM Name]]&amp;".ninp.myhealthrecord.gov.au"</f>
        <v>vmpfbpf2oag06.ninp.myhealthrecord.gov.au</v>
      </c>
      <c r="N246" s="42" t="str">
        <f t="shared" si="3"/>
        <v>nic-001-vmpfbpf2oag06</v>
      </c>
      <c r="O246" s="106" t="s">
        <v>600</v>
      </c>
      <c r="P246" s="46" t="s">
        <v>63</v>
      </c>
      <c r="Q246" s="42" t="str">
        <f>VLOOKUP(VmSpecs[[#This Row],[Original Hostname (CMO)]],'SSOT Data'!A:E,5,FALSE)</f>
        <v>OEL6.10</v>
      </c>
      <c r="R246" s="42"/>
      <c r="S246" s="42" t="str">
        <f>_xlfn.CONCAT("avail-",LEFT(VmSpecs[[#This Row],[VM Name]],LEN(VmSpecs[[#This Row],[VM Name]])-2))</f>
        <v>avail-vmpfbpf2oag</v>
      </c>
      <c r="T246" s="42" t="str">
        <f>_xlfn.CONCAT("asg-",LEFT(VmSpecs[[#This Row],[VM Name]],LEN(VmSpecs[[#This Row],[VM Name]])-2))</f>
        <v>asg-vmpfbpf2oag</v>
      </c>
      <c r="U246" s="42" t="str">
        <f>_xlfn.CONCAT("nsg-",VmSpecs[[#This Row],[Subnet]])</f>
        <v>nsg-sn-pfb-aue-pf2-web</v>
      </c>
      <c r="V246" s="42" t="s">
        <v>64</v>
      </c>
      <c r="W246" s="43" t="str">
        <f>VLOOKUP(VmSpecs[[#This Row],[Original Hostname (CMO)]],'SSOT Data'!A:AX,50,FALSE)</f>
        <v>Standard_D8s_v4</v>
      </c>
      <c r="X246" s="43">
        <v>64</v>
      </c>
      <c r="Y246" s="43" t="s">
        <v>65</v>
      </c>
      <c r="Z246" s="43" t="str">
        <f>"osdisk-"&amp;VmSpecs[[#This Row],[VM Name]]</f>
        <v>osdisk-vmpfbpf2oag06</v>
      </c>
      <c r="AA246" s="47" t="s">
        <v>66</v>
      </c>
      <c r="AB246" s="73">
        <v>8</v>
      </c>
      <c r="AC246" s="74" t="s">
        <v>65</v>
      </c>
      <c r="AD246" s="84" t="str">
        <f>"disk-"&amp;VmSpecs[[#This Row],[VM Name]]&amp;"-001"</f>
        <v>disk-vmpfbpf2oag06-001</v>
      </c>
      <c r="AE246" s="73">
        <v>32</v>
      </c>
      <c r="AF246" s="74" t="s">
        <v>65</v>
      </c>
      <c r="AG246" s="85" t="str">
        <f>"disk-"&amp;VmSpecs[[#This Row],[VM Name]]&amp;"-002"</f>
        <v>disk-vmpfbpf2oag06-002</v>
      </c>
      <c r="AH246" s="59" t="s">
        <v>285</v>
      </c>
      <c r="AI246" s="42"/>
      <c r="AJ246" s="42"/>
      <c r="AK246" s="42"/>
      <c r="AL246" s="42" t="str">
        <f>MID(VmSpecs[[#This Row],[VM Name]],3,9)</f>
        <v>pfbpf2oag</v>
      </c>
      <c r="AM246" s="43" t="str" cm="1">
        <f t="array" ref="AM246">_xlfn.TEXTJOIN(CHAR(10), TRUE, IF(NfsExports[FMO Single VM IP]=VmSpecs[[#This Row],[IP]],NfsExports[FMO Export Summary],""))</f>
        <v>/apps/pcehr 40GB</v>
      </c>
      <c r="AN246" s="43" t="str" cm="1">
        <f t="array" ref="AN24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
/apps/nfs/t2_shareq_pfb 15GB</v>
      </c>
      <c r="AO246" s="42"/>
      <c r="AP246" s="42" t="str">
        <f>VmSpecs[[#This Row],[Description]]</f>
        <v>B2B-OAG N6</v>
      </c>
      <c r="AQ246" s="43"/>
      <c r="AR246" s="43" t="s">
        <v>64</v>
      </c>
      <c r="AS246" s="43" t="s">
        <v>64</v>
      </c>
      <c r="AT246" s="43" t="s">
        <v>64</v>
      </c>
      <c r="AU246" s="43" t="s">
        <v>64</v>
      </c>
      <c r="AV246" s="42" t="s">
        <v>66</v>
      </c>
      <c r="AW246" s="42" t="s">
        <v>67</v>
      </c>
      <c r="AX246" s="42" t="s">
        <v>68</v>
      </c>
      <c r="AY246" s="42" t="s">
        <v>64</v>
      </c>
      <c r="AZ246" s="42" t="s">
        <v>64</v>
      </c>
      <c r="BA24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"B2B-OAG N6"
Application Service: "OAG"
Lifecycle: "PFB"</v>
      </c>
      <c r="BB246" s="78" t="s">
        <v>601</v>
      </c>
      <c r="BC246" s="42" t="str">
        <f>VLOOKUP(VmSpecs[[#This Row],[Original Hostname (CMO)]],'SSOT Data'!A:AJ,36,FALSE)</f>
        <v>B2B-OAG N6</v>
      </c>
      <c r="BD246" s="43" t="s">
        <v>599</v>
      </c>
    </row>
    <row r="247" spans="1:56" ht="29" x14ac:dyDescent="0.35">
      <c r="A247" s="78" t="s">
        <v>58</v>
      </c>
      <c r="B247" s="42" t="str">
        <f>_xlfn.XLOOKUP(VmSpecs[[#This Row],[Subnet]],NetworkReference[Subnet],NetworkReference[Subscription])</f>
        <v>NINP-PERF2</v>
      </c>
      <c r="C247" s="43" t="str">
        <f>_xlfn.XLOOKUP(VmSpecs[[#This Row],[Subnet]],NetworkReference[Subnet],NetworkReference[Virtual Network Resource Group])</f>
        <v>rg-pf2-network-aue-001</v>
      </c>
      <c r="D247" s="43" t="str">
        <f>_xlfn.XLOOKUP(VmSpecs[[#This Row],[Subnet]],NetworkReference[Subnet],NetworkReference[Virtual Network])</f>
        <v>vnet-pf2-workload-aue-001</v>
      </c>
      <c r="E247" s="132" t="s">
        <v>489</v>
      </c>
      <c r="F247" s="43" t="str">
        <f>_xlfn.XLOOKUP(VmSpecs[[#This Row],[Subnet]],NetworkReference[Subnet],NetworkReference[Virtual Network Peering])</f>
        <v>vnet-ninp-conn-pnp-hub-aue</v>
      </c>
      <c r="G247" s="43" t="str">
        <f>_xlfn.XLOOKUP(VmSpecs[[#This Row],[Subnet]],NetworkReference[Subnet],NetworkReference[Route Table])</f>
        <v>rt-sn-pfb-aue-pf2-web</v>
      </c>
      <c r="H247" s="43" t="str">
        <f>LOWER(VLOOKUP(VmSpecs[[#This Row],[Original Hostname (CMO)]],'SSOT Data'!A:K,10,FALSE))</f>
        <v>ocr</v>
      </c>
      <c r="I24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47" s="44" t="s">
        <v>60</v>
      </c>
      <c r="K247" s="43" t="str">
        <f>_xlfn.CONCAT("vm",MID(VmSpecs[[#This Row],[Subnet]],4,3),VLOOKUP(VmSpecs[[#This Row],[Subscription]],NetworkReference[#All],2,FALSE),VmSpecs[[#This Row],[Service]],VmSpecs[[#This Row],[VM iteration (nn)]])</f>
        <v>vmpfbpf2ocr01</v>
      </c>
      <c r="L247" s="45" t="s">
        <v>61</v>
      </c>
      <c r="M247" s="43" t="str">
        <f>VmSpecs[[#This Row],[VM Name]]&amp;".ninp.myhealthrecord.gov.au"</f>
        <v>vmpfbpf2ocr01.ninp.myhealthrecord.gov.au</v>
      </c>
      <c r="N247" s="42" t="str">
        <f t="shared" si="3"/>
        <v>nic-001-vmpfbpf2ocr01</v>
      </c>
      <c r="O247" s="106" t="s">
        <v>602</v>
      </c>
      <c r="P247" s="46" t="s">
        <v>63</v>
      </c>
      <c r="Q247" s="42" t="str">
        <f>VLOOKUP(VmSpecs[[#This Row],[Original Hostname (CMO)]],'SSOT Data'!A:E,5,FALSE)</f>
        <v>OEL6.10</v>
      </c>
      <c r="R247" s="42"/>
      <c r="S247" s="42" t="str">
        <f>_xlfn.CONCAT("avail-",LEFT(VmSpecs[[#This Row],[VM Name]],LEN(VmSpecs[[#This Row],[VM Name]])-2))</f>
        <v>avail-vmpfbpf2ocr</v>
      </c>
      <c r="T247" s="42" t="str">
        <f>_xlfn.CONCAT("asg-",LEFT(VmSpecs[[#This Row],[VM Name]],LEN(VmSpecs[[#This Row],[VM Name]])-2))</f>
        <v>asg-vmpfbpf2ocr</v>
      </c>
      <c r="U247" s="42" t="str">
        <f>_xlfn.CONCAT("nsg-",VmSpecs[[#This Row],[Subnet]])</f>
        <v>nsg-sn-pfb-aue-pf2-web</v>
      </c>
      <c r="V247" s="42" t="s">
        <v>64</v>
      </c>
      <c r="W247" s="43" t="str">
        <f>VLOOKUP(VmSpecs[[#This Row],[Original Hostname (CMO)]],'SSOT Data'!A:AX,50,FALSE)</f>
        <v>Standard_D8s_v4</v>
      </c>
      <c r="X247" s="43">
        <v>64</v>
      </c>
      <c r="Y247" s="43" t="s">
        <v>65</v>
      </c>
      <c r="Z247" s="43" t="str">
        <f>"osdisk-"&amp;VmSpecs[[#This Row],[VM Name]]</f>
        <v>osdisk-vmpfbpf2ocr01</v>
      </c>
      <c r="AA247" s="47" t="s">
        <v>66</v>
      </c>
      <c r="AB247" s="73">
        <v>8</v>
      </c>
      <c r="AC247" s="74" t="s">
        <v>65</v>
      </c>
      <c r="AD247" s="84" t="str">
        <f>"disk-"&amp;VmSpecs[[#This Row],[VM Name]]&amp;"-001"</f>
        <v>disk-vmpfbpf2ocr01-001</v>
      </c>
      <c r="AE247" s="73">
        <v>32</v>
      </c>
      <c r="AF247" s="74" t="s">
        <v>65</v>
      </c>
      <c r="AG247" s="85" t="str">
        <f>"disk-"&amp;VmSpecs[[#This Row],[VM Name]]&amp;"-002"</f>
        <v>disk-vmpfbpf2ocr01-002</v>
      </c>
      <c r="AH247" s="59" t="s">
        <v>285</v>
      </c>
      <c r="AI247" s="42"/>
      <c r="AJ247" s="42"/>
      <c r="AK247" s="42"/>
      <c r="AL247" s="42" t="str">
        <f>MID(VmSpecs[[#This Row],[VM Name]],3,9)</f>
        <v>pfbpf2ocr</v>
      </c>
      <c r="AM247" s="43" t="str" cm="1">
        <f t="array" ref="AM247">_xlfn.TEXTJOIN(CHAR(10), TRUE, IF(NfsExports[FMO Single VM IP]=VmSpecs[[#This Row],[IP]],NfsExports[FMO Export Summary],""))</f>
        <v>/apps/pcehr 40GB</v>
      </c>
      <c r="AN247" s="43" t="str" cm="1">
        <f t="array" ref="AN24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47" s="42"/>
      <c r="AP247" s="42" t="str">
        <f>VmSpecs[[#This Row],[Description]]</f>
        <v>OAG-CRP N1</v>
      </c>
      <c r="AQ247" s="43"/>
      <c r="AR247" s="43" t="s">
        <v>64</v>
      </c>
      <c r="AS247" s="43" t="s">
        <v>64</v>
      </c>
      <c r="AT247" s="43" t="s">
        <v>64</v>
      </c>
      <c r="AU247" s="43" t="s">
        <v>64</v>
      </c>
      <c r="AV247" s="42" t="s">
        <v>66</v>
      </c>
      <c r="AW247" s="42" t="s">
        <v>67</v>
      </c>
      <c r="AX247" s="42" t="s">
        <v>68</v>
      </c>
      <c r="AY247" s="42" t="s">
        <v>64</v>
      </c>
      <c r="AZ247" s="42" t="s">
        <v>64</v>
      </c>
      <c r="BA24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"OAG-CRP N1"
Application Service: "OCR"
Lifecycle: "PFB"</v>
      </c>
      <c r="BB247" s="78" t="s">
        <v>603</v>
      </c>
      <c r="BC247" s="42" t="str">
        <f>VLOOKUP(VmSpecs[[#This Row],[Original Hostname (CMO)]],'SSOT Data'!A:AJ,36,FALSE)</f>
        <v>OAG-CRP N1</v>
      </c>
      <c r="BD247" s="43"/>
    </row>
    <row r="248" spans="1:56" ht="29" x14ac:dyDescent="0.35">
      <c r="A248" s="78" t="s">
        <v>58</v>
      </c>
      <c r="B248" s="42" t="str">
        <f>_xlfn.XLOOKUP(VmSpecs[[#This Row],[Subnet]],NetworkReference[Subnet],NetworkReference[Subscription])</f>
        <v>NINP-PERF2</v>
      </c>
      <c r="C248" s="43" t="str">
        <f>_xlfn.XLOOKUP(VmSpecs[[#This Row],[Subnet]],NetworkReference[Subnet],NetworkReference[Virtual Network Resource Group])</f>
        <v>rg-pf2-network-aue-001</v>
      </c>
      <c r="D248" s="43" t="str">
        <f>_xlfn.XLOOKUP(VmSpecs[[#This Row],[Subnet]],NetworkReference[Subnet],NetworkReference[Virtual Network])</f>
        <v>vnet-pf2-workload-aue-001</v>
      </c>
      <c r="E248" s="132" t="s">
        <v>489</v>
      </c>
      <c r="F248" s="43" t="str">
        <f>_xlfn.XLOOKUP(VmSpecs[[#This Row],[Subnet]],NetworkReference[Subnet],NetworkReference[Virtual Network Peering])</f>
        <v>vnet-ninp-conn-pnp-hub-aue</v>
      </c>
      <c r="G248" s="43" t="str">
        <f>_xlfn.XLOOKUP(VmSpecs[[#This Row],[Subnet]],NetworkReference[Subnet],NetworkReference[Route Table])</f>
        <v>rt-sn-pfb-aue-pf2-web</v>
      </c>
      <c r="H248" s="43" t="str">
        <f>LOWER(VLOOKUP(VmSpecs[[#This Row],[Original Hostname (CMO)]],'SSOT Data'!A:K,10,FALSE))</f>
        <v>ocr</v>
      </c>
      <c r="I24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48" s="44" t="s">
        <v>72</v>
      </c>
      <c r="K248" s="43" t="str">
        <f>_xlfn.CONCAT("vm",MID(VmSpecs[[#This Row],[Subnet]],4,3),VLOOKUP(VmSpecs[[#This Row],[Subscription]],NetworkReference[#All],2,FALSE),VmSpecs[[#This Row],[Service]],VmSpecs[[#This Row],[VM iteration (nn)]])</f>
        <v>vmpfbpf2ocr02</v>
      </c>
      <c r="L248" s="45" t="s">
        <v>61</v>
      </c>
      <c r="M248" s="43" t="str">
        <f>VmSpecs[[#This Row],[VM Name]]&amp;".ninp.myhealthrecord.gov.au"</f>
        <v>vmpfbpf2ocr02.ninp.myhealthrecord.gov.au</v>
      </c>
      <c r="N248" s="42" t="str">
        <f t="shared" si="3"/>
        <v>nic-001-vmpfbpf2ocr02</v>
      </c>
      <c r="O248" s="106" t="s">
        <v>604</v>
      </c>
      <c r="P248" s="46" t="s">
        <v>63</v>
      </c>
      <c r="Q248" s="42" t="str">
        <f>VLOOKUP(VmSpecs[[#This Row],[Original Hostname (CMO)]],'SSOT Data'!A:E,5,FALSE)</f>
        <v>OEL6.10</v>
      </c>
      <c r="R248" s="42"/>
      <c r="S248" s="42" t="str">
        <f>_xlfn.CONCAT("avail-",LEFT(VmSpecs[[#This Row],[VM Name]],LEN(VmSpecs[[#This Row],[VM Name]])-2))</f>
        <v>avail-vmpfbpf2ocr</v>
      </c>
      <c r="T248" s="42" t="str">
        <f>_xlfn.CONCAT("asg-",LEFT(VmSpecs[[#This Row],[VM Name]],LEN(VmSpecs[[#This Row],[VM Name]])-2))</f>
        <v>asg-vmpfbpf2ocr</v>
      </c>
      <c r="U248" s="42" t="str">
        <f>_xlfn.CONCAT("nsg-",VmSpecs[[#This Row],[Subnet]])</f>
        <v>nsg-sn-pfb-aue-pf2-web</v>
      </c>
      <c r="V248" s="42" t="s">
        <v>64</v>
      </c>
      <c r="W248" s="43" t="str">
        <f>VLOOKUP(VmSpecs[[#This Row],[Original Hostname (CMO)]],'SSOT Data'!A:AX,50,FALSE)</f>
        <v>Standard_D8s_v4</v>
      </c>
      <c r="X248" s="43">
        <v>64</v>
      </c>
      <c r="Y248" s="43" t="s">
        <v>65</v>
      </c>
      <c r="Z248" s="43" t="str">
        <f>"osdisk-"&amp;VmSpecs[[#This Row],[VM Name]]</f>
        <v>osdisk-vmpfbpf2ocr02</v>
      </c>
      <c r="AA248" s="47" t="s">
        <v>66</v>
      </c>
      <c r="AB248" s="73">
        <v>8</v>
      </c>
      <c r="AC248" s="74" t="s">
        <v>65</v>
      </c>
      <c r="AD248" s="84" t="str">
        <f>"disk-"&amp;VmSpecs[[#This Row],[VM Name]]&amp;"-001"</f>
        <v>disk-vmpfbpf2ocr02-001</v>
      </c>
      <c r="AE248" s="73">
        <v>32</v>
      </c>
      <c r="AF248" s="74" t="s">
        <v>65</v>
      </c>
      <c r="AG248" s="85" t="str">
        <f>"disk-"&amp;VmSpecs[[#This Row],[VM Name]]&amp;"-002"</f>
        <v>disk-vmpfbpf2ocr02-002</v>
      </c>
      <c r="AH248" s="59" t="s">
        <v>285</v>
      </c>
      <c r="AI248" s="42"/>
      <c r="AJ248" s="42"/>
      <c r="AK248" s="42"/>
      <c r="AL248" s="42" t="str">
        <f>MID(VmSpecs[[#This Row],[VM Name]],3,9)</f>
        <v>pfbpf2ocr</v>
      </c>
      <c r="AM248" s="43" t="str" cm="1">
        <f t="array" ref="AM248">_xlfn.TEXTJOIN(CHAR(10), TRUE, IF(NfsExports[FMO Single VM IP]=VmSpecs[[#This Row],[IP]],NfsExports[FMO Export Summary],""))</f>
        <v>/apps/pcehr 40GB</v>
      </c>
      <c r="AN248" s="43" t="str" cm="1">
        <f t="array" ref="AN24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48" s="42"/>
      <c r="AP248" s="42" t="str">
        <f>VmSpecs[[#This Row],[Description]]</f>
        <v>OAG-CRP N2</v>
      </c>
      <c r="AQ248" s="43"/>
      <c r="AR248" s="43" t="s">
        <v>64</v>
      </c>
      <c r="AS248" s="43" t="s">
        <v>64</v>
      </c>
      <c r="AT248" s="43" t="s">
        <v>64</v>
      </c>
      <c r="AU248" s="43" t="s">
        <v>64</v>
      </c>
      <c r="AV248" s="42" t="s">
        <v>66</v>
      </c>
      <c r="AW248" s="42" t="s">
        <v>67</v>
      </c>
      <c r="AX248" s="42" t="s">
        <v>68</v>
      </c>
      <c r="AY248" s="42" t="s">
        <v>64</v>
      </c>
      <c r="AZ248" s="42" t="s">
        <v>64</v>
      </c>
      <c r="BA24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"OAG-CRP N2"
Application Service: "OCR"
Lifecycle: "PFB"</v>
      </c>
      <c r="BB248" s="78" t="s">
        <v>605</v>
      </c>
      <c r="BC248" s="42" t="str">
        <f>VLOOKUP(VmSpecs[[#This Row],[Original Hostname (CMO)]],'SSOT Data'!A:AJ,36,FALSE)</f>
        <v>OAG-CRP N2</v>
      </c>
      <c r="BD248" s="43"/>
    </row>
    <row r="249" spans="1:56" ht="29" x14ac:dyDescent="0.35">
      <c r="A249" s="78" t="s">
        <v>58</v>
      </c>
      <c r="B249" s="42" t="str">
        <f>_xlfn.XLOOKUP(VmSpecs[[#This Row],[Subnet]],NetworkReference[Subnet],NetworkReference[Subscription])</f>
        <v>NINP-PERF2</v>
      </c>
      <c r="C249" s="43" t="str">
        <f>_xlfn.XLOOKUP(VmSpecs[[#This Row],[Subnet]],NetworkReference[Subnet],NetworkReference[Virtual Network Resource Group])</f>
        <v>rg-pf2-network-aue-001</v>
      </c>
      <c r="D249" s="43" t="str">
        <f>_xlfn.XLOOKUP(VmSpecs[[#This Row],[Subnet]],NetworkReference[Subnet],NetworkReference[Virtual Network])</f>
        <v>vnet-pf2-workload-aue-001</v>
      </c>
      <c r="E249" s="132" t="s">
        <v>489</v>
      </c>
      <c r="F249" s="43" t="str">
        <f>_xlfn.XLOOKUP(VmSpecs[[#This Row],[Subnet]],NetworkReference[Subnet],NetworkReference[Virtual Network Peering])</f>
        <v>vnet-ninp-conn-pnp-hub-aue</v>
      </c>
      <c r="G249" s="43" t="str">
        <f>_xlfn.XLOOKUP(VmSpecs[[#This Row],[Subnet]],NetworkReference[Subnet],NetworkReference[Route Table])</f>
        <v>rt-sn-pfb-aue-pf2-web</v>
      </c>
      <c r="H249" s="43" t="str">
        <f>LOWER(VLOOKUP(VmSpecs[[#This Row],[Original Hostname (CMO)]],'SSOT Data'!A:K,10,FALSE))</f>
        <v>ocr</v>
      </c>
      <c r="I24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49" s="44" t="s">
        <v>75</v>
      </c>
      <c r="K249" s="43" t="str">
        <f>_xlfn.CONCAT("vm",MID(VmSpecs[[#This Row],[Subnet]],4,3),VLOOKUP(VmSpecs[[#This Row],[Subscription]],NetworkReference[#All],2,FALSE),VmSpecs[[#This Row],[Service]],VmSpecs[[#This Row],[VM iteration (nn)]])</f>
        <v>vmpfbpf2ocr03</v>
      </c>
      <c r="L249" s="45" t="s">
        <v>61</v>
      </c>
      <c r="M249" s="43" t="str">
        <f>VmSpecs[[#This Row],[VM Name]]&amp;".ninp.myhealthrecord.gov.au"</f>
        <v>vmpfbpf2ocr03.ninp.myhealthrecord.gov.au</v>
      </c>
      <c r="N249" s="42" t="str">
        <f t="shared" si="3"/>
        <v>nic-001-vmpfbpf2ocr03</v>
      </c>
      <c r="O249" s="106" t="s">
        <v>606</v>
      </c>
      <c r="P249" s="46" t="s">
        <v>63</v>
      </c>
      <c r="Q249" s="42" t="str">
        <f>VLOOKUP(VmSpecs[[#This Row],[Original Hostname (CMO)]],'SSOT Data'!A:E,5,FALSE)</f>
        <v>OEL6.10</v>
      </c>
      <c r="R249" s="42"/>
      <c r="S249" s="42" t="str">
        <f>_xlfn.CONCAT("avail-",LEFT(VmSpecs[[#This Row],[VM Name]],LEN(VmSpecs[[#This Row],[VM Name]])-2))</f>
        <v>avail-vmpfbpf2ocr</v>
      </c>
      <c r="T249" s="42" t="str">
        <f>_xlfn.CONCAT("asg-",LEFT(VmSpecs[[#This Row],[VM Name]],LEN(VmSpecs[[#This Row],[VM Name]])-2))</f>
        <v>asg-vmpfbpf2ocr</v>
      </c>
      <c r="U249" s="42" t="str">
        <f>_xlfn.CONCAT("nsg-",VmSpecs[[#This Row],[Subnet]])</f>
        <v>nsg-sn-pfb-aue-pf2-web</v>
      </c>
      <c r="V249" s="42" t="s">
        <v>64</v>
      </c>
      <c r="W249" s="43" t="str">
        <f>VLOOKUP(VmSpecs[[#This Row],[Original Hostname (CMO)]],'SSOT Data'!A:AX,50,FALSE)</f>
        <v>Standard_D8s_v4</v>
      </c>
      <c r="X249" s="43">
        <v>64</v>
      </c>
      <c r="Y249" s="43" t="s">
        <v>65</v>
      </c>
      <c r="Z249" s="43" t="str">
        <f>"osdisk-"&amp;VmSpecs[[#This Row],[VM Name]]</f>
        <v>osdisk-vmpfbpf2ocr03</v>
      </c>
      <c r="AA249" s="47" t="s">
        <v>66</v>
      </c>
      <c r="AB249" s="73">
        <v>8</v>
      </c>
      <c r="AC249" s="74" t="s">
        <v>65</v>
      </c>
      <c r="AD249" s="84" t="str">
        <f>"disk-"&amp;VmSpecs[[#This Row],[VM Name]]&amp;"-001"</f>
        <v>disk-vmpfbpf2ocr03-001</v>
      </c>
      <c r="AE249" s="73">
        <v>32</v>
      </c>
      <c r="AF249" s="74" t="s">
        <v>65</v>
      </c>
      <c r="AG249" s="85" t="str">
        <f>"disk-"&amp;VmSpecs[[#This Row],[VM Name]]&amp;"-002"</f>
        <v>disk-vmpfbpf2ocr03-002</v>
      </c>
      <c r="AH249" s="59" t="s">
        <v>285</v>
      </c>
      <c r="AI249" s="42"/>
      <c r="AJ249" s="42"/>
      <c r="AK249" s="42"/>
      <c r="AL249" s="42" t="str">
        <f>MID(VmSpecs[[#This Row],[VM Name]],3,9)</f>
        <v>pfbpf2ocr</v>
      </c>
      <c r="AM249" s="43" t="str" cm="1">
        <f t="array" ref="AM249">_xlfn.TEXTJOIN(CHAR(10), TRUE, IF(NfsExports[FMO Single VM IP]=VmSpecs[[#This Row],[IP]],NfsExports[FMO Export Summary],""))</f>
        <v>/apps/pcehr 40GB</v>
      </c>
      <c r="AN249" s="43" t="str" cm="1">
        <f t="array" ref="AN24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49" s="42"/>
      <c r="AP249" s="42" t="str">
        <f>VmSpecs[[#This Row],[Description]]</f>
        <v>OAG-CRP N3</v>
      </c>
      <c r="AQ249" s="43"/>
      <c r="AR249" s="43" t="s">
        <v>64</v>
      </c>
      <c r="AS249" s="43" t="s">
        <v>64</v>
      </c>
      <c r="AT249" s="43" t="s">
        <v>64</v>
      </c>
      <c r="AU249" s="43" t="s">
        <v>64</v>
      </c>
      <c r="AV249" s="42" t="s">
        <v>66</v>
      </c>
      <c r="AW249" s="42" t="s">
        <v>67</v>
      </c>
      <c r="AX249" s="42" t="s">
        <v>68</v>
      </c>
      <c r="AY249" s="42" t="s">
        <v>64</v>
      </c>
      <c r="AZ249" s="42" t="s">
        <v>64</v>
      </c>
      <c r="BA24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"OAG-CRP N3"
Application Service: "OCR"
Lifecycle: "PFB"</v>
      </c>
      <c r="BB249" s="78" t="s">
        <v>607</v>
      </c>
      <c r="BC249" s="42" t="str">
        <f>VLOOKUP(VmSpecs[[#This Row],[Original Hostname (CMO)]],'SSOT Data'!A:AJ,36,FALSE)</f>
        <v>OAG-CRP N3</v>
      </c>
      <c r="BD249" s="43"/>
    </row>
    <row r="250" spans="1:56" ht="29" x14ac:dyDescent="0.35">
      <c r="A250" s="78" t="s">
        <v>58</v>
      </c>
      <c r="B250" s="42" t="str">
        <f>_xlfn.XLOOKUP(VmSpecs[[#This Row],[Subnet]],NetworkReference[Subnet],NetworkReference[Subscription])</f>
        <v>NINP-PERF2</v>
      </c>
      <c r="C250" s="43" t="str">
        <f>_xlfn.XLOOKUP(VmSpecs[[#This Row],[Subnet]],NetworkReference[Subnet],NetworkReference[Virtual Network Resource Group])</f>
        <v>rg-pf2-network-aue-001</v>
      </c>
      <c r="D250" s="43" t="str">
        <f>_xlfn.XLOOKUP(VmSpecs[[#This Row],[Subnet]],NetworkReference[Subnet],NetworkReference[Virtual Network])</f>
        <v>vnet-pf2-workload-aue-001</v>
      </c>
      <c r="E250" s="132" t="s">
        <v>489</v>
      </c>
      <c r="F250" s="43" t="str">
        <f>_xlfn.XLOOKUP(VmSpecs[[#This Row],[Subnet]],NetworkReference[Subnet],NetworkReference[Virtual Network Peering])</f>
        <v>vnet-ninp-conn-pnp-hub-aue</v>
      </c>
      <c r="G250" s="43" t="str">
        <f>_xlfn.XLOOKUP(VmSpecs[[#This Row],[Subnet]],NetworkReference[Subnet],NetworkReference[Route Table])</f>
        <v>rt-sn-pfb-aue-pf2-web</v>
      </c>
      <c r="H250" s="43" t="str">
        <f>LOWER(VLOOKUP(VmSpecs[[#This Row],[Original Hostname (CMO)]],'SSOT Data'!A:K,10,FALSE))</f>
        <v>ocr</v>
      </c>
      <c r="I25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50" s="44" t="s">
        <v>78</v>
      </c>
      <c r="K250" s="43" t="str">
        <f>_xlfn.CONCAT("vm",MID(VmSpecs[[#This Row],[Subnet]],4,3),VLOOKUP(VmSpecs[[#This Row],[Subscription]],NetworkReference[#All],2,FALSE),VmSpecs[[#This Row],[Service]],VmSpecs[[#This Row],[VM iteration (nn)]])</f>
        <v>vmpfbpf2ocr04</v>
      </c>
      <c r="L250" s="45" t="s">
        <v>61</v>
      </c>
      <c r="M250" s="43" t="str">
        <f>VmSpecs[[#This Row],[VM Name]]&amp;".ninp.myhealthrecord.gov.au"</f>
        <v>vmpfbpf2ocr04.ninp.myhealthrecord.gov.au</v>
      </c>
      <c r="N250" s="42" t="str">
        <f t="shared" si="3"/>
        <v>nic-001-vmpfbpf2ocr04</v>
      </c>
      <c r="O250" s="106" t="s">
        <v>608</v>
      </c>
      <c r="P250" s="46" t="s">
        <v>63</v>
      </c>
      <c r="Q250" s="42" t="str">
        <f>VLOOKUP(VmSpecs[[#This Row],[Original Hostname (CMO)]],'SSOT Data'!A:E,5,FALSE)</f>
        <v>OEL6.10</v>
      </c>
      <c r="R250" s="42"/>
      <c r="S250" s="42" t="str">
        <f>_xlfn.CONCAT("avail-",LEFT(VmSpecs[[#This Row],[VM Name]],LEN(VmSpecs[[#This Row],[VM Name]])-2))</f>
        <v>avail-vmpfbpf2ocr</v>
      </c>
      <c r="T250" s="42" t="str">
        <f>_xlfn.CONCAT("asg-",LEFT(VmSpecs[[#This Row],[VM Name]],LEN(VmSpecs[[#This Row],[VM Name]])-2))</f>
        <v>asg-vmpfbpf2ocr</v>
      </c>
      <c r="U250" s="42" t="str">
        <f>_xlfn.CONCAT("nsg-",VmSpecs[[#This Row],[Subnet]])</f>
        <v>nsg-sn-pfb-aue-pf2-web</v>
      </c>
      <c r="V250" s="42" t="s">
        <v>64</v>
      </c>
      <c r="W250" s="43" t="str">
        <f>VLOOKUP(VmSpecs[[#This Row],[Original Hostname (CMO)]],'SSOT Data'!A:AX,50,FALSE)</f>
        <v>Standard_D8s_v4</v>
      </c>
      <c r="X250" s="43">
        <v>64</v>
      </c>
      <c r="Y250" s="43" t="s">
        <v>65</v>
      </c>
      <c r="Z250" s="43" t="str">
        <f>"osdisk-"&amp;VmSpecs[[#This Row],[VM Name]]</f>
        <v>osdisk-vmpfbpf2ocr04</v>
      </c>
      <c r="AA250" s="47" t="s">
        <v>66</v>
      </c>
      <c r="AB250" s="73">
        <v>8</v>
      </c>
      <c r="AC250" s="74" t="s">
        <v>65</v>
      </c>
      <c r="AD250" s="84" t="str">
        <f>"disk-"&amp;VmSpecs[[#This Row],[VM Name]]&amp;"-001"</f>
        <v>disk-vmpfbpf2ocr04-001</v>
      </c>
      <c r="AE250" s="73">
        <v>32</v>
      </c>
      <c r="AF250" s="74" t="s">
        <v>65</v>
      </c>
      <c r="AG250" s="85" t="str">
        <f>"disk-"&amp;VmSpecs[[#This Row],[VM Name]]&amp;"-002"</f>
        <v>disk-vmpfbpf2ocr04-002</v>
      </c>
      <c r="AH250" s="59" t="s">
        <v>285</v>
      </c>
      <c r="AI250" s="42"/>
      <c r="AJ250" s="42"/>
      <c r="AK250" s="42"/>
      <c r="AL250" s="42" t="str">
        <f>MID(VmSpecs[[#This Row],[VM Name]],3,9)</f>
        <v>pfbpf2ocr</v>
      </c>
      <c r="AM250" s="43" t="str" cm="1">
        <f t="array" ref="AM250">_xlfn.TEXTJOIN(CHAR(10), TRUE, IF(NfsExports[FMO Single VM IP]=VmSpecs[[#This Row],[IP]],NfsExports[FMO Export Summary],""))</f>
        <v>/apps/pcehr 40GB</v>
      </c>
      <c r="AN250" s="43" t="str" cm="1">
        <f t="array" ref="AN25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50" s="42"/>
      <c r="AP250" s="42" t="str">
        <f>VmSpecs[[#This Row],[Description]]</f>
        <v>OAG-CRP N4</v>
      </c>
      <c r="AQ250" s="43"/>
      <c r="AR250" s="43" t="s">
        <v>64</v>
      </c>
      <c r="AS250" s="43" t="s">
        <v>64</v>
      </c>
      <c r="AT250" s="43" t="s">
        <v>64</v>
      </c>
      <c r="AU250" s="43" t="s">
        <v>64</v>
      </c>
      <c r="AV250" s="42" t="s">
        <v>66</v>
      </c>
      <c r="AW250" s="42" t="s">
        <v>67</v>
      </c>
      <c r="AX250" s="42" t="s">
        <v>68</v>
      </c>
      <c r="AY250" s="42" t="s">
        <v>64</v>
      </c>
      <c r="AZ250" s="42" t="s">
        <v>64</v>
      </c>
      <c r="BA25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"OAG-CRP N4"
Application Service: "OCR"
Lifecycle: "PFB"</v>
      </c>
      <c r="BB250" s="78" t="s">
        <v>609</v>
      </c>
      <c r="BC250" s="42" t="str">
        <f>VLOOKUP(VmSpecs[[#This Row],[Original Hostname (CMO)]],'SSOT Data'!A:AJ,36,FALSE)</f>
        <v>OAG-CRP N4</v>
      </c>
      <c r="BD250" s="43"/>
    </row>
    <row r="251" spans="1:56" ht="29" x14ac:dyDescent="0.35">
      <c r="A251" s="78" t="s">
        <v>58</v>
      </c>
      <c r="B251" s="42" t="str">
        <f>_xlfn.XLOOKUP(VmSpecs[[#This Row],[Subnet]],NetworkReference[Subnet],NetworkReference[Subscription])</f>
        <v>NINP-PERF2</v>
      </c>
      <c r="C251" s="43" t="str">
        <f>_xlfn.XLOOKUP(VmSpecs[[#This Row],[Subnet]],NetworkReference[Subnet],NetworkReference[Virtual Network Resource Group])</f>
        <v>rg-pf2-network-aue-001</v>
      </c>
      <c r="D251" s="43" t="str">
        <f>_xlfn.XLOOKUP(VmSpecs[[#This Row],[Subnet]],NetworkReference[Subnet],NetworkReference[Virtual Network])</f>
        <v>vnet-pf2-workload-aue-001</v>
      </c>
      <c r="E251" s="132" t="s">
        <v>489</v>
      </c>
      <c r="F251" s="43" t="str">
        <f>_xlfn.XLOOKUP(VmSpecs[[#This Row],[Subnet]],NetworkReference[Subnet],NetworkReference[Virtual Network Peering])</f>
        <v>vnet-ninp-conn-pnp-hub-aue</v>
      </c>
      <c r="G251" s="43" t="str">
        <f>_xlfn.XLOOKUP(VmSpecs[[#This Row],[Subnet]],NetworkReference[Subnet],NetworkReference[Route Table])</f>
        <v>rt-sn-pfb-aue-pf2-web</v>
      </c>
      <c r="H251" s="43" t="str">
        <f>LOWER(VLOOKUP(VmSpecs[[#This Row],[Original Hostname (CMO)]],'SSOT Data'!A:K,10,FALSE))</f>
        <v>ocr</v>
      </c>
      <c r="I25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51" s="44" t="s">
        <v>81</v>
      </c>
      <c r="K251" s="43" t="str">
        <f>_xlfn.CONCAT("vm",MID(VmSpecs[[#This Row],[Subnet]],4,3),VLOOKUP(VmSpecs[[#This Row],[Subscription]],NetworkReference[#All],2,FALSE),VmSpecs[[#This Row],[Service]],VmSpecs[[#This Row],[VM iteration (nn)]])</f>
        <v>vmpfbpf2ocr05</v>
      </c>
      <c r="L251" s="45" t="s">
        <v>61</v>
      </c>
      <c r="M251" s="43" t="str">
        <f>VmSpecs[[#This Row],[VM Name]]&amp;".ninp.myhealthrecord.gov.au"</f>
        <v>vmpfbpf2ocr05.ninp.myhealthrecord.gov.au</v>
      </c>
      <c r="N251" s="42" t="str">
        <f t="shared" si="3"/>
        <v>nic-001-vmpfbpf2ocr05</v>
      </c>
      <c r="O251" s="106" t="s">
        <v>610</v>
      </c>
      <c r="P251" s="46" t="s">
        <v>63</v>
      </c>
      <c r="Q251" s="42" t="str">
        <f>VLOOKUP(VmSpecs[[#This Row],[Original Hostname (CMO)]],'SSOT Data'!A:E,5,FALSE)</f>
        <v>OEL6.10</v>
      </c>
      <c r="R251" s="42"/>
      <c r="S251" s="42" t="str">
        <f>_xlfn.CONCAT("avail-",LEFT(VmSpecs[[#This Row],[VM Name]],LEN(VmSpecs[[#This Row],[VM Name]])-2))</f>
        <v>avail-vmpfbpf2ocr</v>
      </c>
      <c r="T251" s="42" t="str">
        <f>_xlfn.CONCAT("asg-",LEFT(VmSpecs[[#This Row],[VM Name]],LEN(VmSpecs[[#This Row],[VM Name]])-2))</f>
        <v>asg-vmpfbpf2ocr</v>
      </c>
      <c r="U251" s="42" t="str">
        <f>_xlfn.CONCAT("nsg-",VmSpecs[[#This Row],[Subnet]])</f>
        <v>nsg-sn-pfb-aue-pf2-web</v>
      </c>
      <c r="V251" s="42" t="s">
        <v>64</v>
      </c>
      <c r="W251" s="43" t="str">
        <f>VLOOKUP(VmSpecs[[#This Row],[Original Hostname (CMO)]],'SSOT Data'!A:AX,50,FALSE)</f>
        <v>Standard_D8s_v4</v>
      </c>
      <c r="X251" s="43">
        <v>64</v>
      </c>
      <c r="Y251" s="43" t="s">
        <v>65</v>
      </c>
      <c r="Z251" s="43" t="str">
        <f>"osdisk-"&amp;VmSpecs[[#This Row],[VM Name]]</f>
        <v>osdisk-vmpfbpf2ocr05</v>
      </c>
      <c r="AA251" s="47" t="s">
        <v>66</v>
      </c>
      <c r="AB251" s="73">
        <v>8</v>
      </c>
      <c r="AC251" s="74" t="s">
        <v>65</v>
      </c>
      <c r="AD251" s="84" t="str">
        <f>"disk-"&amp;VmSpecs[[#This Row],[VM Name]]&amp;"-001"</f>
        <v>disk-vmpfbpf2ocr05-001</v>
      </c>
      <c r="AE251" s="73">
        <v>32</v>
      </c>
      <c r="AF251" s="74" t="s">
        <v>65</v>
      </c>
      <c r="AG251" s="85" t="str">
        <f>"disk-"&amp;VmSpecs[[#This Row],[VM Name]]&amp;"-002"</f>
        <v>disk-vmpfbpf2ocr05-002</v>
      </c>
      <c r="AH251" s="59" t="s">
        <v>285</v>
      </c>
      <c r="AI251" s="42"/>
      <c r="AJ251" s="42"/>
      <c r="AK251" s="42"/>
      <c r="AL251" s="42" t="str">
        <f>MID(VmSpecs[[#This Row],[VM Name]],3,9)</f>
        <v>pfbpf2ocr</v>
      </c>
      <c r="AM251" s="43" t="str" cm="1">
        <f t="array" ref="AM251">_xlfn.TEXTJOIN(CHAR(10), TRUE, IF(NfsExports[FMO Single VM IP]=VmSpecs[[#This Row],[IP]],NfsExports[FMO Export Summary],""))</f>
        <v>/apps/pcehr 40GB</v>
      </c>
      <c r="AN251" s="43" t="str" cm="1">
        <f t="array" ref="AN25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51" s="42"/>
      <c r="AP251" s="42" t="str">
        <f>VmSpecs[[#This Row],[Description]]</f>
        <v>OAG-CRP N5</v>
      </c>
      <c r="AQ251" s="43"/>
      <c r="AR251" s="43" t="s">
        <v>64</v>
      </c>
      <c r="AS251" s="43" t="s">
        <v>64</v>
      </c>
      <c r="AT251" s="43" t="s">
        <v>64</v>
      </c>
      <c r="AU251" s="43" t="s">
        <v>64</v>
      </c>
      <c r="AV251" s="42" t="s">
        <v>66</v>
      </c>
      <c r="AW251" s="42" t="s">
        <v>67</v>
      </c>
      <c r="AX251" s="42" t="s">
        <v>68</v>
      </c>
      <c r="AY251" s="42" t="s">
        <v>64</v>
      </c>
      <c r="AZ251" s="42" t="s">
        <v>64</v>
      </c>
      <c r="BA25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"OAG-CRP N5"
Application Service: "OCR"
Lifecycle: "PFB"</v>
      </c>
      <c r="BB251" s="78" t="s">
        <v>611</v>
      </c>
      <c r="BC251" s="42" t="str">
        <f>VLOOKUP(VmSpecs[[#This Row],[Original Hostname (CMO)]],'SSOT Data'!A:AJ,36,FALSE)</f>
        <v>OAG-CRP N5</v>
      </c>
      <c r="BD251" s="43"/>
    </row>
    <row r="252" spans="1:56" ht="29" x14ac:dyDescent="0.35">
      <c r="A252" s="78" t="s">
        <v>58</v>
      </c>
      <c r="B252" s="42" t="str">
        <f>_xlfn.XLOOKUP(VmSpecs[[#This Row],[Subnet]],NetworkReference[Subnet],NetworkReference[Subscription])</f>
        <v>NINP-PERF2</v>
      </c>
      <c r="C252" s="43" t="str">
        <f>_xlfn.XLOOKUP(VmSpecs[[#This Row],[Subnet]],NetworkReference[Subnet],NetworkReference[Virtual Network Resource Group])</f>
        <v>rg-pf2-network-aue-001</v>
      </c>
      <c r="D252" s="43" t="str">
        <f>_xlfn.XLOOKUP(VmSpecs[[#This Row],[Subnet]],NetworkReference[Subnet],NetworkReference[Virtual Network])</f>
        <v>vnet-pf2-workload-aue-001</v>
      </c>
      <c r="E252" s="132" t="s">
        <v>489</v>
      </c>
      <c r="F252" s="43" t="str">
        <f>_xlfn.XLOOKUP(VmSpecs[[#This Row],[Subnet]],NetworkReference[Subnet],NetworkReference[Virtual Network Peering])</f>
        <v>vnet-ninp-conn-pnp-hub-aue</v>
      </c>
      <c r="G252" s="43" t="str">
        <f>_xlfn.XLOOKUP(VmSpecs[[#This Row],[Subnet]],NetworkReference[Subnet],NetworkReference[Route Table])</f>
        <v>rt-sn-pfb-aue-pf2-web</v>
      </c>
      <c r="H252" s="43" t="str">
        <f>LOWER(VLOOKUP(VmSpecs[[#This Row],[Original Hostname (CMO)]],'SSOT Data'!A:K,10,FALSE))</f>
        <v>ocr</v>
      </c>
      <c r="I25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52" s="44" t="s">
        <v>84</v>
      </c>
      <c r="K252" s="43" t="str">
        <f>_xlfn.CONCAT("vm",MID(VmSpecs[[#This Row],[Subnet]],4,3),VLOOKUP(VmSpecs[[#This Row],[Subscription]],NetworkReference[#All],2,FALSE),VmSpecs[[#This Row],[Service]],VmSpecs[[#This Row],[VM iteration (nn)]])</f>
        <v>vmpfbpf2ocr06</v>
      </c>
      <c r="L252" s="45" t="s">
        <v>61</v>
      </c>
      <c r="M252" s="43" t="str">
        <f>VmSpecs[[#This Row],[VM Name]]&amp;".ninp.myhealthrecord.gov.au"</f>
        <v>vmpfbpf2ocr06.ninp.myhealthrecord.gov.au</v>
      </c>
      <c r="N252" s="42" t="str">
        <f t="shared" si="3"/>
        <v>nic-001-vmpfbpf2ocr06</v>
      </c>
      <c r="O252" s="106" t="s">
        <v>612</v>
      </c>
      <c r="P252" s="46" t="s">
        <v>63</v>
      </c>
      <c r="Q252" s="42" t="str">
        <f>VLOOKUP(VmSpecs[[#This Row],[Original Hostname (CMO)]],'SSOT Data'!A:E,5,FALSE)</f>
        <v>OEL6.10</v>
      </c>
      <c r="R252" s="42"/>
      <c r="S252" s="42" t="str">
        <f>_xlfn.CONCAT("avail-",LEFT(VmSpecs[[#This Row],[VM Name]],LEN(VmSpecs[[#This Row],[VM Name]])-2))</f>
        <v>avail-vmpfbpf2ocr</v>
      </c>
      <c r="T252" s="42" t="str">
        <f>_xlfn.CONCAT("asg-",LEFT(VmSpecs[[#This Row],[VM Name]],LEN(VmSpecs[[#This Row],[VM Name]])-2))</f>
        <v>asg-vmpfbpf2ocr</v>
      </c>
      <c r="U252" s="42" t="str">
        <f>_xlfn.CONCAT("nsg-",VmSpecs[[#This Row],[Subnet]])</f>
        <v>nsg-sn-pfb-aue-pf2-web</v>
      </c>
      <c r="V252" s="42" t="s">
        <v>64</v>
      </c>
      <c r="W252" s="43" t="str">
        <f>VLOOKUP(VmSpecs[[#This Row],[Original Hostname (CMO)]],'SSOT Data'!A:AX,50,FALSE)</f>
        <v>Standard_D8s_v4</v>
      </c>
      <c r="X252" s="43">
        <v>64</v>
      </c>
      <c r="Y252" s="43" t="s">
        <v>65</v>
      </c>
      <c r="Z252" s="43" t="str">
        <f>"osdisk-"&amp;VmSpecs[[#This Row],[VM Name]]</f>
        <v>osdisk-vmpfbpf2ocr06</v>
      </c>
      <c r="AA252" s="47" t="s">
        <v>66</v>
      </c>
      <c r="AB252" s="73">
        <v>8</v>
      </c>
      <c r="AC252" s="74" t="s">
        <v>65</v>
      </c>
      <c r="AD252" s="84" t="str">
        <f>"disk-"&amp;VmSpecs[[#This Row],[VM Name]]&amp;"-001"</f>
        <v>disk-vmpfbpf2ocr06-001</v>
      </c>
      <c r="AE252" s="73">
        <v>32</v>
      </c>
      <c r="AF252" s="74" t="s">
        <v>65</v>
      </c>
      <c r="AG252" s="85" t="str">
        <f>"disk-"&amp;VmSpecs[[#This Row],[VM Name]]&amp;"-002"</f>
        <v>disk-vmpfbpf2ocr06-002</v>
      </c>
      <c r="AH252" s="59" t="s">
        <v>285</v>
      </c>
      <c r="AI252" s="42"/>
      <c r="AJ252" s="42"/>
      <c r="AK252" s="42"/>
      <c r="AL252" s="42" t="str">
        <f>MID(VmSpecs[[#This Row],[VM Name]],3,9)</f>
        <v>pfbpf2ocr</v>
      </c>
      <c r="AM252" s="43" t="str" cm="1">
        <f t="array" ref="AM252">_xlfn.TEXTJOIN(CHAR(10), TRUE, IF(NfsExports[FMO Single VM IP]=VmSpecs[[#This Row],[IP]],NfsExports[FMO Export Summary],""))</f>
        <v>/apps/pcehr 40GB</v>
      </c>
      <c r="AN252" s="43" t="str" cm="1">
        <f t="array" ref="AN25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52" s="42"/>
      <c r="AP252" s="42" t="str">
        <f>VmSpecs[[#This Row],[Description]]</f>
        <v>OAG-CRP N6</v>
      </c>
      <c r="AQ252" s="43"/>
      <c r="AR252" s="43" t="s">
        <v>64</v>
      </c>
      <c r="AS252" s="43" t="s">
        <v>64</v>
      </c>
      <c r="AT252" s="43" t="s">
        <v>64</v>
      </c>
      <c r="AU252" s="43" t="s">
        <v>64</v>
      </c>
      <c r="AV252" s="42" t="s">
        <v>66</v>
      </c>
      <c r="AW252" s="42" t="s">
        <v>67</v>
      </c>
      <c r="AX252" s="42" t="s">
        <v>68</v>
      </c>
      <c r="AY252" s="42" t="s">
        <v>64</v>
      </c>
      <c r="AZ252" s="42" t="s">
        <v>64</v>
      </c>
      <c r="BA25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"OAG-CRP N6"
Application Service: "OCR"
Lifecycle: "PFB"</v>
      </c>
      <c r="BB252" s="78" t="s">
        <v>613</v>
      </c>
      <c r="BC252" s="42" t="str">
        <f>VLOOKUP(VmSpecs[[#This Row],[Original Hostname (CMO)]],'SSOT Data'!A:AJ,36,FALSE)</f>
        <v>OAG-CRP N6</v>
      </c>
      <c r="BD252" s="43"/>
    </row>
    <row r="253" spans="1:56" ht="29" x14ac:dyDescent="0.35">
      <c r="A253" s="78" t="s">
        <v>58</v>
      </c>
      <c r="B253" s="42" t="str">
        <f>_xlfn.XLOOKUP(VmSpecs[[#This Row],[Subnet]],NetworkReference[Subnet],NetworkReference[Subscription])</f>
        <v>NINP-PERF2</v>
      </c>
      <c r="C253" s="43" t="str">
        <f>_xlfn.XLOOKUP(VmSpecs[[#This Row],[Subnet]],NetworkReference[Subnet],NetworkReference[Virtual Network Resource Group])</f>
        <v>rg-pf2-network-aue-001</v>
      </c>
      <c r="D253" s="43" t="str">
        <f>_xlfn.XLOOKUP(VmSpecs[[#This Row],[Subnet]],NetworkReference[Subnet],NetworkReference[Virtual Network])</f>
        <v>vnet-pf2-workload-aue-001</v>
      </c>
      <c r="E253" s="132" t="s">
        <v>489</v>
      </c>
      <c r="F253" s="43" t="str">
        <f>_xlfn.XLOOKUP(VmSpecs[[#This Row],[Subnet]],NetworkReference[Subnet],NetworkReference[Virtual Network Peering])</f>
        <v>vnet-ninp-conn-pnp-hub-aue</v>
      </c>
      <c r="G253" s="43" t="str">
        <f>_xlfn.XLOOKUP(VmSpecs[[#This Row],[Subnet]],NetworkReference[Subnet],NetworkReference[Route Table])</f>
        <v>rt-sn-pfb-aue-pf2-web</v>
      </c>
      <c r="H253" s="43" t="str">
        <f>LOWER(VLOOKUP(VmSpecs[[#This Row],[Original Hostname (CMO)]],'SSOT Data'!A:K,10,FALSE))</f>
        <v>oha</v>
      </c>
      <c r="I25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53" s="44" t="s">
        <v>60</v>
      </c>
      <c r="K253" s="43" t="str">
        <f>_xlfn.CONCAT("vm",MID(VmSpecs[[#This Row],[Subnet]],4,3),VLOOKUP(VmSpecs[[#This Row],[Subscription]],NetworkReference[#All],2,FALSE),VmSpecs[[#This Row],[Service]],VmSpecs[[#This Row],[VM iteration (nn)]])</f>
        <v>vmpfbpf2oha01</v>
      </c>
      <c r="L253" s="45" t="s">
        <v>61</v>
      </c>
      <c r="M253" s="43" t="str">
        <f>VmSpecs[[#This Row],[VM Name]]&amp;".ninp.myhealthrecord.gov.au"</f>
        <v>vmpfbpf2oha01.ninp.myhealthrecord.gov.au</v>
      </c>
      <c r="N253" s="42" t="str">
        <f t="shared" si="3"/>
        <v>nic-001-vmpfbpf2oha01</v>
      </c>
      <c r="O253" s="106" t="s">
        <v>614</v>
      </c>
      <c r="P253" s="46" t="s">
        <v>63</v>
      </c>
      <c r="Q253" s="42" t="str">
        <f>VLOOKUP(VmSpecs[[#This Row],[Original Hostname (CMO)]],'SSOT Data'!A:E,5,FALSE)</f>
        <v>OEL7.9</v>
      </c>
      <c r="R253" s="42"/>
      <c r="S253" s="42" t="str">
        <f>_xlfn.CONCAT("avail-",LEFT(VmSpecs[[#This Row],[VM Name]],LEN(VmSpecs[[#This Row],[VM Name]])-2))</f>
        <v>avail-vmpfbpf2oha</v>
      </c>
      <c r="T253" s="42" t="str">
        <f>_xlfn.CONCAT("asg-",LEFT(VmSpecs[[#This Row],[VM Name]],LEN(VmSpecs[[#This Row],[VM Name]])-2))</f>
        <v>asg-vmpfbpf2oha</v>
      </c>
      <c r="U253" s="42" t="str">
        <f>_xlfn.CONCAT("nsg-",VmSpecs[[#This Row],[Subnet]])</f>
        <v>nsg-sn-pfb-aue-pf2-web</v>
      </c>
      <c r="V253" s="42"/>
      <c r="W253" s="43" t="str">
        <f>VLOOKUP(VmSpecs[[#This Row],[Original Hostname (CMO)]],'SSOT Data'!A:AX,50,FALSE)</f>
        <v>Standard_D2s_v4</v>
      </c>
      <c r="X253" s="43">
        <v>64</v>
      </c>
      <c r="Y253" s="43" t="s">
        <v>65</v>
      </c>
      <c r="Z253" s="43" t="str">
        <f>"osdisk-"&amp;VmSpecs[[#This Row],[VM Name]]</f>
        <v>osdisk-vmpfbpf2oha01</v>
      </c>
      <c r="AA253" s="47" t="s">
        <v>66</v>
      </c>
      <c r="AB253" s="73">
        <v>8</v>
      </c>
      <c r="AC253" s="74" t="s">
        <v>65</v>
      </c>
      <c r="AD253" s="84" t="str">
        <f>"disk-"&amp;VmSpecs[[#This Row],[VM Name]]&amp;"-001"</f>
        <v>disk-vmpfbpf2oha01-001</v>
      </c>
      <c r="AE253" s="73">
        <v>32</v>
      </c>
      <c r="AF253" s="74" t="s">
        <v>65</v>
      </c>
      <c r="AG253" s="85" t="str">
        <f>"disk-"&amp;VmSpecs[[#This Row],[VM Name]]&amp;"-002"</f>
        <v>disk-vmpfbpf2oha01-002</v>
      </c>
      <c r="AH253" s="59"/>
      <c r="AI253" s="42"/>
      <c r="AJ253" s="42"/>
      <c r="AK253" s="42"/>
      <c r="AL253" s="42" t="str">
        <f>MID(VmSpecs[[#This Row],[VM Name]],3,9)</f>
        <v>pfbpf2oha</v>
      </c>
      <c r="AM253" s="42" t="str" cm="1">
        <f t="array" ref="AM253">_xlfn.TEXTJOIN(CHAR(10), TRUE, IF(NfsExports[FMO Single VM IP]=VmSpecs[[#This Row],[IP]],NfsExports[FMO Export Summary],""))</f>
        <v>/apps/pcehr 30GB</v>
      </c>
      <c r="AN253" s="43" t="str" cm="1">
        <f t="array" ref="AN25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53" s="42"/>
      <c r="AP253" s="42" t="str">
        <f>VmSpecs[[#This Row],[Description]]</f>
        <v>OHS-Admin/OBIEE N1</v>
      </c>
      <c r="AQ253" s="43"/>
      <c r="AR253" s="43" t="s">
        <v>64</v>
      </c>
      <c r="AS253" s="43" t="s">
        <v>64</v>
      </c>
      <c r="AT253" s="43" t="s">
        <v>64</v>
      </c>
      <c r="AU253" s="43" t="s">
        <v>64</v>
      </c>
      <c r="AV253" s="42" t="s">
        <v>66</v>
      </c>
      <c r="AW253" s="42" t="s">
        <v>67</v>
      </c>
      <c r="AX253" s="42" t="s">
        <v>68</v>
      </c>
      <c r="AY253" s="42" t="s">
        <v>64</v>
      </c>
      <c r="AZ253" s="42" t="s">
        <v>64</v>
      </c>
      <c r="BA25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"OHS-Admin/OBIEE N1"
Application Service: "OHA"
Lifecycle: "PFB"</v>
      </c>
      <c r="BB253" s="78" t="s">
        <v>615</v>
      </c>
      <c r="BC253" s="42" t="str">
        <f>VLOOKUP(VmSpecs[[#This Row],[Original Hostname (CMO)]],'SSOT Data'!A:AJ,36,FALSE)</f>
        <v>OHS-Admin/OBIEE N1</v>
      </c>
      <c r="BD253" s="43"/>
    </row>
    <row r="254" spans="1:56" ht="29" x14ac:dyDescent="0.35">
      <c r="A254" s="78" t="s">
        <v>58</v>
      </c>
      <c r="B254" s="42" t="str">
        <f>_xlfn.XLOOKUP(VmSpecs[[#This Row],[Subnet]],NetworkReference[Subnet],NetworkReference[Subscription])</f>
        <v>NINP-PERF2</v>
      </c>
      <c r="C254" s="43" t="str">
        <f>_xlfn.XLOOKUP(VmSpecs[[#This Row],[Subnet]],NetworkReference[Subnet],NetworkReference[Virtual Network Resource Group])</f>
        <v>rg-pf2-network-aue-001</v>
      </c>
      <c r="D254" s="43" t="str">
        <f>_xlfn.XLOOKUP(VmSpecs[[#This Row],[Subnet]],NetworkReference[Subnet],NetworkReference[Virtual Network])</f>
        <v>vnet-pf2-workload-aue-001</v>
      </c>
      <c r="E254" s="132" t="s">
        <v>489</v>
      </c>
      <c r="F254" s="43" t="str">
        <f>_xlfn.XLOOKUP(VmSpecs[[#This Row],[Subnet]],NetworkReference[Subnet],NetworkReference[Virtual Network Peering])</f>
        <v>vnet-ninp-conn-pnp-hub-aue</v>
      </c>
      <c r="G254" s="43" t="str">
        <f>_xlfn.XLOOKUP(VmSpecs[[#This Row],[Subnet]],NetworkReference[Subnet],NetworkReference[Route Table])</f>
        <v>rt-sn-pfb-aue-pf2-web</v>
      </c>
      <c r="H254" s="43" t="str">
        <f>LOWER(VLOOKUP(VmSpecs[[#This Row],[Original Hostname (CMO)]],'SSOT Data'!A:K,10,FALSE))</f>
        <v>oha</v>
      </c>
      <c r="I25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54" s="44" t="s">
        <v>72</v>
      </c>
      <c r="K254" s="43" t="str">
        <f>_xlfn.CONCAT("vm",MID(VmSpecs[[#This Row],[Subnet]],4,3),VLOOKUP(VmSpecs[[#This Row],[Subscription]],NetworkReference[#All],2,FALSE),VmSpecs[[#This Row],[Service]],VmSpecs[[#This Row],[VM iteration (nn)]])</f>
        <v>vmpfbpf2oha02</v>
      </c>
      <c r="L254" s="45" t="s">
        <v>61</v>
      </c>
      <c r="M254" s="43" t="str">
        <f>VmSpecs[[#This Row],[VM Name]]&amp;".ninp.myhealthrecord.gov.au"</f>
        <v>vmpfbpf2oha02.ninp.myhealthrecord.gov.au</v>
      </c>
      <c r="N254" s="42" t="str">
        <f t="shared" si="3"/>
        <v>nic-001-vmpfbpf2oha02</v>
      </c>
      <c r="O254" s="106" t="s">
        <v>616</v>
      </c>
      <c r="P254" s="46" t="s">
        <v>63</v>
      </c>
      <c r="Q254" s="42" t="str">
        <f>VLOOKUP(VmSpecs[[#This Row],[Original Hostname (CMO)]],'SSOT Data'!A:E,5,FALSE)</f>
        <v>OEL7.9</v>
      </c>
      <c r="R254" s="42"/>
      <c r="S254" s="42" t="str">
        <f>_xlfn.CONCAT("avail-",LEFT(VmSpecs[[#This Row],[VM Name]],LEN(VmSpecs[[#This Row],[VM Name]])-2))</f>
        <v>avail-vmpfbpf2oha</v>
      </c>
      <c r="T254" s="42" t="str">
        <f>_xlfn.CONCAT("asg-",LEFT(VmSpecs[[#This Row],[VM Name]],LEN(VmSpecs[[#This Row],[VM Name]])-2))</f>
        <v>asg-vmpfbpf2oha</v>
      </c>
      <c r="U254" s="42" t="str">
        <f>_xlfn.CONCAT("nsg-",VmSpecs[[#This Row],[Subnet]])</f>
        <v>nsg-sn-pfb-aue-pf2-web</v>
      </c>
      <c r="V254" s="42"/>
      <c r="W254" s="43" t="str">
        <f>VLOOKUP(VmSpecs[[#This Row],[Original Hostname (CMO)]],'SSOT Data'!A:AX,50,FALSE)</f>
        <v>Standard_D2s_v4</v>
      </c>
      <c r="X254" s="43">
        <v>64</v>
      </c>
      <c r="Y254" s="43" t="s">
        <v>65</v>
      </c>
      <c r="Z254" s="43" t="str">
        <f>"osdisk-"&amp;VmSpecs[[#This Row],[VM Name]]</f>
        <v>osdisk-vmpfbpf2oha02</v>
      </c>
      <c r="AA254" s="47" t="s">
        <v>66</v>
      </c>
      <c r="AB254" s="73">
        <v>8</v>
      </c>
      <c r="AC254" s="74" t="s">
        <v>65</v>
      </c>
      <c r="AD254" s="84" t="str">
        <f>"disk-"&amp;VmSpecs[[#This Row],[VM Name]]&amp;"-001"</f>
        <v>disk-vmpfbpf2oha02-001</v>
      </c>
      <c r="AE254" s="73">
        <v>32</v>
      </c>
      <c r="AF254" s="74" t="s">
        <v>65</v>
      </c>
      <c r="AG254" s="85" t="str">
        <f>"disk-"&amp;VmSpecs[[#This Row],[VM Name]]&amp;"-002"</f>
        <v>disk-vmpfbpf2oha02-002</v>
      </c>
      <c r="AH254" s="59"/>
      <c r="AI254" s="42"/>
      <c r="AJ254" s="42"/>
      <c r="AK254" s="42"/>
      <c r="AL254" s="42" t="str">
        <f>MID(VmSpecs[[#This Row],[VM Name]],3,9)</f>
        <v>pfbpf2oha</v>
      </c>
      <c r="AM254" s="42" t="str" cm="1">
        <f t="array" ref="AM254">_xlfn.TEXTJOIN(CHAR(10), TRUE, IF(NfsExports[FMO Single VM IP]=VmSpecs[[#This Row],[IP]],NfsExports[FMO Export Summary],""))</f>
        <v>/apps/pcehr 30GB</v>
      </c>
      <c r="AN254" s="43" t="str" cm="1">
        <f t="array" ref="AN25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54" s="42"/>
      <c r="AP254" s="42" t="str">
        <f>VmSpecs[[#This Row],[Description]]</f>
        <v>OHS-Admin/OBIEE N2</v>
      </c>
      <c r="AQ254" s="43"/>
      <c r="AR254" s="43" t="s">
        <v>64</v>
      </c>
      <c r="AS254" s="43" t="s">
        <v>64</v>
      </c>
      <c r="AT254" s="43" t="s">
        <v>64</v>
      </c>
      <c r="AU254" s="43" t="s">
        <v>64</v>
      </c>
      <c r="AV254" s="42" t="s">
        <v>66</v>
      </c>
      <c r="AW254" s="42" t="s">
        <v>67</v>
      </c>
      <c r="AX254" s="42" t="s">
        <v>68</v>
      </c>
      <c r="AY254" s="42" t="s">
        <v>64</v>
      </c>
      <c r="AZ254" s="42" t="s">
        <v>64</v>
      </c>
      <c r="BA25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"OHS-Admin/OBIEE N2"
Application Service: "OHA"
Lifecycle: "PFB"</v>
      </c>
      <c r="BB254" s="78" t="s">
        <v>617</v>
      </c>
      <c r="BC254" s="42" t="str">
        <f>VLOOKUP(VmSpecs[[#This Row],[Original Hostname (CMO)]],'SSOT Data'!A:AJ,36,FALSE)</f>
        <v>OHS-Admin/OBIEE N2</v>
      </c>
      <c r="BD254" s="43"/>
    </row>
    <row r="255" spans="1:56" ht="29" x14ac:dyDescent="0.35">
      <c r="A255" s="78" t="s">
        <v>58</v>
      </c>
      <c r="B255" s="42" t="str">
        <f>_xlfn.XLOOKUP(VmSpecs[[#This Row],[Subnet]],NetworkReference[Subnet],NetworkReference[Subscription])</f>
        <v>NINP-PERF2</v>
      </c>
      <c r="C255" s="43" t="str">
        <f>_xlfn.XLOOKUP(VmSpecs[[#This Row],[Subnet]],NetworkReference[Subnet],NetworkReference[Virtual Network Resource Group])</f>
        <v>rg-pf2-network-aue-001</v>
      </c>
      <c r="D255" s="43" t="str">
        <f>_xlfn.XLOOKUP(VmSpecs[[#This Row],[Subnet]],NetworkReference[Subnet],NetworkReference[Virtual Network])</f>
        <v>vnet-pf2-workload-aue-001</v>
      </c>
      <c r="E255" s="132" t="s">
        <v>489</v>
      </c>
      <c r="F255" s="43" t="str">
        <f>_xlfn.XLOOKUP(VmSpecs[[#This Row],[Subnet]],NetworkReference[Subnet],NetworkReference[Virtual Network Peering])</f>
        <v>vnet-ninp-conn-pnp-hub-aue</v>
      </c>
      <c r="G255" s="43" t="str">
        <f>_xlfn.XLOOKUP(VmSpecs[[#This Row],[Subnet]],NetworkReference[Subnet],NetworkReference[Route Table])</f>
        <v>rt-sn-pfb-aue-pf2-web</v>
      </c>
      <c r="H255" s="43" t="str">
        <f>LOWER(VLOOKUP(VmSpecs[[#This Row],[Original Hostname (CMO)]],'SSOT Data'!A:K,10,FALSE))</f>
        <v>ohb</v>
      </c>
      <c r="I25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55" s="44" t="s">
        <v>60</v>
      </c>
      <c r="K255" s="43" t="str">
        <f>_xlfn.CONCAT("vm",MID(VmSpecs[[#This Row],[Subnet]],4,3),VLOOKUP(VmSpecs[[#This Row],[Subscription]],NetworkReference[#All],2,FALSE),VmSpecs[[#This Row],[Service]],VmSpecs[[#This Row],[VM iteration (nn)]])</f>
        <v>vmpfbpf2ohb01</v>
      </c>
      <c r="L255" s="45" t="s">
        <v>61</v>
      </c>
      <c r="M255" s="43" t="str">
        <f>VmSpecs[[#This Row],[VM Name]]&amp;".ninp.myhealthrecord.gov.au"</f>
        <v>vmpfbpf2ohb01.ninp.myhealthrecord.gov.au</v>
      </c>
      <c r="N255" s="42" t="str">
        <f t="shared" si="3"/>
        <v>nic-001-vmpfbpf2ohb01</v>
      </c>
      <c r="O255" s="106" t="s">
        <v>618</v>
      </c>
      <c r="P255" s="46" t="s">
        <v>63</v>
      </c>
      <c r="Q255" s="42" t="str">
        <f>VLOOKUP(VmSpecs[[#This Row],[Original Hostname (CMO)]],'SSOT Data'!A:E,5,FALSE)</f>
        <v>OEL7.9</v>
      </c>
      <c r="R255" s="42"/>
      <c r="S255" s="42" t="str">
        <f>_xlfn.CONCAT("avail-",LEFT(VmSpecs[[#This Row],[VM Name]],LEN(VmSpecs[[#This Row],[VM Name]])-2))</f>
        <v>avail-vmpfbpf2ohb</v>
      </c>
      <c r="T255" s="42" t="str">
        <f>_xlfn.CONCAT("asg-",LEFT(VmSpecs[[#This Row],[VM Name]],LEN(VmSpecs[[#This Row],[VM Name]])-2))</f>
        <v>asg-vmpfbpf2ohb</v>
      </c>
      <c r="U255" s="42" t="str">
        <f>_xlfn.CONCAT("nsg-",VmSpecs[[#This Row],[Subnet]])</f>
        <v>nsg-sn-pfb-aue-pf2-web</v>
      </c>
      <c r="V255" s="42"/>
      <c r="W255" s="43" t="str">
        <f>VLOOKUP(VmSpecs[[#This Row],[Original Hostname (CMO)]],'SSOT Data'!A:AX,50,FALSE)</f>
        <v>Standard_D8s_v4</v>
      </c>
      <c r="X255" s="43">
        <v>64</v>
      </c>
      <c r="Y255" s="43" t="s">
        <v>65</v>
      </c>
      <c r="Z255" s="43" t="str">
        <f>"osdisk-"&amp;VmSpecs[[#This Row],[VM Name]]</f>
        <v>osdisk-vmpfbpf2ohb01</v>
      </c>
      <c r="AA255" s="47" t="s">
        <v>66</v>
      </c>
      <c r="AB255" s="73">
        <v>8</v>
      </c>
      <c r="AC255" s="74" t="s">
        <v>65</v>
      </c>
      <c r="AD255" s="84" t="str">
        <f>"disk-"&amp;VmSpecs[[#This Row],[VM Name]]&amp;"-001"</f>
        <v>disk-vmpfbpf2ohb01-001</v>
      </c>
      <c r="AE255" s="73">
        <v>32</v>
      </c>
      <c r="AF255" s="74" t="s">
        <v>65</v>
      </c>
      <c r="AG255" s="85" t="str">
        <f>"disk-"&amp;VmSpecs[[#This Row],[VM Name]]&amp;"-002"</f>
        <v>disk-vmpfbpf2ohb01-002</v>
      </c>
      <c r="AH255" s="59"/>
      <c r="AI255" s="42"/>
      <c r="AJ255" s="42"/>
      <c r="AK255" s="42"/>
      <c r="AL255" s="42" t="str">
        <f>MID(VmSpecs[[#This Row],[VM Name]],3,9)</f>
        <v>pfbpf2ohb</v>
      </c>
      <c r="AM255" s="42" t="str" cm="1">
        <f t="array" ref="AM255">_xlfn.TEXTJOIN(CHAR(10), TRUE, IF(NfsExports[FMO Single VM IP]=VmSpecs[[#This Row],[IP]],NfsExports[FMO Export Summary],""))</f>
        <v>/apps/pcehr 30GB</v>
      </c>
      <c r="AN255" s="43" t="str" cm="1">
        <f t="array" ref="AN25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55" s="42"/>
      <c r="AP255" s="42" t="str">
        <f>VmSpecs[[#This Row],[Description]]</f>
        <v>OHS-OAG B2B</v>
      </c>
      <c r="AQ255" s="43"/>
      <c r="AR255" s="43" t="s">
        <v>64</v>
      </c>
      <c r="AS255" s="43" t="s">
        <v>64</v>
      </c>
      <c r="AT255" s="43" t="s">
        <v>64</v>
      </c>
      <c r="AU255" s="43" t="s">
        <v>64</v>
      </c>
      <c r="AV255" s="42" t="s">
        <v>66</v>
      </c>
      <c r="AW255" s="42" t="s">
        <v>67</v>
      </c>
      <c r="AX255" s="42" t="s">
        <v>68</v>
      </c>
      <c r="AY255" s="42" t="s">
        <v>64</v>
      </c>
      <c r="AZ255" s="42" t="s">
        <v>64</v>
      </c>
      <c r="BA25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B2B"
Application Service: "OHB"
Lifecycle: "PFB"</v>
      </c>
      <c r="BB255" s="78" t="s">
        <v>619</v>
      </c>
      <c r="BC255" s="42" t="str">
        <f>VLOOKUP(VmSpecs[[#This Row],[Original Hostname (CMO)]],'SSOT Data'!A:AJ,36,FALSE)</f>
        <v>OHS-OAG B2B</v>
      </c>
      <c r="BD255" s="144" t="s">
        <v>620</v>
      </c>
    </row>
    <row r="256" spans="1:56" ht="29" x14ac:dyDescent="0.35">
      <c r="A256" s="78" t="s">
        <v>58</v>
      </c>
      <c r="B256" s="42" t="str">
        <f>_xlfn.XLOOKUP(VmSpecs[[#This Row],[Subnet]],NetworkReference[Subnet],NetworkReference[Subscription])</f>
        <v>NINP-PERF2</v>
      </c>
      <c r="C256" s="43" t="str">
        <f>_xlfn.XLOOKUP(VmSpecs[[#This Row],[Subnet]],NetworkReference[Subnet],NetworkReference[Virtual Network Resource Group])</f>
        <v>rg-pf2-network-aue-001</v>
      </c>
      <c r="D256" s="43" t="str">
        <f>_xlfn.XLOOKUP(VmSpecs[[#This Row],[Subnet]],NetworkReference[Subnet],NetworkReference[Virtual Network])</f>
        <v>vnet-pf2-workload-aue-001</v>
      </c>
      <c r="E256" s="132" t="s">
        <v>489</v>
      </c>
      <c r="F256" s="43" t="str">
        <f>_xlfn.XLOOKUP(VmSpecs[[#This Row],[Subnet]],NetworkReference[Subnet],NetworkReference[Virtual Network Peering])</f>
        <v>vnet-ninp-conn-pnp-hub-aue</v>
      </c>
      <c r="G256" s="43" t="str">
        <f>_xlfn.XLOOKUP(VmSpecs[[#This Row],[Subnet]],NetworkReference[Subnet],NetworkReference[Route Table])</f>
        <v>rt-sn-pfb-aue-pf2-web</v>
      </c>
      <c r="H256" s="43" t="str">
        <f>LOWER(VLOOKUP(VmSpecs[[#This Row],[Original Hostname (CMO)]],'SSOT Data'!A:K,10,FALSE))</f>
        <v>ohb</v>
      </c>
      <c r="I25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56" s="44" t="s">
        <v>72</v>
      </c>
      <c r="K256" s="43" t="str">
        <f>_xlfn.CONCAT("vm",MID(VmSpecs[[#This Row],[Subnet]],4,3),VLOOKUP(VmSpecs[[#This Row],[Subscription]],NetworkReference[#All],2,FALSE),VmSpecs[[#This Row],[Service]],VmSpecs[[#This Row],[VM iteration (nn)]])</f>
        <v>vmpfbpf2ohb02</v>
      </c>
      <c r="L256" s="45" t="s">
        <v>61</v>
      </c>
      <c r="M256" s="43" t="str">
        <f>VmSpecs[[#This Row],[VM Name]]&amp;".ninp.myhealthrecord.gov.au"</f>
        <v>vmpfbpf2ohb02.ninp.myhealthrecord.gov.au</v>
      </c>
      <c r="N256" s="42" t="str">
        <f t="shared" si="3"/>
        <v>nic-001-vmpfbpf2ohb02</v>
      </c>
      <c r="O256" s="106" t="s">
        <v>621</v>
      </c>
      <c r="P256" s="46" t="s">
        <v>63</v>
      </c>
      <c r="Q256" s="42" t="str">
        <f>VLOOKUP(VmSpecs[[#This Row],[Original Hostname (CMO)]],'SSOT Data'!A:E,5,FALSE)</f>
        <v>OEL7.9</v>
      </c>
      <c r="R256" s="42"/>
      <c r="S256" s="42" t="str">
        <f>_xlfn.CONCAT("avail-",LEFT(VmSpecs[[#This Row],[VM Name]],LEN(VmSpecs[[#This Row],[VM Name]])-2))</f>
        <v>avail-vmpfbpf2ohb</v>
      </c>
      <c r="T256" s="42" t="str">
        <f>_xlfn.CONCAT("asg-",LEFT(VmSpecs[[#This Row],[VM Name]],LEN(VmSpecs[[#This Row],[VM Name]])-2))</f>
        <v>asg-vmpfbpf2ohb</v>
      </c>
      <c r="U256" s="42" t="str">
        <f>_xlfn.CONCAT("nsg-",VmSpecs[[#This Row],[Subnet]])</f>
        <v>nsg-sn-pfb-aue-pf2-web</v>
      </c>
      <c r="V256" s="42"/>
      <c r="W256" s="43" t="str">
        <f>VLOOKUP(VmSpecs[[#This Row],[Original Hostname (CMO)]],'SSOT Data'!A:AX,50,FALSE)</f>
        <v>Standard_D8s_v4</v>
      </c>
      <c r="X256" s="43">
        <v>64</v>
      </c>
      <c r="Y256" s="43" t="s">
        <v>65</v>
      </c>
      <c r="Z256" s="43" t="str">
        <f>"osdisk-"&amp;VmSpecs[[#This Row],[VM Name]]</f>
        <v>osdisk-vmpfbpf2ohb02</v>
      </c>
      <c r="AA256" s="47" t="s">
        <v>66</v>
      </c>
      <c r="AB256" s="73">
        <v>8</v>
      </c>
      <c r="AC256" s="74" t="s">
        <v>65</v>
      </c>
      <c r="AD256" s="84" t="str">
        <f>"disk-"&amp;VmSpecs[[#This Row],[VM Name]]&amp;"-001"</f>
        <v>disk-vmpfbpf2ohb02-001</v>
      </c>
      <c r="AE256" s="73">
        <v>32</v>
      </c>
      <c r="AF256" s="74" t="s">
        <v>65</v>
      </c>
      <c r="AG256" s="85" t="str">
        <f>"disk-"&amp;VmSpecs[[#This Row],[VM Name]]&amp;"-002"</f>
        <v>disk-vmpfbpf2ohb02-002</v>
      </c>
      <c r="AH256" s="59"/>
      <c r="AI256" s="42"/>
      <c r="AJ256" s="42"/>
      <c r="AK256" s="42"/>
      <c r="AL256" s="42" t="str">
        <f>MID(VmSpecs[[#This Row],[VM Name]],3,9)</f>
        <v>pfbpf2ohb</v>
      </c>
      <c r="AM256" s="42" t="str" cm="1">
        <f t="array" ref="AM256">_xlfn.TEXTJOIN(CHAR(10), TRUE, IF(NfsExports[FMO Single VM IP]=VmSpecs[[#This Row],[IP]],NfsExports[FMO Export Summary],""))</f>
        <v>/apps/pcehr 30GB</v>
      </c>
      <c r="AN256" s="43" t="str" cm="1">
        <f t="array" ref="AN25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56" s="42"/>
      <c r="AP256" s="42" t="str">
        <f>VmSpecs[[#This Row],[Description]]</f>
        <v>OHS-OAG B2B</v>
      </c>
      <c r="AQ256" s="43"/>
      <c r="AR256" s="43" t="s">
        <v>64</v>
      </c>
      <c r="AS256" s="43" t="s">
        <v>64</v>
      </c>
      <c r="AT256" s="43" t="s">
        <v>64</v>
      </c>
      <c r="AU256" s="43" t="s">
        <v>64</v>
      </c>
      <c r="AV256" s="42" t="s">
        <v>66</v>
      </c>
      <c r="AW256" s="42" t="s">
        <v>67</v>
      </c>
      <c r="AX256" s="42" t="s">
        <v>68</v>
      </c>
      <c r="AY256" s="42" t="s">
        <v>64</v>
      </c>
      <c r="AZ256" s="42" t="s">
        <v>64</v>
      </c>
      <c r="BA25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B2B"
Application Service: "OHB"
Lifecycle: "PFB"</v>
      </c>
      <c r="BB256" s="78" t="s">
        <v>622</v>
      </c>
      <c r="BC256" s="42" t="str">
        <f>VLOOKUP(VmSpecs[[#This Row],[Original Hostname (CMO)]],'SSOT Data'!A:AJ,36,FALSE)</f>
        <v>OHS-OAG B2B</v>
      </c>
      <c r="BD256" s="144" t="s">
        <v>620</v>
      </c>
    </row>
    <row r="257" spans="1:56" ht="29" x14ac:dyDescent="0.35">
      <c r="A257" s="78" t="s">
        <v>58</v>
      </c>
      <c r="B257" s="42" t="str">
        <f>_xlfn.XLOOKUP(VmSpecs[[#This Row],[Subnet]],NetworkReference[Subnet],NetworkReference[Subscription])</f>
        <v>NINP-PERF2</v>
      </c>
      <c r="C257" s="43" t="str">
        <f>_xlfn.XLOOKUP(VmSpecs[[#This Row],[Subnet]],NetworkReference[Subnet],NetworkReference[Virtual Network Resource Group])</f>
        <v>rg-pf2-network-aue-001</v>
      </c>
      <c r="D257" s="43" t="str">
        <f>_xlfn.XLOOKUP(VmSpecs[[#This Row],[Subnet]],NetworkReference[Subnet],NetworkReference[Virtual Network])</f>
        <v>vnet-pf2-workload-aue-001</v>
      </c>
      <c r="E257" s="132" t="s">
        <v>489</v>
      </c>
      <c r="F257" s="43" t="str">
        <f>_xlfn.XLOOKUP(VmSpecs[[#This Row],[Subnet]],NetworkReference[Subnet],NetworkReference[Virtual Network Peering])</f>
        <v>vnet-ninp-conn-pnp-hub-aue</v>
      </c>
      <c r="G257" s="43" t="str">
        <f>_xlfn.XLOOKUP(VmSpecs[[#This Row],[Subnet]],NetworkReference[Subnet],NetworkReference[Route Table])</f>
        <v>rt-sn-pfb-aue-pf2-web</v>
      </c>
      <c r="H257" s="43" t="str">
        <f>LOWER(VLOOKUP(VmSpecs[[#This Row],[Original Hostname (CMO)]],'SSOT Data'!A:K,10,FALSE))</f>
        <v>ohb</v>
      </c>
      <c r="I25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57" s="44" t="s">
        <v>75</v>
      </c>
      <c r="K257" s="43" t="str">
        <f>_xlfn.CONCAT("vm",MID(VmSpecs[[#This Row],[Subnet]],4,3),VLOOKUP(VmSpecs[[#This Row],[Subscription]],NetworkReference[#All],2,FALSE),VmSpecs[[#This Row],[Service]],VmSpecs[[#This Row],[VM iteration (nn)]])</f>
        <v>vmpfbpf2ohb03</v>
      </c>
      <c r="L257" s="45" t="s">
        <v>61</v>
      </c>
      <c r="M257" s="43" t="str">
        <f>VmSpecs[[#This Row],[VM Name]]&amp;".ninp.myhealthrecord.gov.au"</f>
        <v>vmpfbpf2ohb03.ninp.myhealthrecord.gov.au</v>
      </c>
      <c r="N257" s="42" t="str">
        <f t="shared" si="3"/>
        <v>nic-001-vmpfbpf2ohb03</v>
      </c>
      <c r="O257" s="106" t="s">
        <v>623</v>
      </c>
      <c r="P257" s="46" t="s">
        <v>63</v>
      </c>
      <c r="Q257" s="42" t="str">
        <f>VLOOKUP(VmSpecs[[#This Row],[Original Hostname (CMO)]],'SSOT Data'!A:E,5,FALSE)</f>
        <v>OEL7.9</v>
      </c>
      <c r="R257" s="42"/>
      <c r="S257" s="42" t="str">
        <f>_xlfn.CONCAT("avail-",LEFT(VmSpecs[[#This Row],[VM Name]],LEN(VmSpecs[[#This Row],[VM Name]])-2))</f>
        <v>avail-vmpfbpf2ohb</v>
      </c>
      <c r="T257" s="42" t="str">
        <f>_xlfn.CONCAT("asg-",LEFT(VmSpecs[[#This Row],[VM Name]],LEN(VmSpecs[[#This Row],[VM Name]])-2))</f>
        <v>asg-vmpfbpf2ohb</v>
      </c>
      <c r="U257" s="42" t="str">
        <f>_xlfn.CONCAT("nsg-",VmSpecs[[#This Row],[Subnet]])</f>
        <v>nsg-sn-pfb-aue-pf2-web</v>
      </c>
      <c r="V257" s="42"/>
      <c r="W257" s="43" t="str">
        <f>VLOOKUP(VmSpecs[[#This Row],[Original Hostname (CMO)]],'SSOT Data'!A:AX,50,FALSE)</f>
        <v>Standard_D8s_v4</v>
      </c>
      <c r="X257" s="43">
        <v>64</v>
      </c>
      <c r="Y257" s="43" t="s">
        <v>65</v>
      </c>
      <c r="Z257" s="43" t="str">
        <f>"osdisk-"&amp;VmSpecs[[#This Row],[VM Name]]</f>
        <v>osdisk-vmpfbpf2ohb03</v>
      </c>
      <c r="AA257" s="47" t="s">
        <v>66</v>
      </c>
      <c r="AB257" s="73">
        <v>8</v>
      </c>
      <c r="AC257" s="74" t="s">
        <v>65</v>
      </c>
      <c r="AD257" s="84" t="str">
        <f>"disk-"&amp;VmSpecs[[#This Row],[VM Name]]&amp;"-001"</f>
        <v>disk-vmpfbpf2ohb03-001</v>
      </c>
      <c r="AE257" s="73">
        <v>32</v>
      </c>
      <c r="AF257" s="74" t="s">
        <v>65</v>
      </c>
      <c r="AG257" s="85" t="str">
        <f>"disk-"&amp;VmSpecs[[#This Row],[VM Name]]&amp;"-002"</f>
        <v>disk-vmpfbpf2ohb03-002</v>
      </c>
      <c r="AH257" s="59"/>
      <c r="AI257" s="42"/>
      <c r="AJ257" s="42"/>
      <c r="AK257" s="42"/>
      <c r="AL257" s="42" t="str">
        <f>MID(VmSpecs[[#This Row],[VM Name]],3,9)</f>
        <v>pfbpf2ohb</v>
      </c>
      <c r="AM257" s="42" t="str" cm="1">
        <f t="array" ref="AM257">_xlfn.TEXTJOIN(CHAR(10), TRUE, IF(NfsExports[FMO Single VM IP]=VmSpecs[[#This Row],[IP]],NfsExports[FMO Export Summary],""))</f>
        <v>/apps/pcehr 30GB</v>
      </c>
      <c r="AN257" s="43" t="str" cm="1">
        <f t="array" ref="AN25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57" s="42"/>
      <c r="AP257" s="42" t="str">
        <f>VmSpecs[[#This Row],[Description]]</f>
        <v>OHS-OAG B2B</v>
      </c>
      <c r="AQ257" s="43"/>
      <c r="AR257" s="43" t="s">
        <v>64</v>
      </c>
      <c r="AS257" s="43" t="s">
        <v>64</v>
      </c>
      <c r="AT257" s="43" t="s">
        <v>64</v>
      </c>
      <c r="AU257" s="43" t="s">
        <v>64</v>
      </c>
      <c r="AV257" s="42" t="s">
        <v>66</v>
      </c>
      <c r="AW257" s="42" t="s">
        <v>67</v>
      </c>
      <c r="AX257" s="42" t="s">
        <v>68</v>
      </c>
      <c r="AY257" s="42" t="s">
        <v>64</v>
      </c>
      <c r="AZ257" s="42" t="s">
        <v>64</v>
      </c>
      <c r="BA25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B2B"
Application Service: "OHB"
Lifecycle: "PFB"</v>
      </c>
      <c r="BB257" s="78" t="s">
        <v>624</v>
      </c>
      <c r="BC257" s="42" t="str">
        <f>VLOOKUP(VmSpecs[[#This Row],[Original Hostname (CMO)]],'SSOT Data'!A:AJ,36,FALSE)</f>
        <v>OHS-OAG B2B</v>
      </c>
      <c r="BD257" s="144" t="s">
        <v>620</v>
      </c>
    </row>
    <row r="258" spans="1:56" ht="29" x14ac:dyDescent="0.35">
      <c r="A258" s="78" t="s">
        <v>58</v>
      </c>
      <c r="B258" s="42" t="str">
        <f>_xlfn.XLOOKUP(VmSpecs[[#This Row],[Subnet]],NetworkReference[Subnet],NetworkReference[Subscription])</f>
        <v>NINP-PERF2</v>
      </c>
      <c r="C258" s="43" t="str">
        <f>_xlfn.XLOOKUP(VmSpecs[[#This Row],[Subnet]],NetworkReference[Subnet],NetworkReference[Virtual Network Resource Group])</f>
        <v>rg-pf2-network-aue-001</v>
      </c>
      <c r="D258" s="43" t="str">
        <f>_xlfn.XLOOKUP(VmSpecs[[#This Row],[Subnet]],NetworkReference[Subnet],NetworkReference[Virtual Network])</f>
        <v>vnet-pf2-workload-aue-001</v>
      </c>
      <c r="E258" s="132" t="s">
        <v>489</v>
      </c>
      <c r="F258" s="43" t="str">
        <f>_xlfn.XLOOKUP(VmSpecs[[#This Row],[Subnet]],NetworkReference[Subnet],NetworkReference[Virtual Network Peering])</f>
        <v>vnet-ninp-conn-pnp-hub-aue</v>
      </c>
      <c r="G258" s="43" t="str">
        <f>_xlfn.XLOOKUP(VmSpecs[[#This Row],[Subnet]],NetworkReference[Subnet],NetworkReference[Route Table])</f>
        <v>rt-sn-pfb-aue-pf2-web</v>
      </c>
      <c r="H258" s="43" t="str">
        <f>LOWER(VLOOKUP(VmSpecs[[#This Row],[Original Hostname (CMO)]],'SSOT Data'!A:K,10,FALSE))</f>
        <v>ohb</v>
      </c>
      <c r="I25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58" s="44" t="s">
        <v>78</v>
      </c>
      <c r="K258" s="43" t="str">
        <f>_xlfn.CONCAT("vm",MID(VmSpecs[[#This Row],[Subnet]],4,3),VLOOKUP(VmSpecs[[#This Row],[Subscription]],NetworkReference[#All],2,FALSE),VmSpecs[[#This Row],[Service]],VmSpecs[[#This Row],[VM iteration (nn)]])</f>
        <v>vmpfbpf2ohb04</v>
      </c>
      <c r="L258" s="45" t="s">
        <v>61</v>
      </c>
      <c r="M258" s="43" t="str">
        <f>VmSpecs[[#This Row],[VM Name]]&amp;".ninp.myhealthrecord.gov.au"</f>
        <v>vmpfbpf2ohb04.ninp.myhealthrecord.gov.au</v>
      </c>
      <c r="N258" s="42" t="str">
        <f t="shared" si="3"/>
        <v>nic-001-vmpfbpf2ohb04</v>
      </c>
      <c r="O258" s="106" t="s">
        <v>625</v>
      </c>
      <c r="P258" s="46" t="s">
        <v>63</v>
      </c>
      <c r="Q258" s="42" t="str">
        <f>VLOOKUP(VmSpecs[[#This Row],[Original Hostname (CMO)]],'SSOT Data'!A:E,5,FALSE)</f>
        <v>OEL7.9</v>
      </c>
      <c r="R258" s="42"/>
      <c r="S258" s="42" t="str">
        <f>_xlfn.CONCAT("avail-",LEFT(VmSpecs[[#This Row],[VM Name]],LEN(VmSpecs[[#This Row],[VM Name]])-2))</f>
        <v>avail-vmpfbpf2ohb</v>
      </c>
      <c r="T258" s="42" t="str">
        <f>_xlfn.CONCAT("asg-",LEFT(VmSpecs[[#This Row],[VM Name]],LEN(VmSpecs[[#This Row],[VM Name]])-2))</f>
        <v>asg-vmpfbpf2ohb</v>
      </c>
      <c r="U258" s="42" t="str">
        <f>_xlfn.CONCAT("nsg-",VmSpecs[[#This Row],[Subnet]])</f>
        <v>nsg-sn-pfb-aue-pf2-web</v>
      </c>
      <c r="V258" s="42"/>
      <c r="W258" s="43" t="str">
        <f>VLOOKUP(VmSpecs[[#This Row],[Original Hostname (CMO)]],'SSOT Data'!A:AX,50,FALSE)</f>
        <v>Standard_D8s_v4</v>
      </c>
      <c r="X258" s="43">
        <v>64</v>
      </c>
      <c r="Y258" s="43" t="s">
        <v>65</v>
      </c>
      <c r="Z258" s="43" t="str">
        <f>"osdisk-"&amp;VmSpecs[[#This Row],[VM Name]]</f>
        <v>osdisk-vmpfbpf2ohb04</v>
      </c>
      <c r="AA258" s="47" t="s">
        <v>66</v>
      </c>
      <c r="AB258" s="73">
        <v>8</v>
      </c>
      <c r="AC258" s="74" t="s">
        <v>65</v>
      </c>
      <c r="AD258" s="84" t="str">
        <f>"disk-"&amp;VmSpecs[[#This Row],[VM Name]]&amp;"-001"</f>
        <v>disk-vmpfbpf2ohb04-001</v>
      </c>
      <c r="AE258" s="73">
        <v>32</v>
      </c>
      <c r="AF258" s="74" t="s">
        <v>65</v>
      </c>
      <c r="AG258" s="85" t="str">
        <f>"disk-"&amp;VmSpecs[[#This Row],[VM Name]]&amp;"-002"</f>
        <v>disk-vmpfbpf2ohb04-002</v>
      </c>
      <c r="AH258" s="59"/>
      <c r="AI258" s="42"/>
      <c r="AJ258" s="42"/>
      <c r="AK258" s="42"/>
      <c r="AL258" s="42" t="str">
        <f>MID(VmSpecs[[#This Row],[VM Name]],3,9)</f>
        <v>pfbpf2ohb</v>
      </c>
      <c r="AM258" s="42" t="str" cm="1">
        <f t="array" ref="AM258">_xlfn.TEXTJOIN(CHAR(10), TRUE, IF(NfsExports[FMO Single VM IP]=VmSpecs[[#This Row],[IP]],NfsExports[FMO Export Summary],""))</f>
        <v>/apps/pcehr 30GB</v>
      </c>
      <c r="AN258" s="43" t="str" cm="1">
        <f t="array" ref="AN25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58" s="42"/>
      <c r="AP258" s="42" t="str">
        <f>VmSpecs[[#This Row],[Description]]</f>
        <v>OHS-OAG B2B</v>
      </c>
      <c r="AQ258" s="43"/>
      <c r="AR258" s="43" t="s">
        <v>64</v>
      </c>
      <c r="AS258" s="43" t="s">
        <v>64</v>
      </c>
      <c r="AT258" s="43" t="s">
        <v>64</v>
      </c>
      <c r="AU258" s="43" t="s">
        <v>64</v>
      </c>
      <c r="AV258" s="42" t="s">
        <v>66</v>
      </c>
      <c r="AW258" s="42" t="s">
        <v>67</v>
      </c>
      <c r="AX258" s="42" t="s">
        <v>68</v>
      </c>
      <c r="AY258" s="42" t="s">
        <v>64</v>
      </c>
      <c r="AZ258" s="42" t="s">
        <v>64</v>
      </c>
      <c r="BA25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B2B"
Application Service: "OHB"
Lifecycle: "PFB"</v>
      </c>
      <c r="BB258" s="78" t="s">
        <v>626</v>
      </c>
      <c r="BC258" s="42" t="str">
        <f>VLOOKUP(VmSpecs[[#This Row],[Original Hostname (CMO)]],'SSOT Data'!A:AJ,36,FALSE)</f>
        <v>OHS-OAG B2B</v>
      </c>
      <c r="BD258" s="144" t="s">
        <v>620</v>
      </c>
    </row>
    <row r="259" spans="1:56" ht="29" x14ac:dyDescent="0.35">
      <c r="A259" s="78" t="s">
        <v>58</v>
      </c>
      <c r="B259" s="42" t="str">
        <f>_xlfn.XLOOKUP(VmSpecs[[#This Row],[Subnet]],NetworkReference[Subnet],NetworkReference[Subscription])</f>
        <v>NINP-PERF2</v>
      </c>
      <c r="C259" s="43" t="str">
        <f>_xlfn.XLOOKUP(VmSpecs[[#This Row],[Subnet]],NetworkReference[Subnet],NetworkReference[Virtual Network Resource Group])</f>
        <v>rg-pf2-network-aue-001</v>
      </c>
      <c r="D259" s="43" t="str">
        <f>_xlfn.XLOOKUP(VmSpecs[[#This Row],[Subnet]],NetworkReference[Subnet],NetworkReference[Virtual Network])</f>
        <v>vnet-pf2-workload-aue-001</v>
      </c>
      <c r="E259" s="132" t="s">
        <v>489</v>
      </c>
      <c r="F259" s="43" t="str">
        <f>_xlfn.XLOOKUP(VmSpecs[[#This Row],[Subnet]],NetworkReference[Subnet],NetworkReference[Virtual Network Peering])</f>
        <v>vnet-ninp-conn-pnp-hub-aue</v>
      </c>
      <c r="G259" s="43" t="str">
        <f>_xlfn.XLOOKUP(VmSpecs[[#This Row],[Subnet]],NetworkReference[Subnet],NetworkReference[Route Table])</f>
        <v>rt-sn-pfb-aue-pf2-web</v>
      </c>
      <c r="H259" s="43" t="str">
        <f>LOWER(VLOOKUP(VmSpecs[[#This Row],[Original Hostname (CMO)]],'SSOT Data'!A:K,10,FALSE))</f>
        <v>ohb</v>
      </c>
      <c r="I25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59" s="44" t="s">
        <v>81</v>
      </c>
      <c r="K259" s="43" t="str">
        <f>_xlfn.CONCAT("vm",MID(VmSpecs[[#This Row],[Subnet]],4,3),VLOOKUP(VmSpecs[[#This Row],[Subscription]],NetworkReference[#All],2,FALSE),VmSpecs[[#This Row],[Service]],VmSpecs[[#This Row],[VM iteration (nn)]])</f>
        <v>vmpfbpf2ohb05</v>
      </c>
      <c r="L259" s="45" t="s">
        <v>61</v>
      </c>
      <c r="M259" s="43" t="str">
        <f>VmSpecs[[#This Row],[VM Name]]&amp;".ninp.myhealthrecord.gov.au"</f>
        <v>vmpfbpf2ohb05.ninp.myhealthrecord.gov.au</v>
      </c>
      <c r="N259" s="42" t="str">
        <f t="shared" ref="N259:N289" si="4">"nic-001-"&amp;K259</f>
        <v>nic-001-vmpfbpf2ohb05</v>
      </c>
      <c r="O259" s="106" t="s">
        <v>627</v>
      </c>
      <c r="P259" s="46" t="s">
        <v>63</v>
      </c>
      <c r="Q259" s="42" t="str">
        <f>VLOOKUP(VmSpecs[[#This Row],[Original Hostname (CMO)]],'SSOT Data'!A:E,5,FALSE)</f>
        <v>OEL7.9</v>
      </c>
      <c r="R259" s="42"/>
      <c r="S259" s="42" t="str">
        <f>_xlfn.CONCAT("avail-",LEFT(VmSpecs[[#This Row],[VM Name]],LEN(VmSpecs[[#This Row],[VM Name]])-2))</f>
        <v>avail-vmpfbpf2ohb</v>
      </c>
      <c r="T259" s="42" t="str">
        <f>_xlfn.CONCAT("asg-",LEFT(VmSpecs[[#This Row],[VM Name]],LEN(VmSpecs[[#This Row],[VM Name]])-2))</f>
        <v>asg-vmpfbpf2ohb</v>
      </c>
      <c r="U259" s="42" t="str">
        <f>_xlfn.CONCAT("nsg-",VmSpecs[[#This Row],[Subnet]])</f>
        <v>nsg-sn-pfb-aue-pf2-web</v>
      </c>
      <c r="V259" s="42"/>
      <c r="W259" s="43" t="str">
        <f>VLOOKUP(VmSpecs[[#This Row],[Original Hostname (CMO)]],'SSOT Data'!A:AX,50,FALSE)</f>
        <v>Standard_D8s_v4</v>
      </c>
      <c r="X259" s="43">
        <v>64</v>
      </c>
      <c r="Y259" s="43" t="s">
        <v>65</v>
      </c>
      <c r="Z259" s="43" t="str">
        <f>"osdisk-"&amp;VmSpecs[[#This Row],[VM Name]]</f>
        <v>osdisk-vmpfbpf2ohb05</v>
      </c>
      <c r="AA259" s="47" t="s">
        <v>66</v>
      </c>
      <c r="AB259" s="73">
        <v>8</v>
      </c>
      <c r="AC259" s="74" t="s">
        <v>65</v>
      </c>
      <c r="AD259" s="84" t="str">
        <f>"disk-"&amp;VmSpecs[[#This Row],[VM Name]]&amp;"-001"</f>
        <v>disk-vmpfbpf2ohb05-001</v>
      </c>
      <c r="AE259" s="73">
        <v>32</v>
      </c>
      <c r="AF259" s="74" t="s">
        <v>65</v>
      </c>
      <c r="AG259" s="85" t="str">
        <f>"disk-"&amp;VmSpecs[[#This Row],[VM Name]]&amp;"-002"</f>
        <v>disk-vmpfbpf2ohb05-002</v>
      </c>
      <c r="AH259" s="59"/>
      <c r="AI259" s="42"/>
      <c r="AJ259" s="42"/>
      <c r="AK259" s="42"/>
      <c r="AL259" s="42" t="str">
        <f>MID(VmSpecs[[#This Row],[VM Name]],3,9)</f>
        <v>pfbpf2ohb</v>
      </c>
      <c r="AM259" s="42" t="str" cm="1">
        <f t="array" ref="AM259">_xlfn.TEXTJOIN(CHAR(10), TRUE, IF(NfsExports[FMO Single VM IP]=VmSpecs[[#This Row],[IP]],NfsExports[FMO Export Summary],""))</f>
        <v>/apps/pcehr 30GB</v>
      </c>
      <c r="AN259" s="43" t="str" cm="1">
        <f t="array" ref="AN25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59" s="42"/>
      <c r="AP259" s="42" t="str">
        <f>VmSpecs[[#This Row],[Description]]</f>
        <v>OHS-OAG B2B</v>
      </c>
      <c r="AQ259" s="43"/>
      <c r="AR259" s="43" t="s">
        <v>64</v>
      </c>
      <c r="AS259" s="43" t="s">
        <v>64</v>
      </c>
      <c r="AT259" s="43" t="s">
        <v>64</v>
      </c>
      <c r="AU259" s="43" t="s">
        <v>64</v>
      </c>
      <c r="AV259" s="42" t="s">
        <v>66</v>
      </c>
      <c r="AW259" s="42" t="s">
        <v>67</v>
      </c>
      <c r="AX259" s="42" t="s">
        <v>68</v>
      </c>
      <c r="AY259" s="42" t="s">
        <v>64</v>
      </c>
      <c r="AZ259" s="42" t="s">
        <v>64</v>
      </c>
      <c r="BA25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B2B"
Application Service: "OHB"
Lifecycle: "PFB"</v>
      </c>
      <c r="BB259" s="78" t="s">
        <v>628</v>
      </c>
      <c r="BC259" s="42" t="str">
        <f>VLOOKUP(VmSpecs[[#This Row],[Original Hostname (CMO)]],'SSOT Data'!A:AJ,36,FALSE)</f>
        <v>OHS-OAG B2B</v>
      </c>
      <c r="BD259" s="144" t="s">
        <v>620</v>
      </c>
    </row>
    <row r="260" spans="1:56" ht="29" x14ac:dyDescent="0.35">
      <c r="A260" s="78" t="s">
        <v>58</v>
      </c>
      <c r="B260" s="42" t="str">
        <f>_xlfn.XLOOKUP(VmSpecs[[#This Row],[Subnet]],NetworkReference[Subnet],NetworkReference[Subscription])</f>
        <v>NINP-PERF2</v>
      </c>
      <c r="C260" s="43" t="str">
        <f>_xlfn.XLOOKUP(VmSpecs[[#This Row],[Subnet]],NetworkReference[Subnet],NetworkReference[Virtual Network Resource Group])</f>
        <v>rg-pf2-network-aue-001</v>
      </c>
      <c r="D260" s="43" t="str">
        <f>_xlfn.XLOOKUP(VmSpecs[[#This Row],[Subnet]],NetworkReference[Subnet],NetworkReference[Virtual Network])</f>
        <v>vnet-pf2-workload-aue-001</v>
      </c>
      <c r="E260" s="132" t="s">
        <v>489</v>
      </c>
      <c r="F260" s="43" t="str">
        <f>_xlfn.XLOOKUP(VmSpecs[[#This Row],[Subnet]],NetworkReference[Subnet],NetworkReference[Virtual Network Peering])</f>
        <v>vnet-ninp-conn-pnp-hub-aue</v>
      </c>
      <c r="G260" s="43" t="str">
        <f>_xlfn.XLOOKUP(VmSpecs[[#This Row],[Subnet]],NetworkReference[Subnet],NetworkReference[Route Table])</f>
        <v>rt-sn-pfb-aue-pf2-web</v>
      </c>
      <c r="H260" s="43" t="str">
        <f>LOWER(VLOOKUP(VmSpecs[[#This Row],[Original Hostname (CMO)]],'SSOT Data'!A:K,10,FALSE))</f>
        <v>ohb</v>
      </c>
      <c r="I26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60" s="44" t="s">
        <v>84</v>
      </c>
      <c r="K260" s="43" t="str">
        <f>_xlfn.CONCAT("vm",MID(VmSpecs[[#This Row],[Subnet]],4,3),VLOOKUP(VmSpecs[[#This Row],[Subscription]],NetworkReference[#All],2,FALSE),VmSpecs[[#This Row],[Service]],VmSpecs[[#This Row],[VM iteration (nn)]])</f>
        <v>vmpfbpf2ohb06</v>
      </c>
      <c r="L260" s="45" t="s">
        <v>61</v>
      </c>
      <c r="M260" s="43" t="str">
        <f>VmSpecs[[#This Row],[VM Name]]&amp;".ninp.myhealthrecord.gov.au"</f>
        <v>vmpfbpf2ohb06.ninp.myhealthrecord.gov.au</v>
      </c>
      <c r="N260" s="42" t="str">
        <f t="shared" si="4"/>
        <v>nic-001-vmpfbpf2ohb06</v>
      </c>
      <c r="O260" s="106" t="s">
        <v>629</v>
      </c>
      <c r="P260" s="46" t="s">
        <v>63</v>
      </c>
      <c r="Q260" s="42" t="str">
        <f>VLOOKUP(VmSpecs[[#This Row],[Original Hostname (CMO)]],'SSOT Data'!A:E,5,FALSE)</f>
        <v>OEL7.9</v>
      </c>
      <c r="R260" s="42"/>
      <c r="S260" s="42" t="str">
        <f>_xlfn.CONCAT("avail-",LEFT(VmSpecs[[#This Row],[VM Name]],LEN(VmSpecs[[#This Row],[VM Name]])-2))</f>
        <v>avail-vmpfbpf2ohb</v>
      </c>
      <c r="T260" s="42" t="str">
        <f>_xlfn.CONCAT("asg-",LEFT(VmSpecs[[#This Row],[VM Name]],LEN(VmSpecs[[#This Row],[VM Name]])-2))</f>
        <v>asg-vmpfbpf2ohb</v>
      </c>
      <c r="U260" s="42" t="str">
        <f>_xlfn.CONCAT("nsg-",VmSpecs[[#This Row],[Subnet]])</f>
        <v>nsg-sn-pfb-aue-pf2-web</v>
      </c>
      <c r="V260" s="42"/>
      <c r="W260" s="43" t="str">
        <f>VLOOKUP(VmSpecs[[#This Row],[Original Hostname (CMO)]],'SSOT Data'!A:AX,50,FALSE)</f>
        <v>Standard_D8s_v4</v>
      </c>
      <c r="X260" s="43">
        <v>64</v>
      </c>
      <c r="Y260" s="43" t="s">
        <v>65</v>
      </c>
      <c r="Z260" s="43" t="str">
        <f>"osdisk-"&amp;VmSpecs[[#This Row],[VM Name]]</f>
        <v>osdisk-vmpfbpf2ohb06</v>
      </c>
      <c r="AA260" s="47" t="s">
        <v>66</v>
      </c>
      <c r="AB260" s="73">
        <v>8</v>
      </c>
      <c r="AC260" s="74" t="s">
        <v>65</v>
      </c>
      <c r="AD260" s="84" t="str">
        <f>"disk-"&amp;VmSpecs[[#This Row],[VM Name]]&amp;"-001"</f>
        <v>disk-vmpfbpf2ohb06-001</v>
      </c>
      <c r="AE260" s="73">
        <v>32</v>
      </c>
      <c r="AF260" s="74" t="s">
        <v>65</v>
      </c>
      <c r="AG260" s="85" t="str">
        <f>"disk-"&amp;VmSpecs[[#This Row],[VM Name]]&amp;"-002"</f>
        <v>disk-vmpfbpf2ohb06-002</v>
      </c>
      <c r="AH260" s="59"/>
      <c r="AI260" s="42"/>
      <c r="AJ260" s="42"/>
      <c r="AK260" s="42"/>
      <c r="AL260" s="42" t="str">
        <f>MID(VmSpecs[[#This Row],[VM Name]],3,9)</f>
        <v>pfbpf2ohb</v>
      </c>
      <c r="AM260" s="42" t="str" cm="1">
        <f t="array" ref="AM260">_xlfn.TEXTJOIN(CHAR(10), TRUE, IF(NfsExports[FMO Single VM IP]=VmSpecs[[#This Row],[IP]],NfsExports[FMO Export Summary],""))</f>
        <v>/apps/pcehr 30GB</v>
      </c>
      <c r="AN260" s="43" t="str" cm="1">
        <f t="array" ref="AN26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60" s="42"/>
      <c r="AP260" s="42" t="str">
        <f>VmSpecs[[#This Row],[Description]]</f>
        <v>OHS-OAG B2B</v>
      </c>
      <c r="AQ260" s="43"/>
      <c r="AR260" s="43" t="s">
        <v>64</v>
      </c>
      <c r="AS260" s="43" t="s">
        <v>64</v>
      </c>
      <c r="AT260" s="43" t="s">
        <v>64</v>
      </c>
      <c r="AU260" s="43" t="s">
        <v>64</v>
      </c>
      <c r="AV260" s="42" t="s">
        <v>66</v>
      </c>
      <c r="AW260" s="42" t="s">
        <v>67</v>
      </c>
      <c r="AX260" s="42" t="s">
        <v>68</v>
      </c>
      <c r="AY260" s="42" t="s">
        <v>64</v>
      </c>
      <c r="AZ260" s="42" t="s">
        <v>64</v>
      </c>
      <c r="BA26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B2B"
Application Service: "OHB"
Lifecycle: "PFB"</v>
      </c>
      <c r="BB260" s="78" t="s">
        <v>630</v>
      </c>
      <c r="BC260" s="42" t="str">
        <f>VLOOKUP(VmSpecs[[#This Row],[Original Hostname (CMO)]],'SSOT Data'!A:AJ,36,FALSE)</f>
        <v>OHS-OAG B2B</v>
      </c>
      <c r="BD260" s="144" t="s">
        <v>620</v>
      </c>
    </row>
    <row r="261" spans="1:56" ht="29" x14ac:dyDescent="0.35">
      <c r="A261" s="78" t="s">
        <v>58</v>
      </c>
      <c r="B261" s="42" t="str">
        <f>_xlfn.XLOOKUP(VmSpecs[[#This Row],[Subnet]],NetworkReference[Subnet],NetworkReference[Subscription])</f>
        <v>NINP-PERF2</v>
      </c>
      <c r="C261" s="43" t="str">
        <f>_xlfn.XLOOKUP(VmSpecs[[#This Row],[Subnet]],NetworkReference[Subnet],NetworkReference[Virtual Network Resource Group])</f>
        <v>rg-pf2-network-aue-001</v>
      </c>
      <c r="D261" s="43" t="str">
        <f>_xlfn.XLOOKUP(VmSpecs[[#This Row],[Subnet]],NetworkReference[Subnet],NetworkReference[Virtual Network])</f>
        <v>vnet-pf2-workload-aue-001</v>
      </c>
      <c r="E261" s="132" t="s">
        <v>489</v>
      </c>
      <c r="F261" s="43" t="str">
        <f>_xlfn.XLOOKUP(VmSpecs[[#This Row],[Subnet]],NetworkReference[Subnet],NetworkReference[Virtual Network Peering])</f>
        <v>vnet-ninp-conn-pnp-hub-aue</v>
      </c>
      <c r="G261" s="43" t="str">
        <f>_xlfn.XLOOKUP(VmSpecs[[#This Row],[Subnet]],NetworkReference[Subnet],NetworkReference[Route Table])</f>
        <v>rt-sn-pfb-aue-pf2-web</v>
      </c>
      <c r="H261" s="43" t="str">
        <f>LOWER(VLOOKUP(VmSpecs[[#This Row],[Original Hostname (CMO)]],'SSOT Data'!A:K,10,FALSE))</f>
        <v>ohc</v>
      </c>
      <c r="I26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61" s="44" t="s">
        <v>60</v>
      </c>
      <c r="K261" s="43" t="str">
        <f>_xlfn.CONCAT("vm",MID(VmSpecs[[#This Row],[Subnet]],4,3),VLOOKUP(VmSpecs[[#This Row],[Subscription]],NetworkReference[#All],2,FALSE),VmSpecs[[#This Row],[Service]],VmSpecs[[#This Row],[VM iteration (nn)]])</f>
        <v>vmpfbpf2ohc01</v>
      </c>
      <c r="L261" s="45" t="s">
        <v>61</v>
      </c>
      <c r="M261" s="43" t="str">
        <f>VmSpecs[[#This Row],[VM Name]]&amp;".ninp.myhealthrecord.gov.au"</f>
        <v>vmpfbpf2ohc01.ninp.myhealthrecord.gov.au</v>
      </c>
      <c r="N261" s="42" t="str">
        <f t="shared" si="4"/>
        <v>nic-001-vmpfbpf2ohc01</v>
      </c>
      <c r="O261" s="106" t="s">
        <v>631</v>
      </c>
      <c r="P261" s="46" t="s">
        <v>63</v>
      </c>
      <c r="Q261" s="42" t="str">
        <f>VLOOKUP(VmSpecs[[#This Row],[Original Hostname (CMO)]],'SSOT Data'!A:E,5,FALSE)</f>
        <v>OEL7.9</v>
      </c>
      <c r="R261" s="42"/>
      <c r="S261" s="42" t="str">
        <f>_xlfn.CONCAT("avail-",LEFT(VmSpecs[[#This Row],[VM Name]],LEN(VmSpecs[[#This Row],[VM Name]])-2))</f>
        <v>avail-vmpfbpf2ohc</v>
      </c>
      <c r="T261" s="42" t="str">
        <f>_xlfn.CONCAT("asg-",LEFT(VmSpecs[[#This Row],[VM Name]],LEN(VmSpecs[[#This Row],[VM Name]])-2))</f>
        <v>asg-vmpfbpf2ohc</v>
      </c>
      <c r="U261" s="42" t="str">
        <f>_xlfn.CONCAT("nsg-",VmSpecs[[#This Row],[Subnet]])</f>
        <v>nsg-sn-pfb-aue-pf2-web</v>
      </c>
      <c r="V261" s="42"/>
      <c r="W261" s="43" t="str">
        <f>VLOOKUP(VmSpecs[[#This Row],[Original Hostname (CMO)]],'SSOT Data'!A:AX,50,FALSE)</f>
        <v>Standard_D2s_v4</v>
      </c>
      <c r="X261" s="43">
        <v>64</v>
      </c>
      <c r="Y261" s="43" t="s">
        <v>65</v>
      </c>
      <c r="Z261" s="43" t="str">
        <f>"osdisk-"&amp;VmSpecs[[#This Row],[VM Name]]</f>
        <v>osdisk-vmpfbpf2ohc01</v>
      </c>
      <c r="AA261" s="47" t="s">
        <v>66</v>
      </c>
      <c r="AB261" s="73">
        <v>8</v>
      </c>
      <c r="AC261" s="74" t="s">
        <v>65</v>
      </c>
      <c r="AD261" s="84" t="str">
        <f>"disk-"&amp;VmSpecs[[#This Row],[VM Name]]&amp;"-001"</f>
        <v>disk-vmpfbpf2ohc01-001</v>
      </c>
      <c r="AE261" s="73">
        <v>32</v>
      </c>
      <c r="AF261" s="74" t="s">
        <v>65</v>
      </c>
      <c r="AG261" s="85" t="str">
        <f>"disk-"&amp;VmSpecs[[#This Row],[VM Name]]&amp;"-002"</f>
        <v>disk-vmpfbpf2ohc01-002</v>
      </c>
      <c r="AH261" s="59"/>
      <c r="AI261" s="42"/>
      <c r="AJ261" s="42"/>
      <c r="AK261" s="42"/>
      <c r="AL261" s="42" t="str">
        <f>MID(VmSpecs[[#This Row],[VM Name]],3,9)</f>
        <v>pfbpf2ohc</v>
      </c>
      <c r="AM261" s="42" t="str" cm="1">
        <f t="array" ref="AM261">_xlfn.TEXTJOIN(CHAR(10), TRUE, IF(NfsExports[FMO Single VM IP]=VmSpecs[[#This Row],[IP]],NfsExports[FMO Export Summary],""))</f>
        <v>/apps/pcehr 30GB</v>
      </c>
      <c r="AN261" s="43" t="str" cm="1">
        <f t="array" ref="AN26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61" s="42"/>
      <c r="AP261" s="42" t="str">
        <f>VmSpecs[[#This Row],[Description]]</f>
        <v>OHS-Consumer N1</v>
      </c>
      <c r="AQ261" s="43"/>
      <c r="AR261" s="43" t="s">
        <v>64</v>
      </c>
      <c r="AS261" s="43" t="s">
        <v>64</v>
      </c>
      <c r="AT261" s="43" t="s">
        <v>64</v>
      </c>
      <c r="AU261" s="43" t="s">
        <v>64</v>
      </c>
      <c r="AV261" s="42" t="s">
        <v>66</v>
      </c>
      <c r="AW261" s="42" t="s">
        <v>67</v>
      </c>
      <c r="AX261" s="42" t="s">
        <v>68</v>
      </c>
      <c r="AY261" s="42" t="s">
        <v>64</v>
      </c>
      <c r="AZ261" s="42" t="s">
        <v>64</v>
      </c>
      <c r="BA26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"OHS-Consumer N1"
Application Service: "OHC"
Lifecycle: "PFB"</v>
      </c>
      <c r="BB261" s="78" t="s">
        <v>632</v>
      </c>
      <c r="BC261" s="42" t="str">
        <f>VLOOKUP(VmSpecs[[#This Row],[Original Hostname (CMO)]],'SSOT Data'!A:AJ,36,FALSE)</f>
        <v>OHS-Consumer N1</v>
      </c>
      <c r="BD261" s="43"/>
    </row>
    <row r="262" spans="1:56" ht="29" x14ac:dyDescent="0.35">
      <c r="A262" s="78" t="s">
        <v>58</v>
      </c>
      <c r="B262" s="42" t="str">
        <f>_xlfn.XLOOKUP(VmSpecs[[#This Row],[Subnet]],NetworkReference[Subnet],NetworkReference[Subscription])</f>
        <v>NINP-PERF2</v>
      </c>
      <c r="C262" s="43" t="str">
        <f>_xlfn.XLOOKUP(VmSpecs[[#This Row],[Subnet]],NetworkReference[Subnet],NetworkReference[Virtual Network Resource Group])</f>
        <v>rg-pf2-network-aue-001</v>
      </c>
      <c r="D262" s="43" t="str">
        <f>_xlfn.XLOOKUP(VmSpecs[[#This Row],[Subnet]],NetworkReference[Subnet],NetworkReference[Virtual Network])</f>
        <v>vnet-pf2-workload-aue-001</v>
      </c>
      <c r="E262" s="132" t="s">
        <v>489</v>
      </c>
      <c r="F262" s="43" t="str">
        <f>_xlfn.XLOOKUP(VmSpecs[[#This Row],[Subnet]],NetworkReference[Subnet],NetworkReference[Virtual Network Peering])</f>
        <v>vnet-ninp-conn-pnp-hub-aue</v>
      </c>
      <c r="G262" s="43" t="str">
        <f>_xlfn.XLOOKUP(VmSpecs[[#This Row],[Subnet]],NetworkReference[Subnet],NetworkReference[Route Table])</f>
        <v>rt-sn-pfb-aue-pf2-web</v>
      </c>
      <c r="H262" s="43" t="str">
        <f>LOWER(VLOOKUP(VmSpecs[[#This Row],[Original Hostname (CMO)]],'SSOT Data'!A:K,10,FALSE))</f>
        <v>ohc</v>
      </c>
      <c r="I26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62" s="44" t="s">
        <v>72</v>
      </c>
      <c r="K262" s="43" t="str">
        <f>_xlfn.CONCAT("vm",MID(VmSpecs[[#This Row],[Subnet]],4,3),VLOOKUP(VmSpecs[[#This Row],[Subscription]],NetworkReference[#All],2,FALSE),VmSpecs[[#This Row],[Service]],VmSpecs[[#This Row],[VM iteration (nn)]])</f>
        <v>vmpfbpf2ohc02</v>
      </c>
      <c r="L262" s="45" t="s">
        <v>61</v>
      </c>
      <c r="M262" s="43" t="str">
        <f>VmSpecs[[#This Row],[VM Name]]&amp;".ninp.myhealthrecord.gov.au"</f>
        <v>vmpfbpf2ohc02.ninp.myhealthrecord.gov.au</v>
      </c>
      <c r="N262" s="42" t="str">
        <f t="shared" si="4"/>
        <v>nic-001-vmpfbpf2ohc02</v>
      </c>
      <c r="O262" s="106" t="s">
        <v>633</v>
      </c>
      <c r="P262" s="46" t="s">
        <v>63</v>
      </c>
      <c r="Q262" s="42" t="str">
        <f>VLOOKUP(VmSpecs[[#This Row],[Original Hostname (CMO)]],'SSOT Data'!A:E,5,FALSE)</f>
        <v>OEL7.9</v>
      </c>
      <c r="R262" s="42"/>
      <c r="S262" s="42" t="str">
        <f>_xlfn.CONCAT("avail-",LEFT(VmSpecs[[#This Row],[VM Name]],LEN(VmSpecs[[#This Row],[VM Name]])-2))</f>
        <v>avail-vmpfbpf2ohc</v>
      </c>
      <c r="T262" s="42" t="str">
        <f>_xlfn.CONCAT("asg-",LEFT(VmSpecs[[#This Row],[VM Name]],LEN(VmSpecs[[#This Row],[VM Name]])-2))</f>
        <v>asg-vmpfbpf2ohc</v>
      </c>
      <c r="U262" s="42" t="str">
        <f>_xlfn.CONCAT("nsg-",VmSpecs[[#This Row],[Subnet]])</f>
        <v>nsg-sn-pfb-aue-pf2-web</v>
      </c>
      <c r="V262" s="42"/>
      <c r="W262" s="43" t="str">
        <f>VLOOKUP(VmSpecs[[#This Row],[Original Hostname (CMO)]],'SSOT Data'!A:AX,50,FALSE)</f>
        <v>Standard_D2s_v4</v>
      </c>
      <c r="X262" s="43">
        <v>64</v>
      </c>
      <c r="Y262" s="43" t="s">
        <v>65</v>
      </c>
      <c r="Z262" s="43" t="str">
        <f>"osdisk-"&amp;VmSpecs[[#This Row],[VM Name]]</f>
        <v>osdisk-vmpfbpf2ohc02</v>
      </c>
      <c r="AA262" s="47" t="s">
        <v>66</v>
      </c>
      <c r="AB262" s="73">
        <v>8</v>
      </c>
      <c r="AC262" s="74" t="s">
        <v>65</v>
      </c>
      <c r="AD262" s="84" t="str">
        <f>"disk-"&amp;VmSpecs[[#This Row],[VM Name]]&amp;"-001"</f>
        <v>disk-vmpfbpf2ohc02-001</v>
      </c>
      <c r="AE262" s="73">
        <v>32</v>
      </c>
      <c r="AF262" s="74" t="s">
        <v>65</v>
      </c>
      <c r="AG262" s="85" t="str">
        <f>"disk-"&amp;VmSpecs[[#This Row],[VM Name]]&amp;"-002"</f>
        <v>disk-vmpfbpf2ohc02-002</v>
      </c>
      <c r="AH262" s="59"/>
      <c r="AI262" s="42"/>
      <c r="AJ262" s="42"/>
      <c r="AK262" s="42"/>
      <c r="AL262" s="42" t="str">
        <f>MID(VmSpecs[[#This Row],[VM Name]],3,9)</f>
        <v>pfbpf2ohc</v>
      </c>
      <c r="AM262" s="42" t="str" cm="1">
        <f t="array" ref="AM262">_xlfn.TEXTJOIN(CHAR(10), TRUE, IF(NfsExports[FMO Single VM IP]=VmSpecs[[#This Row],[IP]],NfsExports[FMO Export Summary],""))</f>
        <v>/apps/pcehr 30GB</v>
      </c>
      <c r="AN262" s="43" t="str" cm="1">
        <f t="array" ref="AN26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62" s="42"/>
      <c r="AP262" s="42" t="str">
        <f>VmSpecs[[#This Row],[Description]]</f>
        <v>OHS-Consumer N2</v>
      </c>
      <c r="AQ262" s="43"/>
      <c r="AR262" s="43" t="s">
        <v>64</v>
      </c>
      <c r="AS262" s="43" t="s">
        <v>64</v>
      </c>
      <c r="AT262" s="43" t="s">
        <v>64</v>
      </c>
      <c r="AU262" s="43" t="s">
        <v>64</v>
      </c>
      <c r="AV262" s="42" t="s">
        <v>66</v>
      </c>
      <c r="AW262" s="42" t="s">
        <v>67</v>
      </c>
      <c r="AX262" s="42" t="s">
        <v>68</v>
      </c>
      <c r="AY262" s="42" t="s">
        <v>64</v>
      </c>
      <c r="AZ262" s="42" t="s">
        <v>64</v>
      </c>
      <c r="BA26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"OHS-Consumer N2"
Application Service: "OHC"
Lifecycle: "PFB"</v>
      </c>
      <c r="BB262" s="78" t="s">
        <v>634</v>
      </c>
      <c r="BC262" s="42" t="str">
        <f>VLOOKUP(VmSpecs[[#This Row],[Original Hostname (CMO)]],'SSOT Data'!A:AJ,36,FALSE)</f>
        <v>OHS-Consumer N2</v>
      </c>
      <c r="BD262" s="43"/>
    </row>
    <row r="263" spans="1:56" ht="29" x14ac:dyDescent="0.35">
      <c r="A263" s="78" t="s">
        <v>58</v>
      </c>
      <c r="B263" s="42" t="str">
        <f>_xlfn.XLOOKUP(VmSpecs[[#This Row],[Subnet]],NetworkReference[Subnet],NetworkReference[Subscription])</f>
        <v>NINP-PERF2</v>
      </c>
      <c r="C263" s="43" t="str">
        <f>_xlfn.XLOOKUP(VmSpecs[[#This Row],[Subnet]],NetworkReference[Subnet],NetworkReference[Virtual Network Resource Group])</f>
        <v>rg-pf2-network-aue-001</v>
      </c>
      <c r="D263" s="43" t="str">
        <f>_xlfn.XLOOKUP(VmSpecs[[#This Row],[Subnet]],NetworkReference[Subnet],NetworkReference[Virtual Network])</f>
        <v>vnet-pf2-workload-aue-001</v>
      </c>
      <c r="E263" s="132" t="s">
        <v>489</v>
      </c>
      <c r="F263" s="43" t="str">
        <f>_xlfn.XLOOKUP(VmSpecs[[#This Row],[Subnet]],NetworkReference[Subnet],NetworkReference[Virtual Network Peering])</f>
        <v>vnet-ninp-conn-pnp-hub-aue</v>
      </c>
      <c r="G263" s="43" t="str">
        <f>_xlfn.XLOOKUP(VmSpecs[[#This Row],[Subnet]],NetworkReference[Subnet],NetworkReference[Route Table])</f>
        <v>rt-sn-pfb-aue-pf2-web</v>
      </c>
      <c r="H263" s="43" t="str">
        <f>LOWER(VLOOKUP(VmSpecs[[#This Row],[Original Hostname (CMO)]],'SSOT Data'!A:K,10,FALSE))</f>
        <v>ohc</v>
      </c>
      <c r="I26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63" s="44" t="s">
        <v>75</v>
      </c>
      <c r="K263" s="43" t="str">
        <f>_xlfn.CONCAT("vm",MID(VmSpecs[[#This Row],[Subnet]],4,3),VLOOKUP(VmSpecs[[#This Row],[Subscription]],NetworkReference[#All],2,FALSE),VmSpecs[[#This Row],[Service]],VmSpecs[[#This Row],[VM iteration (nn)]])</f>
        <v>vmpfbpf2ohc03</v>
      </c>
      <c r="L263" s="45" t="s">
        <v>61</v>
      </c>
      <c r="M263" s="43" t="str">
        <f>VmSpecs[[#This Row],[VM Name]]&amp;".ninp.myhealthrecord.gov.au"</f>
        <v>vmpfbpf2ohc03.ninp.myhealthrecord.gov.au</v>
      </c>
      <c r="N263" s="42" t="str">
        <f t="shared" si="4"/>
        <v>nic-001-vmpfbpf2ohc03</v>
      </c>
      <c r="O263" s="106" t="s">
        <v>635</v>
      </c>
      <c r="P263" s="46" t="s">
        <v>63</v>
      </c>
      <c r="Q263" s="42" t="str">
        <f>VLOOKUP(VmSpecs[[#This Row],[Original Hostname (CMO)]],'SSOT Data'!A:E,5,FALSE)</f>
        <v>OEL7.9</v>
      </c>
      <c r="R263" s="42"/>
      <c r="S263" s="42" t="str">
        <f>_xlfn.CONCAT("avail-",LEFT(VmSpecs[[#This Row],[VM Name]],LEN(VmSpecs[[#This Row],[VM Name]])-2))</f>
        <v>avail-vmpfbpf2ohc</v>
      </c>
      <c r="T263" s="42" t="str">
        <f>_xlfn.CONCAT("asg-",LEFT(VmSpecs[[#This Row],[VM Name]],LEN(VmSpecs[[#This Row],[VM Name]])-2))</f>
        <v>asg-vmpfbpf2ohc</v>
      </c>
      <c r="U263" s="42" t="str">
        <f>_xlfn.CONCAT("nsg-",VmSpecs[[#This Row],[Subnet]])</f>
        <v>nsg-sn-pfb-aue-pf2-web</v>
      </c>
      <c r="V263" s="42"/>
      <c r="W263" s="43" t="str">
        <f>VLOOKUP(VmSpecs[[#This Row],[Original Hostname (CMO)]],'SSOT Data'!A:AX,50,FALSE)</f>
        <v>Standard_D2s_v4</v>
      </c>
      <c r="X263" s="43">
        <v>64</v>
      </c>
      <c r="Y263" s="43" t="s">
        <v>65</v>
      </c>
      <c r="Z263" s="43" t="str">
        <f>"osdisk-"&amp;VmSpecs[[#This Row],[VM Name]]</f>
        <v>osdisk-vmpfbpf2ohc03</v>
      </c>
      <c r="AA263" s="47" t="s">
        <v>66</v>
      </c>
      <c r="AB263" s="73">
        <v>8</v>
      </c>
      <c r="AC263" s="74" t="s">
        <v>65</v>
      </c>
      <c r="AD263" s="84" t="str">
        <f>"disk-"&amp;VmSpecs[[#This Row],[VM Name]]&amp;"-001"</f>
        <v>disk-vmpfbpf2ohc03-001</v>
      </c>
      <c r="AE263" s="73">
        <v>32</v>
      </c>
      <c r="AF263" s="74" t="s">
        <v>65</v>
      </c>
      <c r="AG263" s="85" t="str">
        <f>"disk-"&amp;VmSpecs[[#This Row],[VM Name]]&amp;"-002"</f>
        <v>disk-vmpfbpf2ohc03-002</v>
      </c>
      <c r="AH263" s="59"/>
      <c r="AI263" s="42"/>
      <c r="AJ263" s="42"/>
      <c r="AK263" s="42"/>
      <c r="AL263" s="42" t="str">
        <f>MID(VmSpecs[[#This Row],[VM Name]],3,9)</f>
        <v>pfbpf2ohc</v>
      </c>
      <c r="AM263" s="42" t="str" cm="1">
        <f t="array" ref="AM263">_xlfn.TEXTJOIN(CHAR(10), TRUE, IF(NfsExports[FMO Single VM IP]=VmSpecs[[#This Row],[IP]],NfsExports[FMO Export Summary],""))</f>
        <v>/apps/pcehr 30GB</v>
      </c>
      <c r="AN263" s="43" t="str" cm="1">
        <f t="array" ref="AN26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63" s="42"/>
      <c r="AP263" s="42" t="str">
        <f>VmSpecs[[#This Row],[Description]]</f>
        <v>OHS-Consumer N3</v>
      </c>
      <c r="AQ263" s="43"/>
      <c r="AR263" s="43" t="s">
        <v>64</v>
      </c>
      <c r="AS263" s="43" t="s">
        <v>64</v>
      </c>
      <c r="AT263" s="43" t="s">
        <v>64</v>
      </c>
      <c r="AU263" s="43" t="s">
        <v>64</v>
      </c>
      <c r="AV263" s="42" t="s">
        <v>66</v>
      </c>
      <c r="AW263" s="42" t="s">
        <v>67</v>
      </c>
      <c r="AX263" s="42" t="s">
        <v>68</v>
      </c>
      <c r="AY263" s="42" t="s">
        <v>64</v>
      </c>
      <c r="AZ263" s="42" t="s">
        <v>64</v>
      </c>
      <c r="BA26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"OHS-Consumer N3"
Application Service: "OHC"
Lifecycle: "PFB"</v>
      </c>
      <c r="BB263" s="78" t="s">
        <v>636</v>
      </c>
      <c r="BC263" s="42" t="str">
        <f>VLOOKUP(VmSpecs[[#This Row],[Original Hostname (CMO)]],'SSOT Data'!A:AJ,36,FALSE)</f>
        <v>OHS-Consumer N3</v>
      </c>
      <c r="BD263" s="43"/>
    </row>
    <row r="264" spans="1:56" ht="29" x14ac:dyDescent="0.35">
      <c r="A264" s="78" t="s">
        <v>58</v>
      </c>
      <c r="B264" s="42" t="str">
        <f>_xlfn.XLOOKUP(VmSpecs[[#This Row],[Subnet]],NetworkReference[Subnet],NetworkReference[Subscription])</f>
        <v>NINP-PERF2</v>
      </c>
      <c r="C264" s="43" t="str">
        <f>_xlfn.XLOOKUP(VmSpecs[[#This Row],[Subnet]],NetworkReference[Subnet],NetworkReference[Virtual Network Resource Group])</f>
        <v>rg-pf2-network-aue-001</v>
      </c>
      <c r="D264" s="43" t="str">
        <f>_xlfn.XLOOKUP(VmSpecs[[#This Row],[Subnet]],NetworkReference[Subnet],NetworkReference[Virtual Network])</f>
        <v>vnet-pf2-workload-aue-001</v>
      </c>
      <c r="E264" s="132" t="s">
        <v>489</v>
      </c>
      <c r="F264" s="43" t="str">
        <f>_xlfn.XLOOKUP(VmSpecs[[#This Row],[Subnet]],NetworkReference[Subnet],NetworkReference[Virtual Network Peering])</f>
        <v>vnet-ninp-conn-pnp-hub-aue</v>
      </c>
      <c r="G264" s="43" t="str">
        <f>_xlfn.XLOOKUP(VmSpecs[[#This Row],[Subnet]],NetworkReference[Subnet],NetworkReference[Route Table])</f>
        <v>rt-sn-pfb-aue-pf2-web</v>
      </c>
      <c r="H264" s="43" t="str">
        <f>LOWER(VLOOKUP(VmSpecs[[#This Row],[Original Hostname (CMO)]],'SSOT Data'!A:K,10,FALSE))</f>
        <v>ohc</v>
      </c>
      <c r="I26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64" s="44" t="s">
        <v>78</v>
      </c>
      <c r="K264" s="43" t="str">
        <f>_xlfn.CONCAT("vm",MID(VmSpecs[[#This Row],[Subnet]],4,3),VLOOKUP(VmSpecs[[#This Row],[Subscription]],NetworkReference[#All],2,FALSE),VmSpecs[[#This Row],[Service]],VmSpecs[[#This Row],[VM iteration (nn)]])</f>
        <v>vmpfbpf2ohc04</v>
      </c>
      <c r="L264" s="45" t="s">
        <v>61</v>
      </c>
      <c r="M264" s="43" t="str">
        <f>VmSpecs[[#This Row],[VM Name]]&amp;".ninp.myhealthrecord.gov.au"</f>
        <v>vmpfbpf2ohc04.ninp.myhealthrecord.gov.au</v>
      </c>
      <c r="N264" s="42" t="str">
        <f t="shared" si="4"/>
        <v>nic-001-vmpfbpf2ohc04</v>
      </c>
      <c r="O264" s="106" t="s">
        <v>637</v>
      </c>
      <c r="P264" s="46" t="s">
        <v>63</v>
      </c>
      <c r="Q264" s="42" t="str">
        <f>VLOOKUP(VmSpecs[[#This Row],[Original Hostname (CMO)]],'SSOT Data'!A:E,5,FALSE)</f>
        <v>OEL7.9</v>
      </c>
      <c r="R264" s="42"/>
      <c r="S264" s="42" t="str">
        <f>_xlfn.CONCAT("avail-",LEFT(VmSpecs[[#This Row],[VM Name]],LEN(VmSpecs[[#This Row],[VM Name]])-2))</f>
        <v>avail-vmpfbpf2ohc</v>
      </c>
      <c r="T264" s="42" t="str">
        <f>_xlfn.CONCAT("asg-",LEFT(VmSpecs[[#This Row],[VM Name]],LEN(VmSpecs[[#This Row],[VM Name]])-2))</f>
        <v>asg-vmpfbpf2ohc</v>
      </c>
      <c r="U264" s="42" t="str">
        <f>_xlfn.CONCAT("nsg-",VmSpecs[[#This Row],[Subnet]])</f>
        <v>nsg-sn-pfb-aue-pf2-web</v>
      </c>
      <c r="V264" s="42"/>
      <c r="W264" s="43" t="str">
        <f>VLOOKUP(VmSpecs[[#This Row],[Original Hostname (CMO)]],'SSOT Data'!A:AX,50,FALSE)</f>
        <v>Standard_D2s_v4</v>
      </c>
      <c r="X264" s="43">
        <v>64</v>
      </c>
      <c r="Y264" s="43" t="s">
        <v>65</v>
      </c>
      <c r="Z264" s="43" t="str">
        <f>"osdisk-"&amp;VmSpecs[[#This Row],[VM Name]]</f>
        <v>osdisk-vmpfbpf2ohc04</v>
      </c>
      <c r="AA264" s="47" t="s">
        <v>66</v>
      </c>
      <c r="AB264" s="73">
        <v>8</v>
      </c>
      <c r="AC264" s="74" t="s">
        <v>65</v>
      </c>
      <c r="AD264" s="84" t="str">
        <f>"disk-"&amp;VmSpecs[[#This Row],[VM Name]]&amp;"-001"</f>
        <v>disk-vmpfbpf2ohc04-001</v>
      </c>
      <c r="AE264" s="73">
        <v>32</v>
      </c>
      <c r="AF264" s="74" t="s">
        <v>65</v>
      </c>
      <c r="AG264" s="85" t="str">
        <f>"disk-"&amp;VmSpecs[[#This Row],[VM Name]]&amp;"-002"</f>
        <v>disk-vmpfbpf2ohc04-002</v>
      </c>
      <c r="AH264" s="59"/>
      <c r="AI264" s="42"/>
      <c r="AJ264" s="42"/>
      <c r="AK264" s="42"/>
      <c r="AL264" s="42" t="str">
        <f>MID(VmSpecs[[#This Row],[VM Name]],3,9)</f>
        <v>pfbpf2ohc</v>
      </c>
      <c r="AM264" s="42" t="str" cm="1">
        <f t="array" ref="AM264">_xlfn.TEXTJOIN(CHAR(10), TRUE, IF(NfsExports[FMO Single VM IP]=VmSpecs[[#This Row],[IP]],NfsExports[FMO Export Summary],""))</f>
        <v>/apps/pcehr 30GB</v>
      </c>
      <c r="AN264" s="43" t="str" cm="1">
        <f t="array" ref="AN26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64" s="42"/>
      <c r="AP264" s="42" t="str">
        <f>VmSpecs[[#This Row],[Description]]</f>
        <v>OHS-Consumer N4</v>
      </c>
      <c r="AQ264" s="43"/>
      <c r="AR264" s="43" t="s">
        <v>64</v>
      </c>
      <c r="AS264" s="43" t="s">
        <v>64</v>
      </c>
      <c r="AT264" s="43" t="s">
        <v>64</v>
      </c>
      <c r="AU264" s="43" t="s">
        <v>64</v>
      </c>
      <c r="AV264" s="42" t="s">
        <v>66</v>
      </c>
      <c r="AW264" s="42" t="s">
        <v>67</v>
      </c>
      <c r="AX264" s="42" t="s">
        <v>68</v>
      </c>
      <c r="AY264" s="42" t="s">
        <v>64</v>
      </c>
      <c r="AZ264" s="42" t="s">
        <v>64</v>
      </c>
      <c r="BA26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"OHS-Consumer N4"
Application Service: "OHC"
Lifecycle: "PFB"</v>
      </c>
      <c r="BB264" s="78" t="s">
        <v>638</v>
      </c>
      <c r="BC264" s="42" t="str">
        <f>VLOOKUP(VmSpecs[[#This Row],[Original Hostname (CMO)]],'SSOT Data'!A:AJ,36,FALSE)</f>
        <v>OHS-Consumer N4</v>
      </c>
      <c r="BD264" s="43"/>
    </row>
    <row r="265" spans="1:56" ht="29" x14ac:dyDescent="0.35">
      <c r="A265" s="78" t="s">
        <v>58</v>
      </c>
      <c r="B265" s="42" t="str">
        <f>_xlfn.XLOOKUP(VmSpecs[[#This Row],[Subnet]],NetworkReference[Subnet],NetworkReference[Subscription])</f>
        <v>NINP-PERF2</v>
      </c>
      <c r="C265" s="43" t="str">
        <f>_xlfn.XLOOKUP(VmSpecs[[#This Row],[Subnet]],NetworkReference[Subnet],NetworkReference[Virtual Network Resource Group])</f>
        <v>rg-pf2-network-aue-001</v>
      </c>
      <c r="D265" s="43" t="str">
        <f>_xlfn.XLOOKUP(VmSpecs[[#This Row],[Subnet]],NetworkReference[Subnet],NetworkReference[Virtual Network])</f>
        <v>vnet-pf2-workload-aue-001</v>
      </c>
      <c r="E265" s="132" t="s">
        <v>489</v>
      </c>
      <c r="F265" s="43" t="str">
        <f>_xlfn.XLOOKUP(VmSpecs[[#This Row],[Subnet]],NetworkReference[Subnet],NetworkReference[Virtual Network Peering])</f>
        <v>vnet-ninp-conn-pnp-hub-aue</v>
      </c>
      <c r="G265" s="43" t="str">
        <f>_xlfn.XLOOKUP(VmSpecs[[#This Row],[Subnet]],NetworkReference[Subnet],NetworkReference[Route Table])</f>
        <v>rt-sn-pfb-aue-pf2-web</v>
      </c>
      <c r="H265" s="43" t="str">
        <f>LOWER(VLOOKUP(VmSpecs[[#This Row],[Original Hostname (CMO)]],'SSOT Data'!A:K,10,FALSE))</f>
        <v>ohc</v>
      </c>
      <c r="I26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65" s="44" t="s">
        <v>81</v>
      </c>
      <c r="K265" s="43" t="str">
        <f>_xlfn.CONCAT("vm",MID(VmSpecs[[#This Row],[Subnet]],4,3),VLOOKUP(VmSpecs[[#This Row],[Subscription]],NetworkReference[#All],2,FALSE),VmSpecs[[#This Row],[Service]],VmSpecs[[#This Row],[VM iteration (nn)]])</f>
        <v>vmpfbpf2ohc05</v>
      </c>
      <c r="L265" s="45" t="s">
        <v>61</v>
      </c>
      <c r="M265" s="43" t="str">
        <f>VmSpecs[[#This Row],[VM Name]]&amp;".ninp.myhealthrecord.gov.au"</f>
        <v>vmpfbpf2ohc05.ninp.myhealthrecord.gov.au</v>
      </c>
      <c r="N265" s="42" t="str">
        <f t="shared" si="4"/>
        <v>nic-001-vmpfbpf2ohc05</v>
      </c>
      <c r="O265" s="106" t="s">
        <v>639</v>
      </c>
      <c r="P265" s="46" t="s">
        <v>63</v>
      </c>
      <c r="Q265" s="42" t="str">
        <f>VLOOKUP(VmSpecs[[#This Row],[Original Hostname (CMO)]],'SSOT Data'!A:E,5,FALSE)</f>
        <v>OEL7.9</v>
      </c>
      <c r="R265" s="42"/>
      <c r="S265" s="42" t="str">
        <f>_xlfn.CONCAT("avail-",LEFT(VmSpecs[[#This Row],[VM Name]],LEN(VmSpecs[[#This Row],[VM Name]])-2))</f>
        <v>avail-vmpfbpf2ohc</v>
      </c>
      <c r="T265" s="42" t="str">
        <f>_xlfn.CONCAT("asg-",LEFT(VmSpecs[[#This Row],[VM Name]],LEN(VmSpecs[[#This Row],[VM Name]])-2))</f>
        <v>asg-vmpfbpf2ohc</v>
      </c>
      <c r="U265" s="42" t="str">
        <f>_xlfn.CONCAT("nsg-",VmSpecs[[#This Row],[Subnet]])</f>
        <v>nsg-sn-pfb-aue-pf2-web</v>
      </c>
      <c r="V265" s="42"/>
      <c r="W265" s="43" t="str">
        <f>VLOOKUP(VmSpecs[[#This Row],[Original Hostname (CMO)]],'SSOT Data'!A:AX,50,FALSE)</f>
        <v>Standard_D4s_v4</v>
      </c>
      <c r="X265" s="43">
        <v>64</v>
      </c>
      <c r="Y265" s="43" t="s">
        <v>65</v>
      </c>
      <c r="Z265" s="43" t="str">
        <f>"osdisk-"&amp;VmSpecs[[#This Row],[VM Name]]</f>
        <v>osdisk-vmpfbpf2ohc05</v>
      </c>
      <c r="AA265" s="47" t="s">
        <v>66</v>
      </c>
      <c r="AB265" s="73">
        <v>8</v>
      </c>
      <c r="AC265" s="74" t="s">
        <v>65</v>
      </c>
      <c r="AD265" s="84" t="str">
        <f>"disk-"&amp;VmSpecs[[#This Row],[VM Name]]&amp;"-001"</f>
        <v>disk-vmpfbpf2ohc05-001</v>
      </c>
      <c r="AE265" s="73">
        <v>32</v>
      </c>
      <c r="AF265" s="74" t="s">
        <v>65</v>
      </c>
      <c r="AG265" s="85" t="str">
        <f>"disk-"&amp;VmSpecs[[#This Row],[VM Name]]&amp;"-002"</f>
        <v>disk-vmpfbpf2ohc05-002</v>
      </c>
      <c r="AH265" s="59"/>
      <c r="AI265" s="42"/>
      <c r="AJ265" s="42"/>
      <c r="AK265" s="42"/>
      <c r="AL265" s="42" t="str">
        <f>MID(VmSpecs[[#This Row],[VM Name]],3,9)</f>
        <v>pfbpf2ohc</v>
      </c>
      <c r="AM265" s="42" t="str" cm="1">
        <f t="array" ref="AM265">_xlfn.TEXTJOIN(CHAR(10), TRUE, IF(NfsExports[FMO Single VM IP]=VmSpecs[[#This Row],[IP]],NfsExports[FMO Export Summary],""))</f>
        <v>/apps/pcehr 30GB</v>
      </c>
      <c r="AN265" s="43" t="str" cm="1">
        <f t="array" ref="AN26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65" s="42"/>
      <c r="AP265" s="42" t="str">
        <f>VmSpecs[[#This Row],[Description]]</f>
        <v>OHS-Consumer N5</v>
      </c>
      <c r="AQ265" s="43"/>
      <c r="AR265" s="43" t="s">
        <v>64</v>
      </c>
      <c r="AS265" s="43" t="s">
        <v>64</v>
      </c>
      <c r="AT265" s="43" t="s">
        <v>64</v>
      </c>
      <c r="AU265" s="43" t="s">
        <v>64</v>
      </c>
      <c r="AV265" s="42" t="s">
        <v>66</v>
      </c>
      <c r="AW265" s="42" t="s">
        <v>67</v>
      </c>
      <c r="AX265" s="42" t="s">
        <v>68</v>
      </c>
      <c r="AY265" s="42" t="s">
        <v>64</v>
      </c>
      <c r="AZ265" s="42" t="s">
        <v>64</v>
      </c>
      <c r="BA26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"OHS-Consumer N5"
Application Service: "OHC"
Lifecycle: "PFB"</v>
      </c>
      <c r="BB265" s="78" t="s">
        <v>640</v>
      </c>
      <c r="BC265" s="42" t="str">
        <f>VLOOKUP(VmSpecs[[#This Row],[Original Hostname (CMO)]],'SSOT Data'!A:AJ,36,FALSE)</f>
        <v>OHS-Consumer N5</v>
      </c>
      <c r="BD265" s="43"/>
    </row>
    <row r="266" spans="1:56" ht="29" x14ac:dyDescent="0.35">
      <c r="A266" s="78" t="s">
        <v>58</v>
      </c>
      <c r="B266" s="42" t="str">
        <f>_xlfn.XLOOKUP(VmSpecs[[#This Row],[Subnet]],NetworkReference[Subnet],NetworkReference[Subscription])</f>
        <v>NINP-PERF2</v>
      </c>
      <c r="C266" s="43" t="str">
        <f>_xlfn.XLOOKUP(VmSpecs[[#This Row],[Subnet]],NetworkReference[Subnet],NetworkReference[Virtual Network Resource Group])</f>
        <v>rg-pf2-network-aue-001</v>
      </c>
      <c r="D266" s="43" t="str">
        <f>_xlfn.XLOOKUP(VmSpecs[[#This Row],[Subnet]],NetworkReference[Subnet],NetworkReference[Virtual Network])</f>
        <v>vnet-pf2-workload-aue-001</v>
      </c>
      <c r="E266" s="132" t="s">
        <v>489</v>
      </c>
      <c r="F266" s="43" t="str">
        <f>_xlfn.XLOOKUP(VmSpecs[[#This Row],[Subnet]],NetworkReference[Subnet],NetworkReference[Virtual Network Peering])</f>
        <v>vnet-ninp-conn-pnp-hub-aue</v>
      </c>
      <c r="G266" s="43" t="str">
        <f>_xlfn.XLOOKUP(VmSpecs[[#This Row],[Subnet]],NetworkReference[Subnet],NetworkReference[Route Table])</f>
        <v>rt-sn-pfb-aue-pf2-web</v>
      </c>
      <c r="H266" s="43" t="str">
        <f>LOWER(VLOOKUP(VmSpecs[[#This Row],[Original Hostname (CMO)]],'SSOT Data'!A:K,10,FALSE))</f>
        <v>ohc</v>
      </c>
      <c r="I26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66" s="44" t="s">
        <v>84</v>
      </c>
      <c r="K266" s="43" t="str">
        <f>_xlfn.CONCAT("vm",MID(VmSpecs[[#This Row],[Subnet]],4,3),VLOOKUP(VmSpecs[[#This Row],[Subscription]],NetworkReference[#All],2,FALSE),VmSpecs[[#This Row],[Service]],VmSpecs[[#This Row],[VM iteration (nn)]])</f>
        <v>vmpfbpf2ohc06</v>
      </c>
      <c r="L266" s="45" t="s">
        <v>61</v>
      </c>
      <c r="M266" s="43" t="str">
        <f>VmSpecs[[#This Row],[VM Name]]&amp;".ninp.myhealthrecord.gov.au"</f>
        <v>vmpfbpf2ohc06.ninp.myhealthrecord.gov.au</v>
      </c>
      <c r="N266" s="42" t="str">
        <f t="shared" si="4"/>
        <v>nic-001-vmpfbpf2ohc06</v>
      </c>
      <c r="O266" s="106" t="s">
        <v>641</v>
      </c>
      <c r="P266" s="46" t="s">
        <v>63</v>
      </c>
      <c r="Q266" s="42" t="str">
        <f>VLOOKUP(VmSpecs[[#This Row],[Original Hostname (CMO)]],'SSOT Data'!A:E,5,FALSE)</f>
        <v>OEL7.9</v>
      </c>
      <c r="R266" s="42"/>
      <c r="S266" s="42" t="str">
        <f>_xlfn.CONCAT("avail-",LEFT(VmSpecs[[#This Row],[VM Name]],LEN(VmSpecs[[#This Row],[VM Name]])-2))</f>
        <v>avail-vmpfbpf2ohc</v>
      </c>
      <c r="T266" s="42" t="str">
        <f>_xlfn.CONCAT("asg-",LEFT(VmSpecs[[#This Row],[VM Name]],LEN(VmSpecs[[#This Row],[VM Name]])-2))</f>
        <v>asg-vmpfbpf2ohc</v>
      </c>
      <c r="U266" s="42" t="str">
        <f>_xlfn.CONCAT("nsg-",VmSpecs[[#This Row],[Subnet]])</f>
        <v>nsg-sn-pfb-aue-pf2-web</v>
      </c>
      <c r="V266" s="42"/>
      <c r="W266" s="43" t="str">
        <f>VLOOKUP(VmSpecs[[#This Row],[Original Hostname (CMO)]],'SSOT Data'!A:AX,50,FALSE)</f>
        <v>Standard_D4s_v4</v>
      </c>
      <c r="X266" s="43">
        <v>64</v>
      </c>
      <c r="Y266" s="43" t="s">
        <v>65</v>
      </c>
      <c r="Z266" s="43" t="str">
        <f>"osdisk-"&amp;VmSpecs[[#This Row],[VM Name]]</f>
        <v>osdisk-vmpfbpf2ohc06</v>
      </c>
      <c r="AA266" s="47" t="s">
        <v>66</v>
      </c>
      <c r="AB266" s="73">
        <v>8</v>
      </c>
      <c r="AC266" s="74" t="s">
        <v>65</v>
      </c>
      <c r="AD266" s="84" t="str">
        <f>"disk-"&amp;VmSpecs[[#This Row],[VM Name]]&amp;"-001"</f>
        <v>disk-vmpfbpf2ohc06-001</v>
      </c>
      <c r="AE266" s="73">
        <v>32</v>
      </c>
      <c r="AF266" s="74" t="s">
        <v>65</v>
      </c>
      <c r="AG266" s="85" t="str">
        <f>"disk-"&amp;VmSpecs[[#This Row],[VM Name]]&amp;"-002"</f>
        <v>disk-vmpfbpf2ohc06-002</v>
      </c>
      <c r="AH266" s="59"/>
      <c r="AI266" s="42"/>
      <c r="AJ266" s="42"/>
      <c r="AK266" s="42"/>
      <c r="AL266" s="42" t="str">
        <f>MID(VmSpecs[[#This Row],[VM Name]],3,9)</f>
        <v>pfbpf2ohc</v>
      </c>
      <c r="AM266" s="42" t="str" cm="1">
        <f t="array" ref="AM266">_xlfn.TEXTJOIN(CHAR(10), TRUE, IF(NfsExports[FMO Single VM IP]=VmSpecs[[#This Row],[IP]],NfsExports[FMO Export Summary],""))</f>
        <v>/apps/pcehr 30GB</v>
      </c>
      <c r="AN266" s="43" t="str" cm="1">
        <f t="array" ref="AN26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66" s="42"/>
      <c r="AP266" s="42" t="str">
        <f>VmSpecs[[#This Row],[Description]]</f>
        <v>OHS-Consumer N6</v>
      </c>
      <c r="AQ266" s="43"/>
      <c r="AR266" s="43" t="s">
        <v>64</v>
      </c>
      <c r="AS266" s="43" t="s">
        <v>64</v>
      </c>
      <c r="AT266" s="43" t="s">
        <v>64</v>
      </c>
      <c r="AU266" s="43" t="s">
        <v>64</v>
      </c>
      <c r="AV266" s="42" t="s">
        <v>66</v>
      </c>
      <c r="AW266" s="42" t="s">
        <v>67</v>
      </c>
      <c r="AX266" s="42" t="s">
        <v>68</v>
      </c>
      <c r="AY266" s="42" t="s">
        <v>64</v>
      </c>
      <c r="AZ266" s="42" t="s">
        <v>64</v>
      </c>
      <c r="BA26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"OHS-Consumer N6"
Application Service: "OHC"
Lifecycle: "PFB"</v>
      </c>
      <c r="BB266" s="78" t="s">
        <v>642</v>
      </c>
      <c r="BC266" s="42" t="str">
        <f>VLOOKUP(VmSpecs[[#This Row],[Original Hostname (CMO)]],'SSOT Data'!A:AJ,36,FALSE)</f>
        <v>OHS-Consumer N6</v>
      </c>
      <c r="BD266" s="43"/>
    </row>
    <row r="267" spans="1:56" ht="29" x14ac:dyDescent="0.35">
      <c r="A267" s="78" t="s">
        <v>58</v>
      </c>
      <c r="B267" s="42" t="str">
        <f>_xlfn.XLOOKUP(VmSpecs[[#This Row],[Subnet]],NetworkReference[Subnet],NetworkReference[Subscription])</f>
        <v>NINP-PERF2</v>
      </c>
      <c r="C267" s="43" t="str">
        <f>_xlfn.XLOOKUP(VmSpecs[[#This Row],[Subnet]],NetworkReference[Subnet],NetworkReference[Virtual Network Resource Group])</f>
        <v>rg-pf2-network-aue-001</v>
      </c>
      <c r="D267" s="43" t="str">
        <f>_xlfn.XLOOKUP(VmSpecs[[#This Row],[Subnet]],NetworkReference[Subnet],NetworkReference[Virtual Network])</f>
        <v>vnet-pf2-workload-aue-001</v>
      </c>
      <c r="E267" s="132" t="s">
        <v>489</v>
      </c>
      <c r="F267" s="43" t="str">
        <f>_xlfn.XLOOKUP(VmSpecs[[#This Row],[Subnet]],NetworkReference[Subnet],NetworkReference[Virtual Network Peering])</f>
        <v>vnet-ninp-conn-pnp-hub-aue</v>
      </c>
      <c r="G267" s="43" t="str">
        <f>_xlfn.XLOOKUP(VmSpecs[[#This Row],[Subnet]],NetworkReference[Subnet],NetworkReference[Route Table])</f>
        <v>rt-sn-pfb-aue-pf2-web</v>
      </c>
      <c r="H267" s="43" t="str">
        <f>LOWER(VLOOKUP(VmSpecs[[#This Row],[Original Hostname (CMO)]],'SSOT Data'!A:K,10,FALSE))</f>
        <v>ohc</v>
      </c>
      <c r="I26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67" s="44" t="s">
        <v>99</v>
      </c>
      <c r="K267" s="43" t="str">
        <f>_xlfn.CONCAT("vm",MID(VmSpecs[[#This Row],[Subnet]],4,3),VLOOKUP(VmSpecs[[#This Row],[Subscription]],NetworkReference[#All],2,FALSE),VmSpecs[[#This Row],[Service]],VmSpecs[[#This Row],[VM iteration (nn)]])</f>
        <v>vmpfbpf2ohc07</v>
      </c>
      <c r="L267" s="45" t="s">
        <v>61</v>
      </c>
      <c r="M267" s="43" t="str">
        <f>VmSpecs[[#This Row],[VM Name]]&amp;".ninp.myhealthrecord.gov.au"</f>
        <v>vmpfbpf2ohc07.ninp.myhealthrecord.gov.au</v>
      </c>
      <c r="N267" s="42" t="str">
        <f t="shared" si="4"/>
        <v>nic-001-vmpfbpf2ohc07</v>
      </c>
      <c r="O267" s="106" t="s">
        <v>643</v>
      </c>
      <c r="P267" s="46" t="s">
        <v>63</v>
      </c>
      <c r="Q267" s="42" t="str">
        <f>VLOOKUP(VmSpecs[[#This Row],[Original Hostname (CMO)]],'SSOT Data'!A:E,5,FALSE)</f>
        <v>OEL7.9</v>
      </c>
      <c r="R267" s="42"/>
      <c r="S267" s="42" t="str">
        <f>_xlfn.CONCAT("avail-",LEFT(VmSpecs[[#This Row],[VM Name]],LEN(VmSpecs[[#This Row],[VM Name]])-2))</f>
        <v>avail-vmpfbpf2ohc</v>
      </c>
      <c r="T267" s="42" t="str">
        <f>_xlfn.CONCAT("asg-",LEFT(VmSpecs[[#This Row],[VM Name]],LEN(VmSpecs[[#This Row],[VM Name]])-2))</f>
        <v>asg-vmpfbpf2ohc</v>
      </c>
      <c r="U267" s="42" t="str">
        <f>_xlfn.CONCAT("nsg-",VmSpecs[[#This Row],[Subnet]])</f>
        <v>nsg-sn-pfb-aue-pf2-web</v>
      </c>
      <c r="V267" s="42"/>
      <c r="W267" s="43" t="str">
        <f>VLOOKUP(VmSpecs[[#This Row],[Original Hostname (CMO)]],'SSOT Data'!A:AX,50,FALSE)</f>
        <v>Standard_D4s_v4</v>
      </c>
      <c r="X267" s="43">
        <v>64</v>
      </c>
      <c r="Y267" s="43" t="s">
        <v>65</v>
      </c>
      <c r="Z267" s="43" t="str">
        <f>"osdisk-"&amp;VmSpecs[[#This Row],[VM Name]]</f>
        <v>osdisk-vmpfbpf2ohc07</v>
      </c>
      <c r="AA267" s="47" t="s">
        <v>66</v>
      </c>
      <c r="AB267" s="73">
        <v>8</v>
      </c>
      <c r="AC267" s="74" t="s">
        <v>65</v>
      </c>
      <c r="AD267" s="84" t="str">
        <f>"disk-"&amp;VmSpecs[[#This Row],[VM Name]]&amp;"-001"</f>
        <v>disk-vmpfbpf2ohc07-001</v>
      </c>
      <c r="AE267" s="73">
        <v>32</v>
      </c>
      <c r="AF267" s="74" t="s">
        <v>65</v>
      </c>
      <c r="AG267" s="85" t="str">
        <f>"disk-"&amp;VmSpecs[[#This Row],[VM Name]]&amp;"-002"</f>
        <v>disk-vmpfbpf2ohc07-002</v>
      </c>
      <c r="AH267" s="59"/>
      <c r="AI267" s="42"/>
      <c r="AJ267" s="42"/>
      <c r="AK267" s="42"/>
      <c r="AL267" s="42" t="str">
        <f>MID(VmSpecs[[#This Row],[VM Name]],3,9)</f>
        <v>pfbpf2ohc</v>
      </c>
      <c r="AM267" s="42" t="str" cm="1">
        <f t="array" ref="AM267">_xlfn.TEXTJOIN(CHAR(10), TRUE, IF(NfsExports[FMO Single VM IP]=VmSpecs[[#This Row],[IP]],NfsExports[FMO Export Summary],""))</f>
        <v>/apps/pcehr 30GB</v>
      </c>
      <c r="AN267" s="43" t="str" cm="1">
        <f t="array" ref="AN26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67" s="42"/>
      <c r="AP267" s="42" t="str">
        <f>VmSpecs[[#This Row],[Description]]</f>
        <v>OHS-Consumer N7</v>
      </c>
      <c r="AQ267" s="43"/>
      <c r="AR267" s="43" t="s">
        <v>64</v>
      </c>
      <c r="AS267" s="43" t="s">
        <v>64</v>
      </c>
      <c r="AT267" s="43" t="s">
        <v>64</v>
      </c>
      <c r="AU267" s="43" t="s">
        <v>64</v>
      </c>
      <c r="AV267" s="42" t="s">
        <v>66</v>
      </c>
      <c r="AW267" s="42" t="s">
        <v>67</v>
      </c>
      <c r="AX267" s="42" t="s">
        <v>68</v>
      </c>
      <c r="AY267" s="42" t="s">
        <v>64</v>
      </c>
      <c r="AZ267" s="42" t="s">
        <v>64</v>
      </c>
      <c r="BA26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"OHS-Consumer N7"
Application Service: "OHC"
Lifecycle: "PFB"</v>
      </c>
      <c r="BB267" s="78" t="s">
        <v>644</v>
      </c>
      <c r="BC267" s="42" t="str">
        <f>VLOOKUP(VmSpecs[[#This Row],[Original Hostname (CMO)]],'SSOT Data'!A:AJ,36,FALSE)</f>
        <v>OHS-Consumer N7</v>
      </c>
      <c r="BD267" s="43"/>
    </row>
    <row r="268" spans="1:56" ht="29" x14ac:dyDescent="0.35">
      <c r="A268" s="78" t="s">
        <v>58</v>
      </c>
      <c r="B268" s="42" t="str">
        <f>_xlfn.XLOOKUP(VmSpecs[[#This Row],[Subnet]],NetworkReference[Subnet],NetworkReference[Subscription])</f>
        <v>NINP-PERF2</v>
      </c>
      <c r="C268" s="43" t="str">
        <f>_xlfn.XLOOKUP(VmSpecs[[#This Row],[Subnet]],NetworkReference[Subnet],NetworkReference[Virtual Network Resource Group])</f>
        <v>rg-pf2-network-aue-001</v>
      </c>
      <c r="D268" s="43" t="str">
        <f>_xlfn.XLOOKUP(VmSpecs[[#This Row],[Subnet]],NetworkReference[Subnet],NetworkReference[Virtual Network])</f>
        <v>vnet-pf2-workload-aue-001</v>
      </c>
      <c r="E268" s="132" t="s">
        <v>489</v>
      </c>
      <c r="F268" s="43" t="str">
        <f>_xlfn.XLOOKUP(VmSpecs[[#This Row],[Subnet]],NetworkReference[Subnet],NetworkReference[Virtual Network Peering])</f>
        <v>vnet-ninp-conn-pnp-hub-aue</v>
      </c>
      <c r="G268" s="43" t="str">
        <f>_xlfn.XLOOKUP(VmSpecs[[#This Row],[Subnet]],NetworkReference[Subnet],NetworkReference[Route Table])</f>
        <v>rt-sn-pfb-aue-pf2-web</v>
      </c>
      <c r="H268" s="43" t="str">
        <f>LOWER(VLOOKUP(VmSpecs[[#This Row],[Original Hostname (CMO)]],'SSOT Data'!A:K,10,FALSE))</f>
        <v>ohc</v>
      </c>
      <c r="I26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68" s="44" t="s">
        <v>102</v>
      </c>
      <c r="K268" s="43" t="str">
        <f>_xlfn.CONCAT("vm",MID(VmSpecs[[#This Row],[Subnet]],4,3),VLOOKUP(VmSpecs[[#This Row],[Subscription]],NetworkReference[#All],2,FALSE),VmSpecs[[#This Row],[Service]],VmSpecs[[#This Row],[VM iteration (nn)]])</f>
        <v>vmpfbpf2ohc08</v>
      </c>
      <c r="L268" s="45" t="s">
        <v>61</v>
      </c>
      <c r="M268" s="43" t="str">
        <f>VmSpecs[[#This Row],[VM Name]]&amp;".ninp.myhealthrecord.gov.au"</f>
        <v>vmpfbpf2ohc08.ninp.myhealthrecord.gov.au</v>
      </c>
      <c r="N268" s="42" t="str">
        <f t="shared" si="4"/>
        <v>nic-001-vmpfbpf2ohc08</v>
      </c>
      <c r="O268" s="106" t="s">
        <v>645</v>
      </c>
      <c r="P268" s="46" t="s">
        <v>63</v>
      </c>
      <c r="Q268" s="42" t="str">
        <f>VLOOKUP(VmSpecs[[#This Row],[Original Hostname (CMO)]],'SSOT Data'!A:E,5,FALSE)</f>
        <v>OEL7.9</v>
      </c>
      <c r="R268" s="42"/>
      <c r="S268" s="42" t="str">
        <f>_xlfn.CONCAT("avail-",LEFT(VmSpecs[[#This Row],[VM Name]],LEN(VmSpecs[[#This Row],[VM Name]])-2))</f>
        <v>avail-vmpfbpf2ohc</v>
      </c>
      <c r="T268" s="42" t="str">
        <f>_xlfn.CONCAT("asg-",LEFT(VmSpecs[[#This Row],[VM Name]],LEN(VmSpecs[[#This Row],[VM Name]])-2))</f>
        <v>asg-vmpfbpf2ohc</v>
      </c>
      <c r="U268" s="42" t="str">
        <f>_xlfn.CONCAT("nsg-",VmSpecs[[#This Row],[Subnet]])</f>
        <v>nsg-sn-pfb-aue-pf2-web</v>
      </c>
      <c r="V268" s="42"/>
      <c r="W268" s="43" t="str">
        <f>VLOOKUP(VmSpecs[[#This Row],[Original Hostname (CMO)]],'SSOT Data'!A:AX,50,FALSE)</f>
        <v>Standard_D4s_v4</v>
      </c>
      <c r="X268" s="43">
        <v>64</v>
      </c>
      <c r="Y268" s="43" t="s">
        <v>65</v>
      </c>
      <c r="Z268" s="43" t="str">
        <f>"osdisk-"&amp;VmSpecs[[#This Row],[VM Name]]</f>
        <v>osdisk-vmpfbpf2ohc08</v>
      </c>
      <c r="AA268" s="47" t="s">
        <v>66</v>
      </c>
      <c r="AB268" s="73">
        <v>8</v>
      </c>
      <c r="AC268" s="74" t="s">
        <v>65</v>
      </c>
      <c r="AD268" s="84" t="str">
        <f>"disk-"&amp;VmSpecs[[#This Row],[VM Name]]&amp;"-001"</f>
        <v>disk-vmpfbpf2ohc08-001</v>
      </c>
      <c r="AE268" s="73">
        <v>32</v>
      </c>
      <c r="AF268" s="74" t="s">
        <v>65</v>
      </c>
      <c r="AG268" s="85" t="str">
        <f>"disk-"&amp;VmSpecs[[#This Row],[VM Name]]&amp;"-002"</f>
        <v>disk-vmpfbpf2ohc08-002</v>
      </c>
      <c r="AH268" s="59"/>
      <c r="AI268" s="42"/>
      <c r="AJ268" s="42"/>
      <c r="AK268" s="42"/>
      <c r="AL268" s="42" t="str">
        <f>MID(VmSpecs[[#This Row],[VM Name]],3,9)</f>
        <v>pfbpf2ohc</v>
      </c>
      <c r="AM268" s="42" t="str" cm="1">
        <f t="array" ref="AM268">_xlfn.TEXTJOIN(CHAR(10), TRUE, IF(NfsExports[FMO Single VM IP]=VmSpecs[[#This Row],[IP]],NfsExports[FMO Export Summary],""))</f>
        <v>/apps/pcehr 30GB</v>
      </c>
      <c r="AN268" s="43" t="str" cm="1">
        <f t="array" ref="AN26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68" s="42"/>
      <c r="AP268" s="42" t="str">
        <f>VmSpecs[[#This Row],[Description]]</f>
        <v>OHS-Consumer N8</v>
      </c>
      <c r="AQ268" s="43"/>
      <c r="AR268" s="43" t="s">
        <v>64</v>
      </c>
      <c r="AS268" s="43" t="s">
        <v>64</v>
      </c>
      <c r="AT268" s="43" t="s">
        <v>64</v>
      </c>
      <c r="AU268" s="43" t="s">
        <v>64</v>
      </c>
      <c r="AV268" s="42" t="s">
        <v>66</v>
      </c>
      <c r="AW268" s="42" t="s">
        <v>67</v>
      </c>
      <c r="AX268" s="42" t="s">
        <v>68</v>
      </c>
      <c r="AY268" s="42" t="s">
        <v>64</v>
      </c>
      <c r="AZ268" s="42" t="s">
        <v>64</v>
      </c>
      <c r="BA26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"OHS-Consumer N8"
Application Service: "OHC"
Lifecycle: "PFB"</v>
      </c>
      <c r="BB268" s="78" t="s">
        <v>646</v>
      </c>
      <c r="BC268" s="42" t="str">
        <f>VLOOKUP(VmSpecs[[#This Row],[Original Hostname (CMO)]],'SSOT Data'!A:AJ,36,FALSE)</f>
        <v>OHS-Consumer N8</v>
      </c>
      <c r="BD268" s="43"/>
    </row>
    <row r="269" spans="1:56" ht="29" x14ac:dyDescent="0.35">
      <c r="A269" s="78" t="s">
        <v>58</v>
      </c>
      <c r="B269" s="42" t="str">
        <f>_xlfn.XLOOKUP(VmSpecs[[#This Row],[Subnet]],NetworkReference[Subnet],NetworkReference[Subscription])</f>
        <v>NINP-PERF2</v>
      </c>
      <c r="C269" s="43" t="str">
        <f>_xlfn.XLOOKUP(VmSpecs[[#This Row],[Subnet]],NetworkReference[Subnet],NetworkReference[Virtual Network Resource Group])</f>
        <v>rg-pf2-network-aue-001</v>
      </c>
      <c r="D269" s="43" t="str">
        <f>_xlfn.XLOOKUP(VmSpecs[[#This Row],[Subnet]],NetworkReference[Subnet],NetworkReference[Virtual Network])</f>
        <v>vnet-pf2-workload-aue-001</v>
      </c>
      <c r="E269" s="132" t="s">
        <v>489</v>
      </c>
      <c r="F269" s="43" t="str">
        <f>_xlfn.XLOOKUP(VmSpecs[[#This Row],[Subnet]],NetworkReference[Subnet],NetworkReference[Virtual Network Peering])</f>
        <v>vnet-ninp-conn-pnp-hub-aue</v>
      </c>
      <c r="G269" s="43" t="str">
        <f>_xlfn.XLOOKUP(VmSpecs[[#This Row],[Subnet]],NetworkReference[Subnet],NetworkReference[Route Table])</f>
        <v>rt-sn-pfb-aue-pf2-web</v>
      </c>
      <c r="H269" s="43" t="str">
        <f>LOWER(VLOOKUP(VmSpecs[[#This Row],[Original Hostname (CMO)]],'SSOT Data'!A:K,10,FALSE))</f>
        <v>ohm</v>
      </c>
      <c r="I26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69" s="44" t="s">
        <v>60</v>
      </c>
      <c r="K269" s="43" t="str">
        <f>_xlfn.CONCAT("vm",MID(VmSpecs[[#This Row],[Subnet]],4,3),VLOOKUP(VmSpecs[[#This Row],[Subscription]],NetworkReference[#All],2,FALSE),VmSpecs[[#This Row],[Service]],VmSpecs[[#This Row],[VM iteration (nn)]])</f>
        <v>vmpfbpf2ohm01</v>
      </c>
      <c r="L269" s="45" t="s">
        <v>61</v>
      </c>
      <c r="M269" s="43" t="str">
        <f>VmSpecs[[#This Row],[VM Name]]&amp;".ninp.myhealthrecord.gov.au"</f>
        <v>vmpfbpf2ohm01.ninp.myhealthrecord.gov.au</v>
      </c>
      <c r="N269" s="42" t="str">
        <f t="shared" si="4"/>
        <v>nic-001-vmpfbpf2ohm01</v>
      </c>
      <c r="O269" s="106" t="s">
        <v>647</v>
      </c>
      <c r="P269" s="46" t="s">
        <v>63</v>
      </c>
      <c r="Q269" s="42" t="str">
        <f>VLOOKUP(VmSpecs[[#This Row],[Original Hostname (CMO)]],'SSOT Data'!A:E,5,FALSE)</f>
        <v>OEL7.9</v>
      </c>
      <c r="R269" s="42"/>
      <c r="S269" s="42" t="str">
        <f>_xlfn.CONCAT("avail-",LEFT(VmSpecs[[#This Row],[VM Name]],LEN(VmSpecs[[#This Row],[VM Name]])-2))</f>
        <v>avail-vmpfbpf2ohm</v>
      </c>
      <c r="T269" s="42" t="str">
        <f>_xlfn.CONCAT("asg-",LEFT(VmSpecs[[#This Row],[VM Name]],LEN(VmSpecs[[#This Row],[VM Name]])-2))</f>
        <v>asg-vmpfbpf2ohm</v>
      </c>
      <c r="U269" s="42" t="str">
        <f>_xlfn.CONCAT("nsg-",VmSpecs[[#This Row],[Subnet]])</f>
        <v>nsg-sn-pfb-aue-pf2-web</v>
      </c>
      <c r="V269" s="42"/>
      <c r="W269" s="43" t="str">
        <f>VLOOKUP(VmSpecs[[#This Row],[Original Hostname (CMO)]],'SSOT Data'!A:AX,50,FALSE)</f>
        <v>Standard_D8s_v4</v>
      </c>
      <c r="X269" s="43">
        <v>64</v>
      </c>
      <c r="Y269" s="43" t="s">
        <v>65</v>
      </c>
      <c r="Z269" s="43" t="str">
        <f>"osdisk-"&amp;VmSpecs[[#This Row],[VM Name]]</f>
        <v>osdisk-vmpfbpf2ohm01</v>
      </c>
      <c r="AA269" s="47" t="s">
        <v>66</v>
      </c>
      <c r="AB269" s="73">
        <v>8</v>
      </c>
      <c r="AC269" s="74" t="s">
        <v>65</v>
      </c>
      <c r="AD269" s="84" t="str">
        <f>"disk-"&amp;VmSpecs[[#This Row],[VM Name]]&amp;"-001"</f>
        <v>disk-vmpfbpf2ohm01-001</v>
      </c>
      <c r="AE269" s="73">
        <v>32</v>
      </c>
      <c r="AF269" s="74" t="s">
        <v>65</v>
      </c>
      <c r="AG269" s="85" t="str">
        <f>"disk-"&amp;VmSpecs[[#This Row],[VM Name]]&amp;"-002"</f>
        <v>disk-vmpfbpf2ohm01-002</v>
      </c>
      <c r="AH269" s="59"/>
      <c r="AI269" s="42"/>
      <c r="AJ269" s="42"/>
      <c r="AK269" s="42"/>
      <c r="AL269" s="42" t="str">
        <f>MID(VmSpecs[[#This Row],[VM Name]],3,9)</f>
        <v>pfbpf2ohm</v>
      </c>
      <c r="AM269" s="42" t="str" cm="1">
        <f t="array" ref="AM269">_xlfn.TEXTJOIN(CHAR(10), TRUE, IF(NfsExports[FMO Single VM IP]=VmSpecs[[#This Row],[IP]],NfsExports[FMO Export Summary],""))</f>
        <v>/apps/pcehr 30GB</v>
      </c>
      <c r="AN269" s="43" t="str" cm="1">
        <f t="array" ref="AN26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69" s="42"/>
      <c r="AP269" s="42" t="str">
        <f>VmSpecs[[#This Row],[Description]]</f>
        <v>OHS-OAG B2M and FHIR / Mobility</v>
      </c>
      <c r="AQ269" s="43"/>
      <c r="AR269" s="43" t="s">
        <v>64</v>
      </c>
      <c r="AS269" s="43" t="s">
        <v>64</v>
      </c>
      <c r="AT269" s="43" t="s">
        <v>64</v>
      </c>
      <c r="AU269" s="43" t="s">
        <v>64</v>
      </c>
      <c r="AV269" s="42" t="s">
        <v>66</v>
      </c>
      <c r="AW269" s="42" t="s">
        <v>67</v>
      </c>
      <c r="AX269" s="42" t="s">
        <v>68</v>
      </c>
      <c r="AY269" s="42" t="s">
        <v>64</v>
      </c>
      <c r="AZ269" s="42" t="s">
        <v>64</v>
      </c>
      <c r="BA26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B2M and FHIR / Mobility"
Application Service: "OHM"
Lifecycle: "PFB"</v>
      </c>
      <c r="BB269" s="78" t="s">
        <v>648</v>
      </c>
      <c r="BC269" s="42" t="str">
        <f>VLOOKUP(VmSpecs[[#This Row],[Original Hostname (CMO)]],'SSOT Data'!A:AJ,36,FALSE)</f>
        <v>OHS-OAG B2M and FHIR / Mobility</v>
      </c>
      <c r="BD269" s="43"/>
    </row>
    <row r="270" spans="1:56" ht="29" x14ac:dyDescent="0.35">
      <c r="A270" s="78" t="s">
        <v>58</v>
      </c>
      <c r="B270" s="42" t="str">
        <f>_xlfn.XLOOKUP(VmSpecs[[#This Row],[Subnet]],NetworkReference[Subnet],NetworkReference[Subscription])</f>
        <v>NINP-PERF2</v>
      </c>
      <c r="C270" s="43" t="str">
        <f>_xlfn.XLOOKUP(VmSpecs[[#This Row],[Subnet]],NetworkReference[Subnet],NetworkReference[Virtual Network Resource Group])</f>
        <v>rg-pf2-network-aue-001</v>
      </c>
      <c r="D270" s="43" t="str">
        <f>_xlfn.XLOOKUP(VmSpecs[[#This Row],[Subnet]],NetworkReference[Subnet],NetworkReference[Virtual Network])</f>
        <v>vnet-pf2-workload-aue-001</v>
      </c>
      <c r="E270" s="132" t="s">
        <v>489</v>
      </c>
      <c r="F270" s="43" t="str">
        <f>_xlfn.XLOOKUP(VmSpecs[[#This Row],[Subnet]],NetworkReference[Subnet],NetworkReference[Virtual Network Peering])</f>
        <v>vnet-ninp-conn-pnp-hub-aue</v>
      </c>
      <c r="G270" s="43" t="str">
        <f>_xlfn.XLOOKUP(VmSpecs[[#This Row],[Subnet]],NetworkReference[Subnet],NetworkReference[Route Table])</f>
        <v>rt-sn-pfb-aue-pf2-web</v>
      </c>
      <c r="H270" s="43" t="str">
        <f>LOWER(VLOOKUP(VmSpecs[[#This Row],[Original Hostname (CMO)]],'SSOT Data'!A:K,10,FALSE))</f>
        <v>ohm</v>
      </c>
      <c r="I27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70" s="44" t="s">
        <v>72</v>
      </c>
      <c r="K270" s="43" t="str">
        <f>_xlfn.CONCAT("vm",MID(VmSpecs[[#This Row],[Subnet]],4,3),VLOOKUP(VmSpecs[[#This Row],[Subscription]],NetworkReference[#All],2,FALSE),VmSpecs[[#This Row],[Service]],VmSpecs[[#This Row],[VM iteration (nn)]])</f>
        <v>vmpfbpf2ohm02</v>
      </c>
      <c r="L270" s="45" t="s">
        <v>61</v>
      </c>
      <c r="M270" s="43" t="str">
        <f>VmSpecs[[#This Row],[VM Name]]&amp;".ninp.myhealthrecord.gov.au"</f>
        <v>vmpfbpf2ohm02.ninp.myhealthrecord.gov.au</v>
      </c>
      <c r="N270" s="42" t="str">
        <f t="shared" si="4"/>
        <v>nic-001-vmpfbpf2ohm02</v>
      </c>
      <c r="O270" s="106" t="s">
        <v>649</v>
      </c>
      <c r="P270" s="46" t="s">
        <v>63</v>
      </c>
      <c r="Q270" s="42" t="str">
        <f>VLOOKUP(VmSpecs[[#This Row],[Original Hostname (CMO)]],'SSOT Data'!A:E,5,FALSE)</f>
        <v>OEL7.9</v>
      </c>
      <c r="R270" s="42"/>
      <c r="S270" s="42" t="str">
        <f>_xlfn.CONCAT("avail-",LEFT(VmSpecs[[#This Row],[VM Name]],LEN(VmSpecs[[#This Row],[VM Name]])-2))</f>
        <v>avail-vmpfbpf2ohm</v>
      </c>
      <c r="T270" s="42" t="str">
        <f>_xlfn.CONCAT("asg-",LEFT(VmSpecs[[#This Row],[VM Name]],LEN(VmSpecs[[#This Row],[VM Name]])-2))</f>
        <v>asg-vmpfbpf2ohm</v>
      </c>
      <c r="U270" s="42" t="str">
        <f>_xlfn.CONCAT("nsg-",VmSpecs[[#This Row],[Subnet]])</f>
        <v>nsg-sn-pfb-aue-pf2-web</v>
      </c>
      <c r="V270" s="42"/>
      <c r="W270" s="43" t="str">
        <f>VLOOKUP(VmSpecs[[#This Row],[Original Hostname (CMO)]],'SSOT Data'!A:AX,50,FALSE)</f>
        <v>Standard_D8s_v4</v>
      </c>
      <c r="X270" s="43">
        <v>64</v>
      </c>
      <c r="Y270" s="43" t="s">
        <v>65</v>
      </c>
      <c r="Z270" s="43" t="str">
        <f>"osdisk-"&amp;VmSpecs[[#This Row],[VM Name]]</f>
        <v>osdisk-vmpfbpf2ohm02</v>
      </c>
      <c r="AA270" s="47" t="s">
        <v>66</v>
      </c>
      <c r="AB270" s="73">
        <v>8</v>
      </c>
      <c r="AC270" s="74" t="s">
        <v>65</v>
      </c>
      <c r="AD270" s="84" t="str">
        <f>"disk-"&amp;VmSpecs[[#This Row],[VM Name]]&amp;"-001"</f>
        <v>disk-vmpfbpf2ohm02-001</v>
      </c>
      <c r="AE270" s="73">
        <v>32</v>
      </c>
      <c r="AF270" s="74" t="s">
        <v>65</v>
      </c>
      <c r="AG270" s="85" t="str">
        <f>"disk-"&amp;VmSpecs[[#This Row],[VM Name]]&amp;"-002"</f>
        <v>disk-vmpfbpf2ohm02-002</v>
      </c>
      <c r="AH270" s="59"/>
      <c r="AI270" s="42"/>
      <c r="AJ270" s="42"/>
      <c r="AK270" s="42"/>
      <c r="AL270" s="42" t="str">
        <f>MID(VmSpecs[[#This Row],[VM Name]],3,9)</f>
        <v>pfbpf2ohm</v>
      </c>
      <c r="AM270" s="42" t="str" cm="1">
        <f t="array" ref="AM270">_xlfn.TEXTJOIN(CHAR(10), TRUE, IF(NfsExports[FMO Single VM IP]=VmSpecs[[#This Row],[IP]],NfsExports[FMO Export Summary],""))</f>
        <v>/apps/pcehr 30GB</v>
      </c>
      <c r="AN270" s="43" t="str" cm="1">
        <f t="array" ref="AN27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70" s="42"/>
      <c r="AP270" s="42" t="str">
        <f>VmSpecs[[#This Row],[Description]]</f>
        <v>OHS-OAG B2M and FHIR / Mobility</v>
      </c>
      <c r="AQ270" s="43"/>
      <c r="AR270" s="43" t="s">
        <v>64</v>
      </c>
      <c r="AS270" s="43" t="s">
        <v>64</v>
      </c>
      <c r="AT270" s="43" t="s">
        <v>64</v>
      </c>
      <c r="AU270" s="43" t="s">
        <v>64</v>
      </c>
      <c r="AV270" s="42" t="s">
        <v>66</v>
      </c>
      <c r="AW270" s="42" t="s">
        <v>67</v>
      </c>
      <c r="AX270" s="42" t="s">
        <v>68</v>
      </c>
      <c r="AY270" s="42" t="s">
        <v>64</v>
      </c>
      <c r="AZ270" s="42" t="s">
        <v>64</v>
      </c>
      <c r="BA27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B2M and FHIR / Mobility"
Application Service: "OHM"
Lifecycle: "PFB"</v>
      </c>
      <c r="BB270" s="78" t="s">
        <v>650</v>
      </c>
      <c r="BC270" s="42" t="str">
        <f>VLOOKUP(VmSpecs[[#This Row],[Original Hostname (CMO)]],'SSOT Data'!A:AJ,36,FALSE)</f>
        <v>OHS-OAG B2M and FHIR / Mobility</v>
      </c>
      <c r="BD270" s="43"/>
    </row>
    <row r="271" spans="1:56" ht="29" x14ac:dyDescent="0.35">
      <c r="A271" s="78" t="s">
        <v>58</v>
      </c>
      <c r="B271" s="42" t="str">
        <f>_xlfn.XLOOKUP(VmSpecs[[#This Row],[Subnet]],NetworkReference[Subnet],NetworkReference[Subscription])</f>
        <v>NINP-PERF2</v>
      </c>
      <c r="C271" s="43" t="str">
        <f>_xlfn.XLOOKUP(VmSpecs[[#This Row],[Subnet]],NetworkReference[Subnet],NetworkReference[Virtual Network Resource Group])</f>
        <v>rg-pf2-network-aue-001</v>
      </c>
      <c r="D271" s="43" t="str">
        <f>_xlfn.XLOOKUP(VmSpecs[[#This Row],[Subnet]],NetworkReference[Subnet],NetworkReference[Virtual Network])</f>
        <v>vnet-pf2-workload-aue-001</v>
      </c>
      <c r="E271" s="132" t="s">
        <v>489</v>
      </c>
      <c r="F271" s="43" t="str">
        <f>_xlfn.XLOOKUP(VmSpecs[[#This Row],[Subnet]],NetworkReference[Subnet],NetworkReference[Virtual Network Peering])</f>
        <v>vnet-ninp-conn-pnp-hub-aue</v>
      </c>
      <c r="G271" s="43" t="str">
        <f>_xlfn.XLOOKUP(VmSpecs[[#This Row],[Subnet]],NetworkReference[Subnet],NetworkReference[Route Table])</f>
        <v>rt-sn-pfb-aue-pf2-web</v>
      </c>
      <c r="H271" s="43" t="str">
        <f>LOWER(VLOOKUP(VmSpecs[[#This Row],[Original Hostname (CMO)]],'SSOT Data'!A:K,10,FALSE))</f>
        <v>ohm</v>
      </c>
      <c r="I27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71" s="44" t="s">
        <v>75</v>
      </c>
      <c r="K271" s="43" t="str">
        <f>_xlfn.CONCAT("vm",MID(VmSpecs[[#This Row],[Subnet]],4,3),VLOOKUP(VmSpecs[[#This Row],[Subscription]],NetworkReference[#All],2,FALSE),VmSpecs[[#This Row],[Service]],VmSpecs[[#This Row],[VM iteration (nn)]])</f>
        <v>vmpfbpf2ohm03</v>
      </c>
      <c r="L271" s="45" t="s">
        <v>61</v>
      </c>
      <c r="M271" s="43" t="str">
        <f>VmSpecs[[#This Row],[VM Name]]&amp;".ninp.myhealthrecord.gov.au"</f>
        <v>vmpfbpf2ohm03.ninp.myhealthrecord.gov.au</v>
      </c>
      <c r="N271" s="42" t="str">
        <f t="shared" si="4"/>
        <v>nic-001-vmpfbpf2ohm03</v>
      </c>
      <c r="O271" s="106" t="s">
        <v>651</v>
      </c>
      <c r="P271" s="46" t="s">
        <v>63</v>
      </c>
      <c r="Q271" s="42" t="str">
        <f>VLOOKUP(VmSpecs[[#This Row],[Original Hostname (CMO)]],'SSOT Data'!A:E,5,FALSE)</f>
        <v>OEL7.9</v>
      </c>
      <c r="R271" s="42"/>
      <c r="S271" s="42" t="str">
        <f>_xlfn.CONCAT("avail-",LEFT(VmSpecs[[#This Row],[VM Name]],LEN(VmSpecs[[#This Row],[VM Name]])-2))</f>
        <v>avail-vmpfbpf2ohm</v>
      </c>
      <c r="T271" s="42" t="str">
        <f>_xlfn.CONCAT("asg-",LEFT(VmSpecs[[#This Row],[VM Name]],LEN(VmSpecs[[#This Row],[VM Name]])-2))</f>
        <v>asg-vmpfbpf2ohm</v>
      </c>
      <c r="U271" s="42" t="str">
        <f>_xlfn.CONCAT("nsg-",VmSpecs[[#This Row],[Subnet]])</f>
        <v>nsg-sn-pfb-aue-pf2-web</v>
      </c>
      <c r="V271" s="42"/>
      <c r="W271" s="43" t="str">
        <f>VLOOKUP(VmSpecs[[#This Row],[Original Hostname (CMO)]],'SSOT Data'!A:AX,50,FALSE)</f>
        <v>Standard_D8s_v4</v>
      </c>
      <c r="X271" s="43">
        <v>64</v>
      </c>
      <c r="Y271" s="43" t="s">
        <v>65</v>
      </c>
      <c r="Z271" s="43" t="str">
        <f>"osdisk-"&amp;VmSpecs[[#This Row],[VM Name]]</f>
        <v>osdisk-vmpfbpf2ohm03</v>
      </c>
      <c r="AA271" s="47" t="s">
        <v>66</v>
      </c>
      <c r="AB271" s="73">
        <v>8</v>
      </c>
      <c r="AC271" s="74" t="s">
        <v>65</v>
      </c>
      <c r="AD271" s="84" t="str">
        <f>"disk-"&amp;VmSpecs[[#This Row],[VM Name]]&amp;"-001"</f>
        <v>disk-vmpfbpf2ohm03-001</v>
      </c>
      <c r="AE271" s="73">
        <v>32</v>
      </c>
      <c r="AF271" s="74" t="s">
        <v>65</v>
      </c>
      <c r="AG271" s="85" t="str">
        <f>"disk-"&amp;VmSpecs[[#This Row],[VM Name]]&amp;"-002"</f>
        <v>disk-vmpfbpf2ohm03-002</v>
      </c>
      <c r="AH271" s="59"/>
      <c r="AI271" s="42"/>
      <c r="AJ271" s="42"/>
      <c r="AK271" s="42"/>
      <c r="AL271" s="42" t="str">
        <f>MID(VmSpecs[[#This Row],[VM Name]],3,9)</f>
        <v>pfbpf2ohm</v>
      </c>
      <c r="AM271" s="42" t="str" cm="1">
        <f t="array" ref="AM271">_xlfn.TEXTJOIN(CHAR(10), TRUE, IF(NfsExports[FMO Single VM IP]=VmSpecs[[#This Row],[IP]],NfsExports[FMO Export Summary],""))</f>
        <v>/apps/pcehr 30GB</v>
      </c>
      <c r="AN271" s="43" t="str" cm="1">
        <f t="array" ref="AN27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71" s="42"/>
      <c r="AP271" s="42" t="str">
        <f>VmSpecs[[#This Row],[Description]]</f>
        <v>OHS-OAG B2M and FHIR / Mobility</v>
      </c>
      <c r="AQ271" s="43"/>
      <c r="AR271" s="43" t="s">
        <v>64</v>
      </c>
      <c r="AS271" s="43" t="s">
        <v>64</v>
      </c>
      <c r="AT271" s="43" t="s">
        <v>64</v>
      </c>
      <c r="AU271" s="43" t="s">
        <v>64</v>
      </c>
      <c r="AV271" s="42" t="s">
        <v>66</v>
      </c>
      <c r="AW271" s="42" t="s">
        <v>67</v>
      </c>
      <c r="AX271" s="42" t="s">
        <v>68</v>
      </c>
      <c r="AY271" s="42" t="s">
        <v>64</v>
      </c>
      <c r="AZ271" s="42" t="s">
        <v>64</v>
      </c>
      <c r="BA27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B2M and FHIR / Mobility"
Application Service: "OHM"
Lifecycle: "PFB"</v>
      </c>
      <c r="BB271" s="78" t="s">
        <v>652</v>
      </c>
      <c r="BC271" s="42" t="str">
        <f>VLOOKUP(VmSpecs[[#This Row],[Original Hostname (CMO)]],'SSOT Data'!A:AJ,36,FALSE)</f>
        <v>OHS-OAG B2M and FHIR / Mobility</v>
      </c>
      <c r="BD271" s="43"/>
    </row>
    <row r="272" spans="1:56" ht="29" x14ac:dyDescent="0.35">
      <c r="A272" s="78" t="s">
        <v>58</v>
      </c>
      <c r="B272" s="42" t="str">
        <f>_xlfn.XLOOKUP(VmSpecs[[#This Row],[Subnet]],NetworkReference[Subnet],NetworkReference[Subscription])</f>
        <v>NINP-PERF2</v>
      </c>
      <c r="C272" s="43" t="str">
        <f>_xlfn.XLOOKUP(VmSpecs[[#This Row],[Subnet]],NetworkReference[Subnet],NetworkReference[Virtual Network Resource Group])</f>
        <v>rg-pf2-network-aue-001</v>
      </c>
      <c r="D272" s="43" t="str">
        <f>_xlfn.XLOOKUP(VmSpecs[[#This Row],[Subnet]],NetworkReference[Subnet],NetworkReference[Virtual Network])</f>
        <v>vnet-pf2-workload-aue-001</v>
      </c>
      <c r="E272" s="132" t="s">
        <v>489</v>
      </c>
      <c r="F272" s="43" t="str">
        <f>_xlfn.XLOOKUP(VmSpecs[[#This Row],[Subnet]],NetworkReference[Subnet],NetworkReference[Virtual Network Peering])</f>
        <v>vnet-ninp-conn-pnp-hub-aue</v>
      </c>
      <c r="G272" s="43" t="str">
        <f>_xlfn.XLOOKUP(VmSpecs[[#This Row],[Subnet]],NetworkReference[Subnet],NetworkReference[Route Table])</f>
        <v>rt-sn-pfb-aue-pf2-web</v>
      </c>
      <c r="H272" s="43" t="str">
        <f>LOWER(VLOOKUP(VmSpecs[[#This Row],[Original Hostname (CMO)]],'SSOT Data'!A:K,10,FALSE))</f>
        <v>ohm</v>
      </c>
      <c r="I27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72" s="44" t="s">
        <v>78</v>
      </c>
      <c r="K272" s="43" t="str">
        <f>_xlfn.CONCAT("vm",MID(VmSpecs[[#This Row],[Subnet]],4,3),VLOOKUP(VmSpecs[[#This Row],[Subscription]],NetworkReference[#All],2,FALSE),VmSpecs[[#This Row],[Service]],VmSpecs[[#This Row],[VM iteration (nn)]])</f>
        <v>vmpfbpf2ohm04</v>
      </c>
      <c r="L272" s="45" t="s">
        <v>61</v>
      </c>
      <c r="M272" s="43" t="str">
        <f>VmSpecs[[#This Row],[VM Name]]&amp;".ninp.myhealthrecord.gov.au"</f>
        <v>vmpfbpf2ohm04.ninp.myhealthrecord.gov.au</v>
      </c>
      <c r="N272" s="42" t="str">
        <f t="shared" si="4"/>
        <v>nic-001-vmpfbpf2ohm04</v>
      </c>
      <c r="O272" s="106" t="s">
        <v>653</v>
      </c>
      <c r="P272" s="46" t="s">
        <v>63</v>
      </c>
      <c r="Q272" s="42" t="str">
        <f>VLOOKUP(VmSpecs[[#This Row],[Original Hostname (CMO)]],'SSOT Data'!A:E,5,FALSE)</f>
        <v>OEL7.9</v>
      </c>
      <c r="R272" s="42"/>
      <c r="S272" s="42" t="str">
        <f>_xlfn.CONCAT("avail-",LEFT(VmSpecs[[#This Row],[VM Name]],LEN(VmSpecs[[#This Row],[VM Name]])-2))</f>
        <v>avail-vmpfbpf2ohm</v>
      </c>
      <c r="T272" s="42" t="str">
        <f>_xlfn.CONCAT("asg-",LEFT(VmSpecs[[#This Row],[VM Name]],LEN(VmSpecs[[#This Row],[VM Name]])-2))</f>
        <v>asg-vmpfbpf2ohm</v>
      </c>
      <c r="U272" s="42" t="str">
        <f>_xlfn.CONCAT("nsg-",VmSpecs[[#This Row],[Subnet]])</f>
        <v>nsg-sn-pfb-aue-pf2-web</v>
      </c>
      <c r="V272" s="42"/>
      <c r="W272" s="43" t="str">
        <f>VLOOKUP(VmSpecs[[#This Row],[Original Hostname (CMO)]],'SSOT Data'!A:AX,50,FALSE)</f>
        <v>Standard_D8s_v4</v>
      </c>
      <c r="X272" s="43">
        <v>64</v>
      </c>
      <c r="Y272" s="43" t="s">
        <v>65</v>
      </c>
      <c r="Z272" s="43" t="str">
        <f>"osdisk-"&amp;VmSpecs[[#This Row],[VM Name]]</f>
        <v>osdisk-vmpfbpf2ohm04</v>
      </c>
      <c r="AA272" s="47" t="s">
        <v>66</v>
      </c>
      <c r="AB272" s="73">
        <v>8</v>
      </c>
      <c r="AC272" s="74" t="s">
        <v>65</v>
      </c>
      <c r="AD272" s="84" t="str">
        <f>"disk-"&amp;VmSpecs[[#This Row],[VM Name]]&amp;"-001"</f>
        <v>disk-vmpfbpf2ohm04-001</v>
      </c>
      <c r="AE272" s="73">
        <v>32</v>
      </c>
      <c r="AF272" s="74" t="s">
        <v>65</v>
      </c>
      <c r="AG272" s="85" t="str">
        <f>"disk-"&amp;VmSpecs[[#This Row],[VM Name]]&amp;"-002"</f>
        <v>disk-vmpfbpf2ohm04-002</v>
      </c>
      <c r="AH272" s="59"/>
      <c r="AI272" s="42"/>
      <c r="AJ272" s="42"/>
      <c r="AK272" s="42"/>
      <c r="AL272" s="42" t="str">
        <f>MID(VmSpecs[[#This Row],[VM Name]],3,9)</f>
        <v>pfbpf2ohm</v>
      </c>
      <c r="AM272" s="42" t="str" cm="1">
        <f t="array" ref="AM272">_xlfn.TEXTJOIN(CHAR(10), TRUE, IF(NfsExports[FMO Single VM IP]=VmSpecs[[#This Row],[IP]],NfsExports[FMO Export Summary],""))</f>
        <v>/apps/pcehr 30GB</v>
      </c>
      <c r="AN272" s="43" t="str" cm="1">
        <f t="array" ref="AN27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72" s="42"/>
      <c r="AP272" s="42" t="str">
        <f>VmSpecs[[#This Row],[Description]]</f>
        <v>OHS-OAG B2M and FHIR / Mobility</v>
      </c>
      <c r="AQ272" s="43"/>
      <c r="AR272" s="43" t="s">
        <v>64</v>
      </c>
      <c r="AS272" s="43" t="s">
        <v>64</v>
      </c>
      <c r="AT272" s="43" t="s">
        <v>64</v>
      </c>
      <c r="AU272" s="43" t="s">
        <v>64</v>
      </c>
      <c r="AV272" s="42" t="s">
        <v>66</v>
      </c>
      <c r="AW272" s="42" t="s">
        <v>67</v>
      </c>
      <c r="AX272" s="42" t="s">
        <v>68</v>
      </c>
      <c r="AY272" s="42" t="s">
        <v>64</v>
      </c>
      <c r="AZ272" s="42" t="s">
        <v>64</v>
      </c>
      <c r="BA27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B2M and FHIR / Mobility"
Application Service: "OHM"
Lifecycle: "PFB"</v>
      </c>
      <c r="BB272" s="78" t="s">
        <v>654</v>
      </c>
      <c r="BC272" s="42" t="str">
        <f>VLOOKUP(VmSpecs[[#This Row],[Original Hostname (CMO)]],'SSOT Data'!A:AJ,36,FALSE)</f>
        <v>OHS-OAG B2M and FHIR / Mobility</v>
      </c>
      <c r="BD272" s="43"/>
    </row>
    <row r="273" spans="1:56" ht="29" x14ac:dyDescent="0.35">
      <c r="A273" s="78"/>
      <c r="B273" s="42" t="str">
        <f>_xlfn.XLOOKUP(VmSpecs[[#This Row],[Subnet]],NetworkReference[Subnet],NetworkReference[Subscription])</f>
        <v>NINP-PERF2</v>
      </c>
      <c r="C273" s="43" t="str">
        <f>_xlfn.XLOOKUP(VmSpecs[[#This Row],[Subnet]],NetworkReference[Subnet],NetworkReference[Virtual Network Resource Group])</f>
        <v>rg-pf2-network-aue-001</v>
      </c>
      <c r="D273" s="43" t="str">
        <f>_xlfn.XLOOKUP(VmSpecs[[#This Row],[Subnet]],NetworkReference[Subnet],NetworkReference[Virtual Network])</f>
        <v>vnet-pf2-workload-aue-001</v>
      </c>
      <c r="E273" s="132" t="s">
        <v>489</v>
      </c>
      <c r="F273" s="43" t="str">
        <f>_xlfn.XLOOKUP(VmSpecs[[#This Row],[Subnet]],NetworkReference[Subnet],NetworkReference[Virtual Network Peering])</f>
        <v>vnet-ninp-conn-pnp-hub-aue</v>
      </c>
      <c r="G273" s="43" t="str">
        <f>_xlfn.XLOOKUP(VmSpecs[[#This Row],[Subnet]],NetworkReference[Subnet],NetworkReference[Route Table])</f>
        <v>rt-sn-pfb-aue-pf2-web</v>
      </c>
      <c r="H273" s="43" t="str">
        <f>LOWER(VLOOKUP(VmSpecs[[#This Row],[Original Hostname (CMO)]],'SSOT Data'!A:K,10,FALSE))</f>
        <v>ohm</v>
      </c>
      <c r="I27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73" s="44" t="s">
        <v>81</v>
      </c>
      <c r="K273" s="43" t="str">
        <f>_xlfn.CONCAT("vm",MID(VmSpecs[[#This Row],[Subnet]],4,3),VLOOKUP(VmSpecs[[#This Row],[Subscription]],NetworkReference[#All],2,FALSE),VmSpecs[[#This Row],[Service]],VmSpecs[[#This Row],[VM iteration (nn)]])</f>
        <v>vmpfbpf2ohm05</v>
      </c>
      <c r="L273" s="45" t="s">
        <v>61</v>
      </c>
      <c r="M273" s="43" t="str">
        <f>VmSpecs[[#This Row],[VM Name]]&amp;".ninp.myhealthrecord.gov.au"</f>
        <v>vmpfbpf2ohm05.ninp.myhealthrecord.gov.au</v>
      </c>
      <c r="N273" s="42" t="str">
        <f t="shared" si="4"/>
        <v>nic-001-vmpfbpf2ohm05</v>
      </c>
      <c r="O273" s="106" t="s">
        <v>655</v>
      </c>
      <c r="P273" s="46" t="s">
        <v>63</v>
      </c>
      <c r="Q273" s="42" t="str">
        <f>VLOOKUP(VmSpecs[[#This Row],[Original Hostname (CMO)]],'SSOT Data'!A:E,5,FALSE)</f>
        <v>OEL7.9</v>
      </c>
      <c r="R273" s="42"/>
      <c r="S273" s="42" t="str">
        <f>_xlfn.CONCAT("avail-",LEFT(VmSpecs[[#This Row],[VM Name]],LEN(VmSpecs[[#This Row],[VM Name]])-2))</f>
        <v>avail-vmpfbpf2ohm</v>
      </c>
      <c r="T273" s="42" t="str">
        <f>_xlfn.CONCAT("asg-",LEFT(VmSpecs[[#This Row],[VM Name]],LEN(VmSpecs[[#This Row],[VM Name]])-2))</f>
        <v>asg-vmpfbpf2ohm</v>
      </c>
      <c r="U273" s="42" t="str">
        <f>_xlfn.CONCAT("nsg-",VmSpecs[[#This Row],[Subnet]])</f>
        <v>nsg-sn-pfb-aue-pf2-web</v>
      </c>
      <c r="V273" s="42"/>
      <c r="W273" s="43" t="str">
        <f>VLOOKUP(VmSpecs[[#This Row],[Original Hostname (CMO)]],'SSOT Data'!A:AX,50,FALSE)</f>
        <v>Standard_D8s_v4</v>
      </c>
      <c r="X273" s="43">
        <v>64</v>
      </c>
      <c r="Y273" s="43" t="s">
        <v>65</v>
      </c>
      <c r="Z273" s="43" t="str">
        <f>"osdisk-"&amp;VmSpecs[[#This Row],[VM Name]]</f>
        <v>osdisk-vmpfbpf2ohm05</v>
      </c>
      <c r="AA273" s="47" t="s">
        <v>66</v>
      </c>
      <c r="AB273" s="73">
        <v>8</v>
      </c>
      <c r="AC273" s="74" t="s">
        <v>65</v>
      </c>
      <c r="AD273" s="84" t="str">
        <f>"disk-"&amp;VmSpecs[[#This Row],[VM Name]]&amp;"-001"</f>
        <v>disk-vmpfbpf2ohm05-001</v>
      </c>
      <c r="AE273" s="73">
        <v>32</v>
      </c>
      <c r="AF273" s="74" t="s">
        <v>65</v>
      </c>
      <c r="AG273" s="85" t="str">
        <f>"disk-"&amp;VmSpecs[[#This Row],[VM Name]]&amp;"-002"</f>
        <v>disk-vmpfbpf2ohm05-002</v>
      </c>
      <c r="AH273" s="59"/>
      <c r="AI273" s="42"/>
      <c r="AJ273" s="42"/>
      <c r="AK273" s="42"/>
      <c r="AL273" s="42" t="str">
        <f>MID(VmSpecs[[#This Row],[VM Name]],3,9)</f>
        <v>pfbpf2ohm</v>
      </c>
      <c r="AM273" s="42" t="str" cm="1">
        <f t="array" ref="AM273">_xlfn.TEXTJOIN(CHAR(10), TRUE, IF(NfsExports[FMO Single VM IP]=VmSpecs[[#This Row],[IP]],NfsExports[FMO Export Summary],""))</f>
        <v>/apps/pcehr 30GB</v>
      </c>
      <c r="AN273" s="43" t="str" cm="1">
        <f t="array" ref="AN27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73" s="42"/>
      <c r="AP273" s="42" t="str">
        <f>VmSpecs[[#This Row],[Description]]</f>
        <v>OHS-OAG B2M and FHIR / Mobility</v>
      </c>
      <c r="AQ273" s="43"/>
      <c r="AR273" s="43"/>
      <c r="AS273" s="43"/>
      <c r="AT273" s="43"/>
      <c r="AU273" s="43"/>
      <c r="AV273" s="42"/>
      <c r="AW273" s="42"/>
      <c r="AX273" s="42"/>
      <c r="AY273" s="42"/>
      <c r="AZ273" s="42"/>
      <c r="BA273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B2M and FHIR / Mobility"
Application Service: "OHM"
Lifecycle: "PFB"</v>
      </c>
      <c r="BB273" s="78" t="s">
        <v>656</v>
      </c>
      <c r="BC273" s="42" t="str">
        <f>VLOOKUP(VmSpecs[[#This Row],[Original Hostname (CMO)]],'SSOT Data'!A:AJ,36,FALSE)</f>
        <v>OHS-OAG B2M and FHIR / Mobility</v>
      </c>
      <c r="BD273" s="126">
        <f>VLOOKUP(VmSpecs[[#This Row],[Original Hostname (CMO)]],'SSOT Data'!A:AQ,43,FALSE)</f>
        <v>1</v>
      </c>
    </row>
    <row r="274" spans="1:56" ht="29" x14ac:dyDescent="0.35">
      <c r="A274" s="78"/>
      <c r="B274" s="42" t="str">
        <f>_xlfn.XLOOKUP(VmSpecs[[#This Row],[Subnet]],NetworkReference[Subnet],NetworkReference[Subscription])</f>
        <v>NINP-PERF2</v>
      </c>
      <c r="C274" s="43" t="str">
        <f>_xlfn.XLOOKUP(VmSpecs[[#This Row],[Subnet]],NetworkReference[Subnet],NetworkReference[Virtual Network Resource Group])</f>
        <v>rg-pf2-network-aue-001</v>
      </c>
      <c r="D274" s="43" t="str">
        <f>_xlfn.XLOOKUP(VmSpecs[[#This Row],[Subnet]],NetworkReference[Subnet],NetworkReference[Virtual Network])</f>
        <v>vnet-pf2-workload-aue-001</v>
      </c>
      <c r="E274" s="132" t="s">
        <v>489</v>
      </c>
      <c r="F274" s="43" t="str">
        <f>_xlfn.XLOOKUP(VmSpecs[[#This Row],[Subnet]],NetworkReference[Subnet],NetworkReference[Virtual Network Peering])</f>
        <v>vnet-ninp-conn-pnp-hub-aue</v>
      </c>
      <c r="G274" s="43" t="str">
        <f>_xlfn.XLOOKUP(VmSpecs[[#This Row],[Subnet]],NetworkReference[Subnet],NetworkReference[Route Table])</f>
        <v>rt-sn-pfb-aue-pf2-web</v>
      </c>
      <c r="H274" s="43" t="str">
        <f>LOWER(VLOOKUP(VmSpecs[[#This Row],[Original Hostname (CMO)]],'SSOT Data'!A:K,10,FALSE))</f>
        <v>ohm</v>
      </c>
      <c r="I27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74" s="44" t="s">
        <v>84</v>
      </c>
      <c r="K274" s="43" t="str">
        <f>_xlfn.CONCAT("vm",MID(VmSpecs[[#This Row],[Subnet]],4,3),VLOOKUP(VmSpecs[[#This Row],[Subscription]],NetworkReference[#All],2,FALSE),VmSpecs[[#This Row],[Service]],VmSpecs[[#This Row],[VM iteration (nn)]])</f>
        <v>vmpfbpf2ohm06</v>
      </c>
      <c r="L274" s="45" t="s">
        <v>61</v>
      </c>
      <c r="M274" s="43" t="str">
        <f>VmSpecs[[#This Row],[VM Name]]&amp;".ninp.myhealthrecord.gov.au"</f>
        <v>vmpfbpf2ohm06.ninp.myhealthrecord.gov.au</v>
      </c>
      <c r="N274" s="42" t="str">
        <f t="shared" si="4"/>
        <v>nic-001-vmpfbpf2ohm06</v>
      </c>
      <c r="O274" s="106" t="s">
        <v>657</v>
      </c>
      <c r="P274" s="46" t="s">
        <v>63</v>
      </c>
      <c r="Q274" s="42" t="str">
        <f>VLOOKUP(VmSpecs[[#This Row],[Original Hostname (CMO)]],'SSOT Data'!A:E,5,FALSE)</f>
        <v>OEL7.9</v>
      </c>
      <c r="R274" s="42"/>
      <c r="S274" s="42" t="str">
        <f>_xlfn.CONCAT("avail-",LEFT(VmSpecs[[#This Row],[VM Name]],LEN(VmSpecs[[#This Row],[VM Name]])-2))</f>
        <v>avail-vmpfbpf2ohm</v>
      </c>
      <c r="T274" s="42" t="str">
        <f>_xlfn.CONCAT("asg-",LEFT(VmSpecs[[#This Row],[VM Name]],LEN(VmSpecs[[#This Row],[VM Name]])-2))</f>
        <v>asg-vmpfbpf2ohm</v>
      </c>
      <c r="U274" s="42" t="str">
        <f>_xlfn.CONCAT("nsg-",VmSpecs[[#This Row],[Subnet]])</f>
        <v>nsg-sn-pfb-aue-pf2-web</v>
      </c>
      <c r="V274" s="42"/>
      <c r="W274" s="43" t="str">
        <f>VLOOKUP(VmSpecs[[#This Row],[Original Hostname (CMO)]],'SSOT Data'!A:AX,50,FALSE)</f>
        <v>Standard_D8s_v4</v>
      </c>
      <c r="X274" s="43">
        <v>64</v>
      </c>
      <c r="Y274" s="43" t="s">
        <v>65</v>
      </c>
      <c r="Z274" s="43" t="str">
        <f>"osdisk-"&amp;VmSpecs[[#This Row],[VM Name]]</f>
        <v>osdisk-vmpfbpf2ohm06</v>
      </c>
      <c r="AA274" s="47" t="s">
        <v>66</v>
      </c>
      <c r="AB274" s="73">
        <v>8</v>
      </c>
      <c r="AC274" s="74" t="s">
        <v>65</v>
      </c>
      <c r="AD274" s="84" t="str">
        <f>"disk-"&amp;VmSpecs[[#This Row],[VM Name]]&amp;"-001"</f>
        <v>disk-vmpfbpf2ohm06-001</v>
      </c>
      <c r="AE274" s="73">
        <v>32</v>
      </c>
      <c r="AF274" s="74" t="s">
        <v>65</v>
      </c>
      <c r="AG274" s="85" t="str">
        <f>"disk-"&amp;VmSpecs[[#This Row],[VM Name]]&amp;"-002"</f>
        <v>disk-vmpfbpf2ohm06-002</v>
      </c>
      <c r="AH274" s="59"/>
      <c r="AI274" s="42"/>
      <c r="AJ274" s="42"/>
      <c r="AK274" s="42"/>
      <c r="AL274" s="42" t="str">
        <f>MID(VmSpecs[[#This Row],[VM Name]],3,9)</f>
        <v>pfbpf2ohm</v>
      </c>
      <c r="AM274" s="42" t="str" cm="1">
        <f t="array" ref="AM274">_xlfn.TEXTJOIN(CHAR(10), TRUE, IF(NfsExports[FMO Single VM IP]=VmSpecs[[#This Row],[IP]],NfsExports[FMO Export Summary],""))</f>
        <v>/apps/pcehr 30GB</v>
      </c>
      <c r="AN274" s="43" t="str" cm="1">
        <f t="array" ref="AN27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74" s="42"/>
      <c r="AP274" s="42" t="str">
        <f>VmSpecs[[#This Row],[Description]]</f>
        <v>OHS-OAG B2M and FHIR / Mobility</v>
      </c>
      <c r="AQ274" s="43"/>
      <c r="AR274" s="43"/>
      <c r="AS274" s="43"/>
      <c r="AT274" s="43"/>
      <c r="AU274" s="43"/>
      <c r="AV274" s="42"/>
      <c r="AW274" s="42"/>
      <c r="AX274" s="42"/>
      <c r="AY274" s="42"/>
      <c r="AZ274" s="42"/>
      <c r="BA274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B2M and FHIR / Mobility"
Application Service: "OHM"
Lifecycle: "PFB"</v>
      </c>
      <c r="BB274" s="78" t="s">
        <v>658</v>
      </c>
      <c r="BC274" s="42" t="str">
        <f>VLOOKUP(VmSpecs[[#This Row],[Original Hostname (CMO)]],'SSOT Data'!A:AJ,36,FALSE)</f>
        <v>OHS-OAG B2M and FHIR / Mobility</v>
      </c>
      <c r="BD274" s="126">
        <f>VLOOKUP(VmSpecs[[#This Row],[Original Hostname (CMO)]],'SSOT Data'!A:AQ,43,FALSE)</f>
        <v>1</v>
      </c>
    </row>
    <row r="275" spans="1:56" ht="29" x14ac:dyDescent="0.35">
      <c r="A275" s="78"/>
      <c r="B275" s="42" t="str">
        <f>_xlfn.XLOOKUP(VmSpecs[[#This Row],[Subnet]],NetworkReference[Subnet],NetworkReference[Subscription])</f>
        <v>NINP-PERF2</v>
      </c>
      <c r="C275" s="43" t="str">
        <f>_xlfn.XLOOKUP(VmSpecs[[#This Row],[Subnet]],NetworkReference[Subnet],NetworkReference[Virtual Network Resource Group])</f>
        <v>rg-pf2-network-aue-001</v>
      </c>
      <c r="D275" s="43" t="str">
        <f>_xlfn.XLOOKUP(VmSpecs[[#This Row],[Subnet]],NetworkReference[Subnet],NetworkReference[Virtual Network])</f>
        <v>vnet-pf2-workload-aue-001</v>
      </c>
      <c r="E275" s="132" t="s">
        <v>489</v>
      </c>
      <c r="F275" s="43" t="str">
        <f>_xlfn.XLOOKUP(VmSpecs[[#This Row],[Subnet]],NetworkReference[Subnet],NetworkReference[Virtual Network Peering])</f>
        <v>vnet-ninp-conn-pnp-hub-aue</v>
      </c>
      <c r="G275" s="43" t="str">
        <f>_xlfn.XLOOKUP(VmSpecs[[#This Row],[Subnet]],NetworkReference[Subnet],NetworkReference[Route Table])</f>
        <v>rt-sn-pfb-aue-pf2-web</v>
      </c>
      <c r="H275" s="43" t="str">
        <f>LOWER(VLOOKUP(VmSpecs[[#This Row],[Original Hostname (CMO)]],'SSOT Data'!A:K,10,FALSE))</f>
        <v>ohm</v>
      </c>
      <c r="I27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75" s="44" t="s">
        <v>99</v>
      </c>
      <c r="K275" s="43" t="str">
        <f>_xlfn.CONCAT("vm",MID(VmSpecs[[#This Row],[Subnet]],4,3),VLOOKUP(VmSpecs[[#This Row],[Subscription]],NetworkReference[#All],2,FALSE),VmSpecs[[#This Row],[Service]],VmSpecs[[#This Row],[VM iteration (nn)]])</f>
        <v>vmpfbpf2ohm07</v>
      </c>
      <c r="L275" s="45" t="s">
        <v>61</v>
      </c>
      <c r="M275" s="43" t="str">
        <f>VmSpecs[[#This Row],[VM Name]]&amp;".ninp.myhealthrecord.gov.au"</f>
        <v>vmpfbpf2ohm07.ninp.myhealthrecord.gov.au</v>
      </c>
      <c r="N275" s="42" t="str">
        <f t="shared" si="4"/>
        <v>nic-001-vmpfbpf2ohm07</v>
      </c>
      <c r="O275" s="106" t="s">
        <v>659</v>
      </c>
      <c r="P275" s="46" t="s">
        <v>63</v>
      </c>
      <c r="Q275" s="42" t="str">
        <f>VLOOKUP(VmSpecs[[#This Row],[Original Hostname (CMO)]],'SSOT Data'!A:E,5,FALSE)</f>
        <v>OEL7.9</v>
      </c>
      <c r="R275" s="42"/>
      <c r="S275" s="42" t="str">
        <f>_xlfn.CONCAT("avail-",LEFT(VmSpecs[[#This Row],[VM Name]],LEN(VmSpecs[[#This Row],[VM Name]])-2))</f>
        <v>avail-vmpfbpf2ohm</v>
      </c>
      <c r="T275" s="42" t="str">
        <f>_xlfn.CONCAT("asg-",LEFT(VmSpecs[[#This Row],[VM Name]],LEN(VmSpecs[[#This Row],[VM Name]])-2))</f>
        <v>asg-vmpfbpf2ohm</v>
      </c>
      <c r="U275" s="42" t="str">
        <f>_xlfn.CONCAT("nsg-",VmSpecs[[#This Row],[Subnet]])</f>
        <v>nsg-sn-pfb-aue-pf2-web</v>
      </c>
      <c r="V275" s="42"/>
      <c r="W275" s="43" t="str">
        <f>VLOOKUP(VmSpecs[[#This Row],[Original Hostname (CMO)]],'SSOT Data'!A:AX,50,FALSE)</f>
        <v>Standard_D8s_v4</v>
      </c>
      <c r="X275" s="43">
        <v>64</v>
      </c>
      <c r="Y275" s="43" t="s">
        <v>65</v>
      </c>
      <c r="Z275" s="43" t="str">
        <f>"osdisk-"&amp;VmSpecs[[#This Row],[VM Name]]</f>
        <v>osdisk-vmpfbpf2ohm07</v>
      </c>
      <c r="AA275" s="47" t="s">
        <v>66</v>
      </c>
      <c r="AB275" s="73">
        <v>8</v>
      </c>
      <c r="AC275" s="74" t="s">
        <v>65</v>
      </c>
      <c r="AD275" s="84" t="str">
        <f>"disk-"&amp;VmSpecs[[#This Row],[VM Name]]&amp;"-001"</f>
        <v>disk-vmpfbpf2ohm07-001</v>
      </c>
      <c r="AE275" s="73">
        <v>32</v>
      </c>
      <c r="AF275" s="74" t="s">
        <v>65</v>
      </c>
      <c r="AG275" s="85" t="str">
        <f>"disk-"&amp;VmSpecs[[#This Row],[VM Name]]&amp;"-002"</f>
        <v>disk-vmpfbpf2ohm07-002</v>
      </c>
      <c r="AH275" s="59"/>
      <c r="AI275" s="42"/>
      <c r="AJ275" s="42"/>
      <c r="AK275" s="42"/>
      <c r="AL275" s="42" t="str">
        <f>MID(VmSpecs[[#This Row],[VM Name]],3,9)</f>
        <v>pfbpf2ohm</v>
      </c>
      <c r="AM275" s="42" t="str" cm="1">
        <f t="array" ref="AM275">_xlfn.TEXTJOIN(CHAR(10), TRUE, IF(NfsExports[FMO Single VM IP]=VmSpecs[[#This Row],[IP]],NfsExports[FMO Export Summary],""))</f>
        <v>/apps/pcehr 30GB</v>
      </c>
      <c r="AN275" s="43" t="str" cm="1">
        <f t="array" ref="AN27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75" s="42"/>
      <c r="AP275" s="42" t="str">
        <f>VmSpecs[[#This Row],[Description]]</f>
        <v>OHS-OAG B2M and FHIR / Mobility</v>
      </c>
      <c r="AQ275" s="43"/>
      <c r="AR275" s="43"/>
      <c r="AS275" s="43"/>
      <c r="AT275" s="43"/>
      <c r="AU275" s="43"/>
      <c r="AV275" s="42"/>
      <c r="AW275" s="42"/>
      <c r="AX275" s="42"/>
      <c r="AY275" s="42"/>
      <c r="AZ275" s="42"/>
      <c r="BA275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B2M and FHIR / Mobility"
Application Service: "OHM"
Lifecycle: "PFB"</v>
      </c>
      <c r="BB275" s="78" t="s">
        <v>660</v>
      </c>
      <c r="BC275" s="42" t="str">
        <f>VLOOKUP(VmSpecs[[#This Row],[Original Hostname (CMO)]],'SSOT Data'!A:AJ,36,FALSE)</f>
        <v>OHS-OAG B2M and FHIR / Mobility</v>
      </c>
      <c r="BD275" s="126">
        <f>VLOOKUP(VmSpecs[[#This Row],[Original Hostname (CMO)]],'SSOT Data'!A:AQ,43,FALSE)</f>
        <v>1</v>
      </c>
    </row>
    <row r="276" spans="1:56" ht="29" x14ac:dyDescent="0.35">
      <c r="A276" s="78"/>
      <c r="B276" s="42" t="str">
        <f>_xlfn.XLOOKUP(VmSpecs[[#This Row],[Subnet]],NetworkReference[Subnet],NetworkReference[Subscription])</f>
        <v>NINP-PERF2</v>
      </c>
      <c r="C276" s="43" t="str">
        <f>_xlfn.XLOOKUP(VmSpecs[[#This Row],[Subnet]],NetworkReference[Subnet],NetworkReference[Virtual Network Resource Group])</f>
        <v>rg-pf2-network-aue-001</v>
      </c>
      <c r="D276" s="43" t="str">
        <f>_xlfn.XLOOKUP(VmSpecs[[#This Row],[Subnet]],NetworkReference[Subnet],NetworkReference[Virtual Network])</f>
        <v>vnet-pf2-workload-aue-001</v>
      </c>
      <c r="E276" s="132" t="s">
        <v>489</v>
      </c>
      <c r="F276" s="43" t="str">
        <f>_xlfn.XLOOKUP(VmSpecs[[#This Row],[Subnet]],NetworkReference[Subnet],NetworkReference[Virtual Network Peering])</f>
        <v>vnet-ninp-conn-pnp-hub-aue</v>
      </c>
      <c r="G276" s="43" t="str">
        <f>_xlfn.XLOOKUP(VmSpecs[[#This Row],[Subnet]],NetworkReference[Subnet],NetworkReference[Route Table])</f>
        <v>rt-sn-pfb-aue-pf2-web</v>
      </c>
      <c r="H276" s="43" t="str">
        <f>LOWER(VLOOKUP(VmSpecs[[#This Row],[Original Hostname (CMO)]],'SSOT Data'!A:K,10,FALSE))</f>
        <v>ohm</v>
      </c>
      <c r="I27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76" s="44" t="s">
        <v>102</v>
      </c>
      <c r="K276" s="43" t="str">
        <f>_xlfn.CONCAT("vm",MID(VmSpecs[[#This Row],[Subnet]],4,3),VLOOKUP(VmSpecs[[#This Row],[Subscription]],NetworkReference[#All],2,FALSE),VmSpecs[[#This Row],[Service]],VmSpecs[[#This Row],[VM iteration (nn)]])</f>
        <v>vmpfbpf2ohm08</v>
      </c>
      <c r="L276" s="45" t="s">
        <v>61</v>
      </c>
      <c r="M276" s="43" t="str">
        <f>VmSpecs[[#This Row],[VM Name]]&amp;".ninp.myhealthrecord.gov.au"</f>
        <v>vmpfbpf2ohm08.ninp.myhealthrecord.gov.au</v>
      </c>
      <c r="N276" s="42" t="str">
        <f t="shared" si="4"/>
        <v>nic-001-vmpfbpf2ohm08</v>
      </c>
      <c r="O276" s="106" t="s">
        <v>661</v>
      </c>
      <c r="P276" s="46" t="s">
        <v>63</v>
      </c>
      <c r="Q276" s="42" t="str">
        <f>VLOOKUP(VmSpecs[[#This Row],[Original Hostname (CMO)]],'SSOT Data'!A:E,5,FALSE)</f>
        <v>OEL7.9</v>
      </c>
      <c r="R276" s="42"/>
      <c r="S276" s="42" t="str">
        <f>_xlfn.CONCAT("avail-",LEFT(VmSpecs[[#This Row],[VM Name]],LEN(VmSpecs[[#This Row],[VM Name]])-2))</f>
        <v>avail-vmpfbpf2ohm</v>
      </c>
      <c r="T276" s="42" t="str">
        <f>_xlfn.CONCAT("asg-",LEFT(VmSpecs[[#This Row],[VM Name]],LEN(VmSpecs[[#This Row],[VM Name]])-2))</f>
        <v>asg-vmpfbpf2ohm</v>
      </c>
      <c r="U276" s="42" t="str">
        <f>_xlfn.CONCAT("nsg-",VmSpecs[[#This Row],[Subnet]])</f>
        <v>nsg-sn-pfb-aue-pf2-web</v>
      </c>
      <c r="V276" s="42"/>
      <c r="W276" s="43" t="str">
        <f>VLOOKUP(VmSpecs[[#This Row],[Original Hostname (CMO)]],'SSOT Data'!A:AX,50,FALSE)</f>
        <v>Standard_D8s_v4</v>
      </c>
      <c r="X276" s="43">
        <v>64</v>
      </c>
      <c r="Y276" s="43" t="s">
        <v>65</v>
      </c>
      <c r="Z276" s="43" t="str">
        <f>"osdisk-"&amp;VmSpecs[[#This Row],[VM Name]]</f>
        <v>osdisk-vmpfbpf2ohm08</v>
      </c>
      <c r="AA276" s="47" t="s">
        <v>66</v>
      </c>
      <c r="AB276" s="73">
        <v>8</v>
      </c>
      <c r="AC276" s="74" t="s">
        <v>65</v>
      </c>
      <c r="AD276" s="84" t="str">
        <f>"disk-"&amp;VmSpecs[[#This Row],[VM Name]]&amp;"-001"</f>
        <v>disk-vmpfbpf2ohm08-001</v>
      </c>
      <c r="AE276" s="73">
        <v>32</v>
      </c>
      <c r="AF276" s="74" t="s">
        <v>65</v>
      </c>
      <c r="AG276" s="85" t="str">
        <f>"disk-"&amp;VmSpecs[[#This Row],[VM Name]]&amp;"-002"</f>
        <v>disk-vmpfbpf2ohm08-002</v>
      </c>
      <c r="AH276" s="59"/>
      <c r="AI276" s="42"/>
      <c r="AJ276" s="42"/>
      <c r="AK276" s="42"/>
      <c r="AL276" s="42" t="str">
        <f>MID(VmSpecs[[#This Row],[VM Name]],3,9)</f>
        <v>pfbpf2ohm</v>
      </c>
      <c r="AM276" s="42" t="str" cm="1">
        <f t="array" ref="AM276">_xlfn.TEXTJOIN(CHAR(10), TRUE, IF(NfsExports[FMO Single VM IP]=VmSpecs[[#This Row],[IP]],NfsExports[FMO Export Summary],""))</f>
        <v>/apps/pcehr 30GB</v>
      </c>
      <c r="AN276" s="43" t="str" cm="1">
        <f t="array" ref="AN27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76" s="42"/>
      <c r="AP276" s="42" t="str">
        <f>VmSpecs[[#This Row],[Description]]</f>
        <v>OHS-OAG B2M and FHIR / Mobility</v>
      </c>
      <c r="AQ276" s="43"/>
      <c r="AR276" s="43"/>
      <c r="AS276" s="43"/>
      <c r="AT276" s="43"/>
      <c r="AU276" s="43"/>
      <c r="AV276" s="42"/>
      <c r="AW276" s="42"/>
      <c r="AX276" s="42"/>
      <c r="AY276" s="42"/>
      <c r="AZ276" s="42"/>
      <c r="BA276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B2M and FHIR / Mobility"
Application Service: "OHM"
Lifecycle: "PFB"</v>
      </c>
      <c r="BB276" s="78" t="s">
        <v>662</v>
      </c>
      <c r="BC276" s="42" t="str">
        <f>VLOOKUP(VmSpecs[[#This Row],[Original Hostname (CMO)]],'SSOT Data'!A:AJ,36,FALSE)</f>
        <v>OHS-OAG B2M and FHIR / Mobility</v>
      </c>
      <c r="BD276" s="126">
        <f>VLOOKUP(VmSpecs[[#This Row],[Original Hostname (CMO)]],'SSOT Data'!A:AQ,43,FALSE)</f>
        <v>1</v>
      </c>
    </row>
    <row r="277" spans="1:56" ht="29" x14ac:dyDescent="0.35">
      <c r="A277" s="78" t="s">
        <v>58</v>
      </c>
      <c r="B277" s="42" t="str">
        <f>_xlfn.XLOOKUP(VmSpecs[[#This Row],[Subnet]],NetworkReference[Subnet],NetworkReference[Subscription])</f>
        <v>NINP-PERF2</v>
      </c>
      <c r="C277" s="43" t="str">
        <f>_xlfn.XLOOKUP(VmSpecs[[#This Row],[Subnet]],NetworkReference[Subnet],NetworkReference[Virtual Network Resource Group])</f>
        <v>rg-pf2-network-aue-001</v>
      </c>
      <c r="D277" s="43" t="str">
        <f>_xlfn.XLOOKUP(VmSpecs[[#This Row],[Subnet]],NetworkReference[Subnet],NetworkReference[Virtual Network])</f>
        <v>vnet-pf2-workload-aue-001</v>
      </c>
      <c r="E277" s="132" t="s">
        <v>489</v>
      </c>
      <c r="F277" s="43" t="str">
        <f>_xlfn.XLOOKUP(VmSpecs[[#This Row],[Subnet]],NetworkReference[Subnet],NetworkReference[Virtual Network Peering])</f>
        <v>vnet-ninp-conn-pnp-hub-aue</v>
      </c>
      <c r="G277" s="43" t="str">
        <f>_xlfn.XLOOKUP(VmSpecs[[#This Row],[Subnet]],NetworkReference[Subnet],NetworkReference[Route Table])</f>
        <v>rt-sn-pfb-aue-pf2-web</v>
      </c>
      <c r="H277" s="43" t="str">
        <f>LOWER(VLOOKUP(VmSpecs[[#This Row],[Original Hostname (CMO)]],'SSOT Data'!A:K,10,FALSE))</f>
        <v>oho</v>
      </c>
      <c r="I27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77" s="44" t="s">
        <v>60</v>
      </c>
      <c r="K277" s="43" t="str">
        <f>_xlfn.CONCAT("vm",MID(VmSpecs[[#This Row],[Subnet]],4,3),VLOOKUP(VmSpecs[[#This Row],[Subscription]],NetworkReference[#All],2,FALSE),VmSpecs[[#This Row],[Service]],VmSpecs[[#This Row],[VM iteration (nn)]])</f>
        <v>vmpfbpf2oho01</v>
      </c>
      <c r="L277" s="45" t="s">
        <v>61</v>
      </c>
      <c r="M277" s="43" t="str">
        <f>VmSpecs[[#This Row],[VM Name]]&amp;".ninp.myhealthrecord.gov.au"</f>
        <v>vmpfbpf2oho01.ninp.myhealthrecord.gov.au</v>
      </c>
      <c r="N277" s="42" t="str">
        <f t="shared" si="4"/>
        <v>nic-001-vmpfbpf2oho01</v>
      </c>
      <c r="O277" s="106" t="s">
        <v>663</v>
      </c>
      <c r="P277" s="46" t="s">
        <v>63</v>
      </c>
      <c r="Q277" s="42" t="str">
        <f>VLOOKUP(VmSpecs[[#This Row],[Original Hostname (CMO)]],'SSOT Data'!A:E,5,FALSE)</f>
        <v>OEL7.9</v>
      </c>
      <c r="R277" s="42"/>
      <c r="S277" s="42" t="str">
        <f>_xlfn.CONCAT("avail-",LEFT(VmSpecs[[#This Row],[VM Name]],LEN(VmSpecs[[#This Row],[VM Name]])-2))</f>
        <v>avail-vmpfbpf2oho</v>
      </c>
      <c r="T277" s="42" t="str">
        <f>_xlfn.CONCAT("asg-",LEFT(VmSpecs[[#This Row],[VM Name]],LEN(VmSpecs[[#This Row],[VM Name]])-2))</f>
        <v>asg-vmpfbpf2oho</v>
      </c>
      <c r="U277" s="42" t="str">
        <f>_xlfn.CONCAT("nsg-",VmSpecs[[#This Row],[Subnet]])</f>
        <v>nsg-sn-pfb-aue-pf2-web</v>
      </c>
      <c r="V277" s="42"/>
      <c r="W277" s="43" t="str">
        <f>VLOOKUP(VmSpecs[[#This Row],[Original Hostname (CMO)]],'SSOT Data'!A:AX,50,FALSE)</f>
        <v>Standard_D4s_v4</v>
      </c>
      <c r="X277" s="43">
        <v>64</v>
      </c>
      <c r="Y277" s="43" t="s">
        <v>65</v>
      </c>
      <c r="Z277" s="43" t="str">
        <f>"osdisk-"&amp;VmSpecs[[#This Row],[VM Name]]</f>
        <v>osdisk-vmpfbpf2oho01</v>
      </c>
      <c r="AA277" s="47" t="s">
        <v>66</v>
      </c>
      <c r="AB277" s="73">
        <v>8</v>
      </c>
      <c r="AC277" s="74" t="s">
        <v>65</v>
      </c>
      <c r="AD277" s="84" t="str">
        <f>"disk-"&amp;VmSpecs[[#This Row],[VM Name]]&amp;"-001"</f>
        <v>disk-vmpfbpf2oho01-001</v>
      </c>
      <c r="AE277" s="73">
        <v>32</v>
      </c>
      <c r="AF277" s="74" t="s">
        <v>65</v>
      </c>
      <c r="AG277" s="85" t="str">
        <f>"disk-"&amp;VmSpecs[[#This Row],[VM Name]]&amp;"-002"</f>
        <v>disk-vmpfbpf2oho01-002</v>
      </c>
      <c r="AH277" s="59"/>
      <c r="AI277" s="42"/>
      <c r="AJ277" s="42"/>
      <c r="AK277" s="42"/>
      <c r="AL277" s="42" t="str">
        <f>MID(VmSpecs[[#This Row],[VM Name]],3,9)</f>
        <v>pfbpf2oho</v>
      </c>
      <c r="AM277" s="42" t="str" cm="1">
        <f t="array" ref="AM277">_xlfn.TEXTJOIN(CHAR(10), TRUE, IF(NfsExports[FMO Single VM IP]=VmSpecs[[#This Row],[IP]],NfsExports[FMO Export Summary],""))</f>
        <v>/apps/pcehr 30GB</v>
      </c>
      <c r="AN277" s="43" t="str" cm="1">
        <f t="array" ref="AN27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77" s="42"/>
      <c r="AP277" s="42" t="str">
        <f>VmSpecs[[#This Row],[Description]]</f>
        <v>OHS-OAG OCR</v>
      </c>
      <c r="AQ277" s="43"/>
      <c r="AR277" s="43" t="s">
        <v>64</v>
      </c>
      <c r="AS277" s="43" t="s">
        <v>64</v>
      </c>
      <c r="AT277" s="43" t="s">
        <v>64</v>
      </c>
      <c r="AU277" s="43" t="s">
        <v>64</v>
      </c>
      <c r="AV277" s="42" t="s">
        <v>66</v>
      </c>
      <c r="AW277" s="42" t="s">
        <v>67</v>
      </c>
      <c r="AX277" s="42" t="s">
        <v>68</v>
      </c>
      <c r="AY277" s="42" t="s">
        <v>64</v>
      </c>
      <c r="AZ277" s="42" t="s">
        <v>64</v>
      </c>
      <c r="BA27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OCR"
Application Service: "OHO"
Lifecycle: "PFB"</v>
      </c>
      <c r="BB277" s="78" t="s">
        <v>664</v>
      </c>
      <c r="BC277" s="42" t="str">
        <f>VLOOKUP(VmSpecs[[#This Row],[Original Hostname (CMO)]],'SSOT Data'!A:AJ,36,FALSE)</f>
        <v>OHS-OAG OCR</v>
      </c>
      <c r="BD277" s="43"/>
    </row>
    <row r="278" spans="1:56" ht="29" x14ac:dyDescent="0.35">
      <c r="A278" s="78" t="s">
        <v>58</v>
      </c>
      <c r="B278" s="42" t="str">
        <f>_xlfn.XLOOKUP(VmSpecs[[#This Row],[Subnet]],NetworkReference[Subnet],NetworkReference[Subscription])</f>
        <v>NINP-PERF2</v>
      </c>
      <c r="C278" s="43" t="str">
        <f>_xlfn.XLOOKUP(VmSpecs[[#This Row],[Subnet]],NetworkReference[Subnet],NetworkReference[Virtual Network Resource Group])</f>
        <v>rg-pf2-network-aue-001</v>
      </c>
      <c r="D278" s="43" t="str">
        <f>_xlfn.XLOOKUP(VmSpecs[[#This Row],[Subnet]],NetworkReference[Subnet],NetworkReference[Virtual Network])</f>
        <v>vnet-pf2-workload-aue-001</v>
      </c>
      <c r="E278" s="132" t="s">
        <v>489</v>
      </c>
      <c r="F278" s="43" t="str">
        <f>_xlfn.XLOOKUP(VmSpecs[[#This Row],[Subnet]],NetworkReference[Subnet],NetworkReference[Virtual Network Peering])</f>
        <v>vnet-ninp-conn-pnp-hub-aue</v>
      </c>
      <c r="G278" s="43" t="str">
        <f>_xlfn.XLOOKUP(VmSpecs[[#This Row],[Subnet]],NetworkReference[Subnet],NetworkReference[Route Table])</f>
        <v>rt-sn-pfb-aue-pf2-web</v>
      </c>
      <c r="H278" s="43" t="str">
        <f>LOWER(VLOOKUP(VmSpecs[[#This Row],[Original Hostname (CMO)]],'SSOT Data'!A:K,10,FALSE))</f>
        <v>oho</v>
      </c>
      <c r="I27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78" s="44" t="s">
        <v>72</v>
      </c>
      <c r="K278" s="43" t="str">
        <f>_xlfn.CONCAT("vm",MID(VmSpecs[[#This Row],[Subnet]],4,3),VLOOKUP(VmSpecs[[#This Row],[Subscription]],NetworkReference[#All],2,FALSE),VmSpecs[[#This Row],[Service]],VmSpecs[[#This Row],[VM iteration (nn)]])</f>
        <v>vmpfbpf2oho02</v>
      </c>
      <c r="L278" s="45" t="s">
        <v>61</v>
      </c>
      <c r="M278" s="43" t="str">
        <f>VmSpecs[[#This Row],[VM Name]]&amp;".ninp.myhealthrecord.gov.au"</f>
        <v>vmpfbpf2oho02.ninp.myhealthrecord.gov.au</v>
      </c>
      <c r="N278" s="42" t="str">
        <f t="shared" si="4"/>
        <v>nic-001-vmpfbpf2oho02</v>
      </c>
      <c r="O278" s="106" t="s">
        <v>665</v>
      </c>
      <c r="P278" s="46" t="s">
        <v>63</v>
      </c>
      <c r="Q278" s="42" t="str">
        <f>VLOOKUP(VmSpecs[[#This Row],[Original Hostname (CMO)]],'SSOT Data'!A:E,5,FALSE)</f>
        <v>OEL7.9</v>
      </c>
      <c r="R278" s="42"/>
      <c r="S278" s="42" t="str">
        <f>_xlfn.CONCAT("avail-",LEFT(VmSpecs[[#This Row],[VM Name]],LEN(VmSpecs[[#This Row],[VM Name]])-2))</f>
        <v>avail-vmpfbpf2oho</v>
      </c>
      <c r="T278" s="42" t="str">
        <f>_xlfn.CONCAT("asg-",LEFT(VmSpecs[[#This Row],[VM Name]],LEN(VmSpecs[[#This Row],[VM Name]])-2))</f>
        <v>asg-vmpfbpf2oho</v>
      </c>
      <c r="U278" s="42" t="str">
        <f>_xlfn.CONCAT("nsg-",VmSpecs[[#This Row],[Subnet]])</f>
        <v>nsg-sn-pfb-aue-pf2-web</v>
      </c>
      <c r="V278" s="42"/>
      <c r="W278" s="43" t="str">
        <f>VLOOKUP(VmSpecs[[#This Row],[Original Hostname (CMO)]],'SSOT Data'!A:AX,50,FALSE)</f>
        <v>Standard_D4s_v4</v>
      </c>
      <c r="X278" s="43">
        <v>64</v>
      </c>
      <c r="Y278" s="43" t="s">
        <v>65</v>
      </c>
      <c r="Z278" s="43" t="str">
        <f>"osdisk-"&amp;VmSpecs[[#This Row],[VM Name]]</f>
        <v>osdisk-vmpfbpf2oho02</v>
      </c>
      <c r="AA278" s="47" t="s">
        <v>66</v>
      </c>
      <c r="AB278" s="73">
        <v>8</v>
      </c>
      <c r="AC278" s="74" t="s">
        <v>65</v>
      </c>
      <c r="AD278" s="84" t="str">
        <f>"disk-"&amp;VmSpecs[[#This Row],[VM Name]]&amp;"-001"</f>
        <v>disk-vmpfbpf2oho02-001</v>
      </c>
      <c r="AE278" s="73">
        <v>32</v>
      </c>
      <c r="AF278" s="74" t="s">
        <v>65</v>
      </c>
      <c r="AG278" s="85" t="str">
        <f>"disk-"&amp;VmSpecs[[#This Row],[VM Name]]&amp;"-002"</f>
        <v>disk-vmpfbpf2oho02-002</v>
      </c>
      <c r="AH278" s="59"/>
      <c r="AI278" s="42"/>
      <c r="AJ278" s="42"/>
      <c r="AK278" s="42"/>
      <c r="AL278" s="42" t="str">
        <f>MID(VmSpecs[[#This Row],[VM Name]],3,9)</f>
        <v>pfbpf2oho</v>
      </c>
      <c r="AM278" s="42" t="str" cm="1">
        <f t="array" ref="AM278">_xlfn.TEXTJOIN(CHAR(10), TRUE, IF(NfsExports[FMO Single VM IP]=VmSpecs[[#This Row],[IP]],NfsExports[FMO Export Summary],""))</f>
        <v>/apps/pcehr 30GB</v>
      </c>
      <c r="AN278" s="43" t="str" cm="1">
        <f t="array" ref="AN27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78" s="42"/>
      <c r="AP278" s="42" t="str">
        <f>VmSpecs[[#This Row],[Description]]</f>
        <v>OHS-OAG OCR</v>
      </c>
      <c r="AQ278" s="43"/>
      <c r="AR278" s="43" t="s">
        <v>64</v>
      </c>
      <c r="AS278" s="43" t="s">
        <v>64</v>
      </c>
      <c r="AT278" s="43" t="s">
        <v>64</v>
      </c>
      <c r="AU278" s="43" t="s">
        <v>64</v>
      </c>
      <c r="AV278" s="42" t="s">
        <v>66</v>
      </c>
      <c r="AW278" s="42" t="s">
        <v>67</v>
      </c>
      <c r="AX278" s="42" t="s">
        <v>68</v>
      </c>
      <c r="AY278" s="42" t="s">
        <v>64</v>
      </c>
      <c r="AZ278" s="42" t="s">
        <v>64</v>
      </c>
      <c r="BA27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OCR"
Application Service: "OHO"
Lifecycle: "PFB"</v>
      </c>
      <c r="BB278" s="78" t="s">
        <v>666</v>
      </c>
      <c r="BC278" s="42" t="str">
        <f>VLOOKUP(VmSpecs[[#This Row],[Original Hostname (CMO)]],'SSOT Data'!A:AJ,36,FALSE)</f>
        <v>OHS-OAG OCR</v>
      </c>
      <c r="BD278" s="43"/>
    </row>
    <row r="279" spans="1:56" ht="29" x14ac:dyDescent="0.35">
      <c r="A279" s="78" t="s">
        <v>58</v>
      </c>
      <c r="B279" s="42" t="str">
        <f>_xlfn.XLOOKUP(VmSpecs[[#This Row],[Subnet]],NetworkReference[Subnet],NetworkReference[Subscription])</f>
        <v>NINP-PERF2</v>
      </c>
      <c r="C279" s="43" t="str">
        <f>_xlfn.XLOOKUP(VmSpecs[[#This Row],[Subnet]],NetworkReference[Subnet],NetworkReference[Virtual Network Resource Group])</f>
        <v>rg-pf2-network-aue-001</v>
      </c>
      <c r="D279" s="43" t="str">
        <f>_xlfn.XLOOKUP(VmSpecs[[#This Row],[Subnet]],NetworkReference[Subnet],NetworkReference[Virtual Network])</f>
        <v>vnet-pf2-workload-aue-001</v>
      </c>
      <c r="E279" s="132" t="s">
        <v>489</v>
      </c>
      <c r="F279" s="43" t="str">
        <f>_xlfn.XLOOKUP(VmSpecs[[#This Row],[Subnet]],NetworkReference[Subnet],NetworkReference[Virtual Network Peering])</f>
        <v>vnet-ninp-conn-pnp-hub-aue</v>
      </c>
      <c r="G279" s="43" t="str">
        <f>_xlfn.XLOOKUP(VmSpecs[[#This Row],[Subnet]],NetworkReference[Subnet],NetworkReference[Route Table])</f>
        <v>rt-sn-pfb-aue-pf2-web</v>
      </c>
      <c r="H279" s="43" t="str">
        <f>LOWER(VLOOKUP(VmSpecs[[#This Row],[Original Hostname (CMO)]],'SSOT Data'!A:K,10,FALSE))</f>
        <v>oho</v>
      </c>
      <c r="I27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79" s="44" t="s">
        <v>75</v>
      </c>
      <c r="K279" s="43" t="str">
        <f>_xlfn.CONCAT("vm",MID(VmSpecs[[#This Row],[Subnet]],4,3),VLOOKUP(VmSpecs[[#This Row],[Subscription]],NetworkReference[#All],2,FALSE),VmSpecs[[#This Row],[Service]],VmSpecs[[#This Row],[VM iteration (nn)]])</f>
        <v>vmpfbpf2oho03</v>
      </c>
      <c r="L279" s="45" t="s">
        <v>61</v>
      </c>
      <c r="M279" s="43" t="str">
        <f>VmSpecs[[#This Row],[VM Name]]&amp;".ninp.myhealthrecord.gov.au"</f>
        <v>vmpfbpf2oho03.ninp.myhealthrecord.gov.au</v>
      </c>
      <c r="N279" s="42" t="str">
        <f t="shared" si="4"/>
        <v>nic-001-vmpfbpf2oho03</v>
      </c>
      <c r="O279" s="106" t="s">
        <v>667</v>
      </c>
      <c r="P279" s="46" t="s">
        <v>63</v>
      </c>
      <c r="Q279" s="42" t="str">
        <f>VLOOKUP(VmSpecs[[#This Row],[Original Hostname (CMO)]],'SSOT Data'!A:E,5,FALSE)</f>
        <v>OEL7.9</v>
      </c>
      <c r="R279" s="42"/>
      <c r="S279" s="42" t="str">
        <f>_xlfn.CONCAT("avail-",LEFT(VmSpecs[[#This Row],[VM Name]],LEN(VmSpecs[[#This Row],[VM Name]])-2))</f>
        <v>avail-vmpfbpf2oho</v>
      </c>
      <c r="T279" s="42" t="str">
        <f>_xlfn.CONCAT("asg-",LEFT(VmSpecs[[#This Row],[VM Name]],LEN(VmSpecs[[#This Row],[VM Name]])-2))</f>
        <v>asg-vmpfbpf2oho</v>
      </c>
      <c r="U279" s="42" t="str">
        <f>_xlfn.CONCAT("nsg-",VmSpecs[[#This Row],[Subnet]])</f>
        <v>nsg-sn-pfb-aue-pf2-web</v>
      </c>
      <c r="V279" s="42"/>
      <c r="W279" s="43" t="str">
        <f>VLOOKUP(VmSpecs[[#This Row],[Original Hostname (CMO)]],'SSOT Data'!A:AX,50,FALSE)</f>
        <v>Standard_D4s_v4</v>
      </c>
      <c r="X279" s="43">
        <v>64</v>
      </c>
      <c r="Y279" s="43" t="s">
        <v>65</v>
      </c>
      <c r="Z279" s="43" t="str">
        <f>"osdisk-"&amp;VmSpecs[[#This Row],[VM Name]]</f>
        <v>osdisk-vmpfbpf2oho03</v>
      </c>
      <c r="AA279" s="47" t="s">
        <v>66</v>
      </c>
      <c r="AB279" s="73">
        <v>8</v>
      </c>
      <c r="AC279" s="74" t="s">
        <v>65</v>
      </c>
      <c r="AD279" s="84" t="str">
        <f>"disk-"&amp;VmSpecs[[#This Row],[VM Name]]&amp;"-001"</f>
        <v>disk-vmpfbpf2oho03-001</v>
      </c>
      <c r="AE279" s="73">
        <v>32</v>
      </c>
      <c r="AF279" s="74" t="s">
        <v>65</v>
      </c>
      <c r="AG279" s="85" t="str">
        <f>"disk-"&amp;VmSpecs[[#This Row],[VM Name]]&amp;"-002"</f>
        <v>disk-vmpfbpf2oho03-002</v>
      </c>
      <c r="AH279" s="59"/>
      <c r="AI279" s="42"/>
      <c r="AJ279" s="42"/>
      <c r="AK279" s="42"/>
      <c r="AL279" s="42" t="str">
        <f>MID(VmSpecs[[#This Row],[VM Name]],3,9)</f>
        <v>pfbpf2oho</v>
      </c>
      <c r="AM279" s="42" t="str" cm="1">
        <f t="array" ref="AM279">_xlfn.TEXTJOIN(CHAR(10), TRUE, IF(NfsExports[FMO Single VM IP]=VmSpecs[[#This Row],[IP]],NfsExports[FMO Export Summary],""))</f>
        <v>/apps/pcehr 30GB</v>
      </c>
      <c r="AN279" s="43" t="str" cm="1">
        <f t="array" ref="AN27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79" s="42"/>
      <c r="AP279" s="42" t="str">
        <f>VmSpecs[[#This Row],[Description]]</f>
        <v>OHS-OAG OCR</v>
      </c>
      <c r="AQ279" s="43"/>
      <c r="AR279" s="43" t="s">
        <v>64</v>
      </c>
      <c r="AS279" s="43" t="s">
        <v>64</v>
      </c>
      <c r="AT279" s="43" t="s">
        <v>64</v>
      </c>
      <c r="AU279" s="43" t="s">
        <v>64</v>
      </c>
      <c r="AV279" s="42" t="s">
        <v>66</v>
      </c>
      <c r="AW279" s="42" t="s">
        <v>67</v>
      </c>
      <c r="AX279" s="42" t="s">
        <v>68</v>
      </c>
      <c r="AY279" s="42" t="s">
        <v>64</v>
      </c>
      <c r="AZ279" s="42" t="s">
        <v>64</v>
      </c>
      <c r="BA27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OCR"
Application Service: "OHO"
Lifecycle: "PFB"</v>
      </c>
      <c r="BB279" s="78" t="s">
        <v>668</v>
      </c>
      <c r="BC279" s="42" t="str">
        <f>VLOOKUP(VmSpecs[[#This Row],[Original Hostname (CMO)]],'SSOT Data'!A:AJ,36,FALSE)</f>
        <v>OHS-OAG OCR</v>
      </c>
      <c r="BD279" s="43"/>
    </row>
    <row r="280" spans="1:56" ht="29" x14ac:dyDescent="0.35">
      <c r="A280" s="78" t="s">
        <v>58</v>
      </c>
      <c r="B280" s="42" t="str">
        <f>_xlfn.XLOOKUP(VmSpecs[[#This Row],[Subnet]],NetworkReference[Subnet],NetworkReference[Subscription])</f>
        <v>NINP-PERF2</v>
      </c>
      <c r="C280" s="43" t="str">
        <f>_xlfn.XLOOKUP(VmSpecs[[#This Row],[Subnet]],NetworkReference[Subnet],NetworkReference[Virtual Network Resource Group])</f>
        <v>rg-pf2-network-aue-001</v>
      </c>
      <c r="D280" s="43" t="str">
        <f>_xlfn.XLOOKUP(VmSpecs[[#This Row],[Subnet]],NetworkReference[Subnet],NetworkReference[Virtual Network])</f>
        <v>vnet-pf2-workload-aue-001</v>
      </c>
      <c r="E280" s="132" t="s">
        <v>489</v>
      </c>
      <c r="F280" s="43" t="str">
        <f>_xlfn.XLOOKUP(VmSpecs[[#This Row],[Subnet]],NetworkReference[Subnet],NetworkReference[Virtual Network Peering])</f>
        <v>vnet-ninp-conn-pnp-hub-aue</v>
      </c>
      <c r="G280" s="43" t="str">
        <f>_xlfn.XLOOKUP(VmSpecs[[#This Row],[Subnet]],NetworkReference[Subnet],NetworkReference[Route Table])</f>
        <v>rt-sn-pfb-aue-pf2-web</v>
      </c>
      <c r="H280" s="43" t="str">
        <f>LOWER(VLOOKUP(VmSpecs[[#This Row],[Original Hostname (CMO)]],'SSOT Data'!A:K,10,FALSE))</f>
        <v>oho</v>
      </c>
      <c r="I28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80" s="44" t="s">
        <v>78</v>
      </c>
      <c r="K280" s="43" t="str">
        <f>_xlfn.CONCAT("vm",MID(VmSpecs[[#This Row],[Subnet]],4,3),VLOOKUP(VmSpecs[[#This Row],[Subscription]],NetworkReference[#All],2,FALSE),VmSpecs[[#This Row],[Service]],VmSpecs[[#This Row],[VM iteration (nn)]])</f>
        <v>vmpfbpf2oho04</v>
      </c>
      <c r="L280" s="45" t="s">
        <v>61</v>
      </c>
      <c r="M280" s="43" t="str">
        <f>VmSpecs[[#This Row],[VM Name]]&amp;".ninp.myhealthrecord.gov.au"</f>
        <v>vmpfbpf2oho04.ninp.myhealthrecord.gov.au</v>
      </c>
      <c r="N280" s="42" t="str">
        <f t="shared" si="4"/>
        <v>nic-001-vmpfbpf2oho04</v>
      </c>
      <c r="O280" s="106" t="s">
        <v>669</v>
      </c>
      <c r="P280" s="46" t="s">
        <v>63</v>
      </c>
      <c r="Q280" s="42" t="str">
        <f>VLOOKUP(VmSpecs[[#This Row],[Original Hostname (CMO)]],'SSOT Data'!A:E,5,FALSE)</f>
        <v>OEL7.9</v>
      </c>
      <c r="R280" s="42"/>
      <c r="S280" s="42" t="str">
        <f>_xlfn.CONCAT("avail-",LEFT(VmSpecs[[#This Row],[VM Name]],LEN(VmSpecs[[#This Row],[VM Name]])-2))</f>
        <v>avail-vmpfbpf2oho</v>
      </c>
      <c r="T280" s="42" t="str">
        <f>_xlfn.CONCAT("asg-",LEFT(VmSpecs[[#This Row],[VM Name]],LEN(VmSpecs[[#This Row],[VM Name]])-2))</f>
        <v>asg-vmpfbpf2oho</v>
      </c>
      <c r="U280" s="42" t="str">
        <f>_xlfn.CONCAT("nsg-",VmSpecs[[#This Row],[Subnet]])</f>
        <v>nsg-sn-pfb-aue-pf2-web</v>
      </c>
      <c r="V280" s="42"/>
      <c r="W280" s="43" t="str">
        <f>VLOOKUP(VmSpecs[[#This Row],[Original Hostname (CMO)]],'SSOT Data'!A:AX,50,FALSE)</f>
        <v>Standard_D4s_v4</v>
      </c>
      <c r="X280" s="43">
        <v>64</v>
      </c>
      <c r="Y280" s="43" t="s">
        <v>65</v>
      </c>
      <c r="Z280" s="43" t="str">
        <f>"osdisk-"&amp;VmSpecs[[#This Row],[VM Name]]</f>
        <v>osdisk-vmpfbpf2oho04</v>
      </c>
      <c r="AA280" s="47" t="s">
        <v>66</v>
      </c>
      <c r="AB280" s="73">
        <v>8</v>
      </c>
      <c r="AC280" s="74" t="s">
        <v>65</v>
      </c>
      <c r="AD280" s="84" t="str">
        <f>"disk-"&amp;VmSpecs[[#This Row],[VM Name]]&amp;"-001"</f>
        <v>disk-vmpfbpf2oho04-001</v>
      </c>
      <c r="AE280" s="73">
        <v>32</v>
      </c>
      <c r="AF280" s="74" t="s">
        <v>65</v>
      </c>
      <c r="AG280" s="85" t="str">
        <f>"disk-"&amp;VmSpecs[[#This Row],[VM Name]]&amp;"-002"</f>
        <v>disk-vmpfbpf2oho04-002</v>
      </c>
      <c r="AH280" s="59"/>
      <c r="AI280" s="42"/>
      <c r="AJ280" s="42"/>
      <c r="AK280" s="42"/>
      <c r="AL280" s="42" t="str">
        <f>MID(VmSpecs[[#This Row],[VM Name]],3,9)</f>
        <v>pfbpf2oho</v>
      </c>
      <c r="AM280" s="42" t="str" cm="1">
        <f t="array" ref="AM280">_xlfn.TEXTJOIN(CHAR(10), TRUE, IF(NfsExports[FMO Single VM IP]=VmSpecs[[#This Row],[IP]],NfsExports[FMO Export Summary],""))</f>
        <v>/apps/pcehr 30GB</v>
      </c>
      <c r="AN280" s="43" t="str" cm="1">
        <f t="array" ref="AN28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80" s="42"/>
      <c r="AP280" s="42" t="str">
        <f>VmSpecs[[#This Row],[Description]]</f>
        <v>OHS-OAG OCR</v>
      </c>
      <c r="AQ280" s="43"/>
      <c r="AR280" s="43" t="s">
        <v>64</v>
      </c>
      <c r="AS280" s="43" t="s">
        <v>64</v>
      </c>
      <c r="AT280" s="43" t="s">
        <v>64</v>
      </c>
      <c r="AU280" s="43" t="s">
        <v>64</v>
      </c>
      <c r="AV280" s="42" t="s">
        <v>66</v>
      </c>
      <c r="AW280" s="42" t="s">
        <v>67</v>
      </c>
      <c r="AX280" s="42" t="s">
        <v>68</v>
      </c>
      <c r="AY280" s="42" t="s">
        <v>64</v>
      </c>
      <c r="AZ280" s="42" t="s">
        <v>64</v>
      </c>
      <c r="BA28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OCR"
Application Service: "OHO"
Lifecycle: "PFB"</v>
      </c>
      <c r="BB280" s="78" t="s">
        <v>670</v>
      </c>
      <c r="BC280" s="42" t="str">
        <f>VLOOKUP(VmSpecs[[#This Row],[Original Hostname (CMO)]],'SSOT Data'!A:AJ,36,FALSE)</f>
        <v>OHS-OAG OCR</v>
      </c>
      <c r="BD280" s="43"/>
    </row>
    <row r="281" spans="1:56" ht="29" x14ac:dyDescent="0.35">
      <c r="A281" s="78" t="s">
        <v>58</v>
      </c>
      <c r="B281" s="42" t="str">
        <f>_xlfn.XLOOKUP(VmSpecs[[#This Row],[Subnet]],NetworkReference[Subnet],NetworkReference[Subscription])</f>
        <v>NINP-PERF2</v>
      </c>
      <c r="C281" s="43" t="str">
        <f>_xlfn.XLOOKUP(VmSpecs[[#This Row],[Subnet]],NetworkReference[Subnet],NetworkReference[Virtual Network Resource Group])</f>
        <v>rg-pf2-network-aue-001</v>
      </c>
      <c r="D281" s="43" t="str">
        <f>_xlfn.XLOOKUP(VmSpecs[[#This Row],[Subnet]],NetworkReference[Subnet],NetworkReference[Virtual Network])</f>
        <v>vnet-pf2-workload-aue-001</v>
      </c>
      <c r="E281" s="132" t="s">
        <v>489</v>
      </c>
      <c r="F281" s="43" t="str">
        <f>_xlfn.XLOOKUP(VmSpecs[[#This Row],[Subnet]],NetworkReference[Subnet],NetworkReference[Virtual Network Peering])</f>
        <v>vnet-ninp-conn-pnp-hub-aue</v>
      </c>
      <c r="G281" s="43" t="str">
        <f>_xlfn.XLOOKUP(VmSpecs[[#This Row],[Subnet]],NetworkReference[Subnet],NetworkReference[Route Table])</f>
        <v>rt-sn-pfb-aue-pf2-web</v>
      </c>
      <c r="H281" s="43" t="str">
        <f>LOWER(VLOOKUP(VmSpecs[[#This Row],[Original Hostname (CMO)]],'SSOT Data'!A:K,10,FALSE))</f>
        <v>oho</v>
      </c>
      <c r="I28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81" s="44" t="s">
        <v>81</v>
      </c>
      <c r="K281" s="43" t="str">
        <f>_xlfn.CONCAT("vm",MID(VmSpecs[[#This Row],[Subnet]],4,3),VLOOKUP(VmSpecs[[#This Row],[Subscription]],NetworkReference[#All],2,FALSE),VmSpecs[[#This Row],[Service]],VmSpecs[[#This Row],[VM iteration (nn)]])</f>
        <v>vmpfbpf2oho05</v>
      </c>
      <c r="L281" s="45" t="s">
        <v>61</v>
      </c>
      <c r="M281" s="43" t="str">
        <f>VmSpecs[[#This Row],[VM Name]]&amp;".ninp.myhealthrecord.gov.au"</f>
        <v>vmpfbpf2oho05.ninp.myhealthrecord.gov.au</v>
      </c>
      <c r="N281" s="42" t="str">
        <f t="shared" si="4"/>
        <v>nic-001-vmpfbpf2oho05</v>
      </c>
      <c r="O281" s="106" t="s">
        <v>671</v>
      </c>
      <c r="P281" s="46" t="s">
        <v>63</v>
      </c>
      <c r="Q281" s="42" t="str">
        <f>VLOOKUP(VmSpecs[[#This Row],[Original Hostname (CMO)]],'SSOT Data'!A:E,5,FALSE)</f>
        <v>OEL7.9</v>
      </c>
      <c r="R281" s="42"/>
      <c r="S281" s="42" t="str">
        <f>_xlfn.CONCAT("avail-",LEFT(VmSpecs[[#This Row],[VM Name]],LEN(VmSpecs[[#This Row],[VM Name]])-2))</f>
        <v>avail-vmpfbpf2oho</v>
      </c>
      <c r="T281" s="42" t="str">
        <f>_xlfn.CONCAT("asg-",LEFT(VmSpecs[[#This Row],[VM Name]],LEN(VmSpecs[[#This Row],[VM Name]])-2))</f>
        <v>asg-vmpfbpf2oho</v>
      </c>
      <c r="U281" s="42" t="str">
        <f>_xlfn.CONCAT("nsg-",VmSpecs[[#This Row],[Subnet]])</f>
        <v>nsg-sn-pfb-aue-pf2-web</v>
      </c>
      <c r="V281" s="42"/>
      <c r="W281" s="43" t="str">
        <f>VLOOKUP(VmSpecs[[#This Row],[Original Hostname (CMO)]],'SSOT Data'!A:AX,50,FALSE)</f>
        <v>Standard_D4s_v4</v>
      </c>
      <c r="X281" s="43">
        <v>64</v>
      </c>
      <c r="Y281" s="43" t="s">
        <v>65</v>
      </c>
      <c r="Z281" s="43" t="str">
        <f>"osdisk-"&amp;VmSpecs[[#This Row],[VM Name]]</f>
        <v>osdisk-vmpfbpf2oho05</v>
      </c>
      <c r="AA281" s="47" t="s">
        <v>66</v>
      </c>
      <c r="AB281" s="73">
        <v>8</v>
      </c>
      <c r="AC281" s="74" t="s">
        <v>65</v>
      </c>
      <c r="AD281" s="84" t="str">
        <f>"disk-"&amp;VmSpecs[[#This Row],[VM Name]]&amp;"-001"</f>
        <v>disk-vmpfbpf2oho05-001</v>
      </c>
      <c r="AE281" s="73">
        <v>32</v>
      </c>
      <c r="AF281" s="74" t="s">
        <v>65</v>
      </c>
      <c r="AG281" s="85" t="str">
        <f>"disk-"&amp;VmSpecs[[#This Row],[VM Name]]&amp;"-002"</f>
        <v>disk-vmpfbpf2oho05-002</v>
      </c>
      <c r="AH281" s="59"/>
      <c r="AI281" s="42"/>
      <c r="AJ281" s="42"/>
      <c r="AK281" s="42"/>
      <c r="AL281" s="42" t="str">
        <f>MID(VmSpecs[[#This Row],[VM Name]],3,9)</f>
        <v>pfbpf2oho</v>
      </c>
      <c r="AM281" s="42" t="str" cm="1">
        <f t="array" ref="AM281">_xlfn.TEXTJOIN(CHAR(10), TRUE, IF(NfsExports[FMO Single VM IP]=VmSpecs[[#This Row],[IP]],NfsExports[FMO Export Summary],""))</f>
        <v>/apps/pcehr 30GB</v>
      </c>
      <c r="AN281" s="43" t="str" cm="1">
        <f t="array" ref="AN28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81" s="42"/>
      <c r="AP281" s="42" t="str">
        <f>VmSpecs[[#This Row],[Description]]</f>
        <v>OHS-OAG OCR</v>
      </c>
      <c r="AQ281" s="43"/>
      <c r="AR281" s="43" t="s">
        <v>64</v>
      </c>
      <c r="AS281" s="43" t="s">
        <v>64</v>
      </c>
      <c r="AT281" s="43" t="s">
        <v>64</v>
      </c>
      <c r="AU281" s="43" t="s">
        <v>64</v>
      </c>
      <c r="AV281" s="42" t="s">
        <v>66</v>
      </c>
      <c r="AW281" s="42" t="s">
        <v>67</v>
      </c>
      <c r="AX281" s="42" t="s">
        <v>68</v>
      </c>
      <c r="AY281" s="42" t="s">
        <v>64</v>
      </c>
      <c r="AZ281" s="42" t="s">
        <v>64</v>
      </c>
      <c r="BA28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OCR"
Application Service: "OHO"
Lifecycle: "PFB"</v>
      </c>
      <c r="BB281" s="78" t="s">
        <v>672</v>
      </c>
      <c r="BC281" s="42" t="str">
        <f>VLOOKUP(VmSpecs[[#This Row],[Original Hostname (CMO)]],'SSOT Data'!A:AJ,36,FALSE)</f>
        <v>OHS-OAG OCR</v>
      </c>
      <c r="BD281" s="43"/>
    </row>
    <row r="282" spans="1:56" ht="29" x14ac:dyDescent="0.35">
      <c r="A282" s="78" t="s">
        <v>58</v>
      </c>
      <c r="B282" s="42" t="str">
        <f>_xlfn.XLOOKUP(VmSpecs[[#This Row],[Subnet]],NetworkReference[Subnet],NetworkReference[Subscription])</f>
        <v>NINP-PERF2</v>
      </c>
      <c r="C282" s="43" t="str">
        <f>_xlfn.XLOOKUP(VmSpecs[[#This Row],[Subnet]],NetworkReference[Subnet],NetworkReference[Virtual Network Resource Group])</f>
        <v>rg-pf2-network-aue-001</v>
      </c>
      <c r="D282" s="43" t="str">
        <f>_xlfn.XLOOKUP(VmSpecs[[#This Row],[Subnet]],NetworkReference[Subnet],NetworkReference[Virtual Network])</f>
        <v>vnet-pf2-workload-aue-001</v>
      </c>
      <c r="E282" s="132" t="s">
        <v>489</v>
      </c>
      <c r="F282" s="43" t="str">
        <f>_xlfn.XLOOKUP(VmSpecs[[#This Row],[Subnet]],NetworkReference[Subnet],NetworkReference[Virtual Network Peering])</f>
        <v>vnet-ninp-conn-pnp-hub-aue</v>
      </c>
      <c r="G282" s="43" t="str">
        <f>_xlfn.XLOOKUP(VmSpecs[[#This Row],[Subnet]],NetworkReference[Subnet],NetworkReference[Route Table])</f>
        <v>rt-sn-pfb-aue-pf2-web</v>
      </c>
      <c r="H282" s="43" t="str">
        <f>LOWER(VLOOKUP(VmSpecs[[#This Row],[Original Hostname (CMO)]],'SSOT Data'!A:K,10,FALSE))</f>
        <v>oho</v>
      </c>
      <c r="I28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82" s="44" t="s">
        <v>84</v>
      </c>
      <c r="K282" s="43" t="str">
        <f>_xlfn.CONCAT("vm",MID(VmSpecs[[#This Row],[Subnet]],4,3),VLOOKUP(VmSpecs[[#This Row],[Subscription]],NetworkReference[#All],2,FALSE),VmSpecs[[#This Row],[Service]],VmSpecs[[#This Row],[VM iteration (nn)]])</f>
        <v>vmpfbpf2oho06</v>
      </c>
      <c r="L282" s="45" t="s">
        <v>61</v>
      </c>
      <c r="M282" s="43" t="str">
        <f>VmSpecs[[#This Row],[VM Name]]&amp;".ninp.myhealthrecord.gov.au"</f>
        <v>vmpfbpf2oho06.ninp.myhealthrecord.gov.au</v>
      </c>
      <c r="N282" s="42" t="str">
        <f t="shared" si="4"/>
        <v>nic-001-vmpfbpf2oho06</v>
      </c>
      <c r="O282" s="106" t="s">
        <v>673</v>
      </c>
      <c r="P282" s="46" t="s">
        <v>63</v>
      </c>
      <c r="Q282" s="42" t="str">
        <f>VLOOKUP(VmSpecs[[#This Row],[Original Hostname (CMO)]],'SSOT Data'!A:E,5,FALSE)</f>
        <v>OEL7.9</v>
      </c>
      <c r="R282" s="42"/>
      <c r="S282" s="42" t="str">
        <f>_xlfn.CONCAT("avail-",LEFT(VmSpecs[[#This Row],[VM Name]],LEN(VmSpecs[[#This Row],[VM Name]])-2))</f>
        <v>avail-vmpfbpf2oho</v>
      </c>
      <c r="T282" s="42" t="str">
        <f>_xlfn.CONCAT("asg-",LEFT(VmSpecs[[#This Row],[VM Name]],LEN(VmSpecs[[#This Row],[VM Name]])-2))</f>
        <v>asg-vmpfbpf2oho</v>
      </c>
      <c r="U282" s="42" t="str">
        <f>_xlfn.CONCAT("nsg-",VmSpecs[[#This Row],[Subnet]])</f>
        <v>nsg-sn-pfb-aue-pf2-web</v>
      </c>
      <c r="V282" s="42"/>
      <c r="W282" s="43" t="str">
        <f>VLOOKUP(VmSpecs[[#This Row],[Original Hostname (CMO)]],'SSOT Data'!A:AX,50,FALSE)</f>
        <v>Standard_D4s_v4</v>
      </c>
      <c r="X282" s="43">
        <v>64</v>
      </c>
      <c r="Y282" s="43" t="s">
        <v>65</v>
      </c>
      <c r="Z282" s="43" t="str">
        <f>"osdisk-"&amp;VmSpecs[[#This Row],[VM Name]]</f>
        <v>osdisk-vmpfbpf2oho06</v>
      </c>
      <c r="AA282" s="47" t="s">
        <v>66</v>
      </c>
      <c r="AB282" s="73">
        <v>8</v>
      </c>
      <c r="AC282" s="74" t="s">
        <v>65</v>
      </c>
      <c r="AD282" s="84" t="str">
        <f>"disk-"&amp;VmSpecs[[#This Row],[VM Name]]&amp;"-001"</f>
        <v>disk-vmpfbpf2oho06-001</v>
      </c>
      <c r="AE282" s="73">
        <v>32</v>
      </c>
      <c r="AF282" s="74" t="s">
        <v>65</v>
      </c>
      <c r="AG282" s="85" t="str">
        <f>"disk-"&amp;VmSpecs[[#This Row],[VM Name]]&amp;"-002"</f>
        <v>disk-vmpfbpf2oho06-002</v>
      </c>
      <c r="AH282" s="59"/>
      <c r="AI282" s="42"/>
      <c r="AJ282" s="42"/>
      <c r="AK282" s="42"/>
      <c r="AL282" s="42" t="str">
        <f>MID(VmSpecs[[#This Row],[VM Name]],3,9)</f>
        <v>pfbpf2oho</v>
      </c>
      <c r="AM282" s="42" t="str" cm="1">
        <f t="array" ref="AM282">_xlfn.TEXTJOIN(CHAR(10), TRUE, IF(NfsExports[FMO Single VM IP]=VmSpecs[[#This Row],[IP]],NfsExports[FMO Export Summary],""))</f>
        <v>/apps/pcehr 30GB</v>
      </c>
      <c r="AN282" s="43" t="str" cm="1">
        <f t="array" ref="AN28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82" s="42"/>
      <c r="AP282" s="42" t="str">
        <f>VmSpecs[[#This Row],[Description]]</f>
        <v>OHS-OAG OCR</v>
      </c>
      <c r="AQ282" s="43"/>
      <c r="AR282" s="43" t="s">
        <v>64</v>
      </c>
      <c r="AS282" s="43" t="s">
        <v>64</v>
      </c>
      <c r="AT282" s="43" t="s">
        <v>64</v>
      </c>
      <c r="AU282" s="43" t="s">
        <v>64</v>
      </c>
      <c r="AV282" s="42" t="s">
        <v>66</v>
      </c>
      <c r="AW282" s="42" t="s">
        <v>67</v>
      </c>
      <c r="AX282" s="42" t="s">
        <v>68</v>
      </c>
      <c r="AY282" s="42" t="s">
        <v>64</v>
      </c>
      <c r="AZ282" s="42" t="s">
        <v>64</v>
      </c>
      <c r="BA28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OCR"
Application Service: "OHO"
Lifecycle: "PFB"</v>
      </c>
      <c r="BB282" s="78" t="s">
        <v>674</v>
      </c>
      <c r="BC282" s="42" t="str">
        <f>VLOOKUP(VmSpecs[[#This Row],[Original Hostname (CMO)]],'SSOT Data'!A:AJ,36,FALSE)</f>
        <v>OHS-OAG OCR</v>
      </c>
      <c r="BD282" s="43"/>
    </row>
    <row r="283" spans="1:56" ht="29" x14ac:dyDescent="0.35">
      <c r="A283" s="78" t="s">
        <v>58</v>
      </c>
      <c r="B283" s="42" t="str">
        <f>_xlfn.XLOOKUP(VmSpecs[[#This Row],[Subnet]],NetworkReference[Subnet],NetworkReference[Subscription])</f>
        <v>NINP-PERF2</v>
      </c>
      <c r="C283" s="43" t="str">
        <f>_xlfn.XLOOKUP(VmSpecs[[#This Row],[Subnet]],NetworkReference[Subnet],NetworkReference[Virtual Network Resource Group])</f>
        <v>rg-pf2-network-aue-001</v>
      </c>
      <c r="D283" s="43" t="str">
        <f>_xlfn.XLOOKUP(VmSpecs[[#This Row],[Subnet]],NetworkReference[Subnet],NetworkReference[Virtual Network])</f>
        <v>vnet-pf2-workload-aue-001</v>
      </c>
      <c r="E283" s="132" t="s">
        <v>489</v>
      </c>
      <c r="F283" s="43" t="str">
        <f>_xlfn.XLOOKUP(VmSpecs[[#This Row],[Subnet]],NetworkReference[Subnet],NetworkReference[Virtual Network Peering])</f>
        <v>vnet-ninp-conn-pnp-hub-aue</v>
      </c>
      <c r="G283" s="43" t="str">
        <f>_xlfn.XLOOKUP(VmSpecs[[#This Row],[Subnet]],NetworkReference[Subnet],NetworkReference[Route Table])</f>
        <v>rt-sn-pfb-aue-pf2-web</v>
      </c>
      <c r="H283" s="43" t="str">
        <f>LOWER(VLOOKUP(VmSpecs[[#This Row],[Original Hostname (CMO)]],'SSOT Data'!A:K,10,FALSE))</f>
        <v>rho</v>
      </c>
      <c r="I28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83" s="44" t="s">
        <v>60</v>
      </c>
      <c r="K283" s="43" t="str">
        <f>_xlfn.CONCAT("vm",MID(VmSpecs[[#This Row],[Subnet]],4,3),VLOOKUP(VmSpecs[[#This Row],[Subscription]],NetworkReference[#All],2,FALSE),VmSpecs[[#This Row],[Service]],VmSpecs[[#This Row],[VM iteration (nn)]])</f>
        <v>vmpfbpf2rho01</v>
      </c>
      <c r="L283" s="45" t="s">
        <v>61</v>
      </c>
      <c r="M283" s="43" t="str">
        <f>VmSpecs[[#This Row],[VM Name]]&amp;".ninp.myhealthrecord.gov.au"</f>
        <v>vmpfbpf2rho01.ninp.myhealthrecord.gov.au</v>
      </c>
      <c r="N283" s="42" t="str">
        <f t="shared" si="4"/>
        <v>nic-001-vmpfbpf2rho01</v>
      </c>
      <c r="O283" s="106" t="s">
        <v>675</v>
      </c>
      <c r="P283" s="46" t="s">
        <v>63</v>
      </c>
      <c r="Q283" s="42" t="str">
        <f>VLOOKUP(VmSpecs[[#This Row],[Original Hostname (CMO)]],'SSOT Data'!A:E,5,FALSE)</f>
        <v>OEL7.9</v>
      </c>
      <c r="R283" s="42"/>
      <c r="S283" s="42" t="str">
        <f>_xlfn.CONCAT("avail-",LEFT(VmSpecs[[#This Row],[VM Name]],LEN(VmSpecs[[#This Row],[VM Name]])-2))</f>
        <v>avail-vmpfbpf2rho</v>
      </c>
      <c r="T283" s="42" t="str">
        <f>_xlfn.CONCAT("asg-",LEFT(VmSpecs[[#This Row],[VM Name]],LEN(VmSpecs[[#This Row],[VM Name]])-2))</f>
        <v>asg-vmpfbpf2rho</v>
      </c>
      <c r="U283" s="42" t="str">
        <f>_xlfn.CONCAT("nsg-",VmSpecs[[#This Row],[Subnet]])</f>
        <v>nsg-sn-pfb-aue-pf2-web</v>
      </c>
      <c r="V283" s="42"/>
      <c r="W283" s="43" t="str">
        <f>VLOOKUP(VmSpecs[[#This Row],[Original Hostname (CMO)]],'SSOT Data'!A:AX,50,FALSE)</f>
        <v>Standard_D4s_v4</v>
      </c>
      <c r="X283" s="43">
        <v>64</v>
      </c>
      <c r="Y283" s="43" t="s">
        <v>65</v>
      </c>
      <c r="Z283" s="43" t="str">
        <f>"osdisk-"&amp;VmSpecs[[#This Row],[VM Name]]</f>
        <v>osdisk-vmpfbpf2rho01</v>
      </c>
      <c r="AA283" s="47" t="s">
        <v>66</v>
      </c>
      <c r="AB283" s="73">
        <v>8</v>
      </c>
      <c r="AC283" s="74" t="s">
        <v>65</v>
      </c>
      <c r="AD283" s="84" t="str">
        <f>"disk-"&amp;VmSpecs[[#This Row],[VM Name]]&amp;"-001"</f>
        <v>disk-vmpfbpf2rho01-001</v>
      </c>
      <c r="AE283" s="73">
        <v>32</v>
      </c>
      <c r="AF283" s="74" t="s">
        <v>65</v>
      </c>
      <c r="AG283" s="85" t="str">
        <f>"disk-"&amp;VmSpecs[[#This Row],[VM Name]]&amp;"-002"</f>
        <v>disk-vmpfbpf2rho01-002</v>
      </c>
      <c r="AH283" s="59"/>
      <c r="AI283" s="42"/>
      <c r="AJ283" s="42"/>
      <c r="AK283" s="42"/>
      <c r="AL283" s="42" t="str">
        <f>MID(VmSpecs[[#This Row],[VM Name]],3,9)</f>
        <v>pfbpf2rho</v>
      </c>
      <c r="AM283" s="42" t="str" cm="1">
        <f t="array" ref="AM283">_xlfn.TEXTJOIN(CHAR(10), TRUE, IF(NfsExports[FMO Single VM IP]=VmSpecs[[#This Row],[IP]],NfsExports[FMO Export Summary],""))</f>
        <v>/apps/pcehr 30GB</v>
      </c>
      <c r="AN283" s="43" t="str" cm="1">
        <f t="array" ref="AN28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83" s="42"/>
      <c r="AP283" s="42" t="str">
        <f>VmSpecs[[#This Row],[Description]]</f>
        <v>OHS-DCR OSB</v>
      </c>
      <c r="AQ283" s="43"/>
      <c r="AR283" s="43" t="s">
        <v>64</v>
      </c>
      <c r="AS283" s="43" t="s">
        <v>64</v>
      </c>
      <c r="AT283" s="43" t="s">
        <v>64</v>
      </c>
      <c r="AU283" s="43" t="s">
        <v>64</v>
      </c>
      <c r="AV283" s="42" t="s">
        <v>66</v>
      </c>
      <c r="AW283" s="42" t="s">
        <v>67</v>
      </c>
      <c r="AX283" s="42" t="s">
        <v>68</v>
      </c>
      <c r="AY283" s="42" t="s">
        <v>64</v>
      </c>
      <c r="AZ283" s="42" t="s">
        <v>64</v>
      </c>
      <c r="BA28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"OHS-DCR OSB"
Application Service: "RHO"
Lifecycle: "PFB"</v>
      </c>
      <c r="BB283" s="78" t="s">
        <v>676</v>
      </c>
      <c r="BC283" s="42" t="str">
        <f>VLOOKUP(VmSpecs[[#This Row],[Original Hostname (CMO)]],'SSOT Data'!A:AJ,36,FALSE)</f>
        <v>OHS-DCR OSB</v>
      </c>
      <c r="BD283" s="43"/>
    </row>
    <row r="284" spans="1:56" ht="29" x14ac:dyDescent="0.35">
      <c r="A284" s="78" t="s">
        <v>58</v>
      </c>
      <c r="B284" s="42" t="str">
        <f>_xlfn.XLOOKUP(VmSpecs[[#This Row],[Subnet]],NetworkReference[Subnet],NetworkReference[Subscription])</f>
        <v>NINP-PERF2</v>
      </c>
      <c r="C284" s="43" t="str">
        <f>_xlfn.XLOOKUP(VmSpecs[[#This Row],[Subnet]],NetworkReference[Subnet],NetworkReference[Virtual Network Resource Group])</f>
        <v>rg-pf2-network-aue-001</v>
      </c>
      <c r="D284" s="43" t="str">
        <f>_xlfn.XLOOKUP(VmSpecs[[#This Row],[Subnet]],NetworkReference[Subnet],NetworkReference[Virtual Network])</f>
        <v>vnet-pf2-workload-aue-001</v>
      </c>
      <c r="E284" s="132" t="s">
        <v>489</v>
      </c>
      <c r="F284" s="43" t="str">
        <f>_xlfn.XLOOKUP(VmSpecs[[#This Row],[Subnet]],NetworkReference[Subnet],NetworkReference[Virtual Network Peering])</f>
        <v>vnet-ninp-conn-pnp-hub-aue</v>
      </c>
      <c r="G284" s="43" t="str">
        <f>_xlfn.XLOOKUP(VmSpecs[[#This Row],[Subnet]],NetworkReference[Subnet],NetworkReference[Route Table])</f>
        <v>rt-sn-pfb-aue-pf2-web</v>
      </c>
      <c r="H284" s="43" t="str">
        <f>LOWER(VLOOKUP(VmSpecs[[#This Row],[Original Hostname (CMO)]],'SSOT Data'!A:K,10,FALSE))</f>
        <v>rho</v>
      </c>
      <c r="I28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84" s="44" t="s">
        <v>72</v>
      </c>
      <c r="K284" s="43" t="str">
        <f>_xlfn.CONCAT("vm",MID(VmSpecs[[#This Row],[Subnet]],4,3),VLOOKUP(VmSpecs[[#This Row],[Subscription]],NetworkReference[#All],2,FALSE),VmSpecs[[#This Row],[Service]],VmSpecs[[#This Row],[VM iteration (nn)]])</f>
        <v>vmpfbpf2rho02</v>
      </c>
      <c r="L284" s="45" t="s">
        <v>61</v>
      </c>
      <c r="M284" s="43" t="str">
        <f>VmSpecs[[#This Row],[VM Name]]&amp;".ninp.myhealthrecord.gov.au"</f>
        <v>vmpfbpf2rho02.ninp.myhealthrecord.gov.au</v>
      </c>
      <c r="N284" s="42" t="str">
        <f t="shared" si="4"/>
        <v>nic-001-vmpfbpf2rho02</v>
      </c>
      <c r="O284" s="106" t="s">
        <v>677</v>
      </c>
      <c r="P284" s="46" t="s">
        <v>63</v>
      </c>
      <c r="Q284" s="42" t="str">
        <f>VLOOKUP(VmSpecs[[#This Row],[Original Hostname (CMO)]],'SSOT Data'!A:E,5,FALSE)</f>
        <v>OEL7.9</v>
      </c>
      <c r="R284" s="42"/>
      <c r="S284" s="42" t="str">
        <f>_xlfn.CONCAT("avail-",LEFT(VmSpecs[[#This Row],[VM Name]],LEN(VmSpecs[[#This Row],[VM Name]])-2))</f>
        <v>avail-vmpfbpf2rho</v>
      </c>
      <c r="T284" s="42" t="str">
        <f>_xlfn.CONCAT("asg-",LEFT(VmSpecs[[#This Row],[VM Name]],LEN(VmSpecs[[#This Row],[VM Name]])-2))</f>
        <v>asg-vmpfbpf2rho</v>
      </c>
      <c r="U284" s="42" t="str">
        <f>_xlfn.CONCAT("nsg-",VmSpecs[[#This Row],[Subnet]])</f>
        <v>nsg-sn-pfb-aue-pf2-web</v>
      </c>
      <c r="V284" s="42"/>
      <c r="W284" s="43" t="str">
        <f>VLOOKUP(VmSpecs[[#This Row],[Original Hostname (CMO)]],'SSOT Data'!A:AX,50,FALSE)</f>
        <v>Standard_D4s_v4</v>
      </c>
      <c r="X284" s="43">
        <v>64</v>
      </c>
      <c r="Y284" s="43" t="s">
        <v>65</v>
      </c>
      <c r="Z284" s="43" t="str">
        <f>"osdisk-"&amp;VmSpecs[[#This Row],[VM Name]]</f>
        <v>osdisk-vmpfbpf2rho02</v>
      </c>
      <c r="AA284" s="47" t="s">
        <v>66</v>
      </c>
      <c r="AB284" s="73">
        <v>8</v>
      </c>
      <c r="AC284" s="74" t="s">
        <v>65</v>
      </c>
      <c r="AD284" s="84" t="str">
        <f>"disk-"&amp;VmSpecs[[#This Row],[VM Name]]&amp;"-001"</f>
        <v>disk-vmpfbpf2rho02-001</v>
      </c>
      <c r="AE284" s="73">
        <v>32</v>
      </c>
      <c r="AF284" s="74" t="s">
        <v>65</v>
      </c>
      <c r="AG284" s="85" t="str">
        <f>"disk-"&amp;VmSpecs[[#This Row],[VM Name]]&amp;"-002"</f>
        <v>disk-vmpfbpf2rho02-002</v>
      </c>
      <c r="AH284" s="59"/>
      <c r="AI284" s="42"/>
      <c r="AJ284" s="42"/>
      <c r="AK284" s="42"/>
      <c r="AL284" s="42" t="str">
        <f>MID(VmSpecs[[#This Row],[VM Name]],3,9)</f>
        <v>pfbpf2rho</v>
      </c>
      <c r="AM284" s="42" t="str" cm="1">
        <f t="array" ref="AM284">_xlfn.TEXTJOIN(CHAR(10), TRUE, IF(NfsExports[FMO Single VM IP]=VmSpecs[[#This Row],[IP]],NfsExports[FMO Export Summary],""))</f>
        <v>/apps/pcehr 30GB</v>
      </c>
      <c r="AN284" s="43" t="str" cm="1">
        <f t="array" ref="AN28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84" s="42"/>
      <c r="AP284" s="42" t="str">
        <f>VmSpecs[[#This Row],[Description]]</f>
        <v>OHS-DCR OSB</v>
      </c>
      <c r="AQ284" s="43"/>
      <c r="AR284" s="43" t="s">
        <v>64</v>
      </c>
      <c r="AS284" s="43" t="s">
        <v>64</v>
      </c>
      <c r="AT284" s="43" t="s">
        <v>64</v>
      </c>
      <c r="AU284" s="43" t="s">
        <v>64</v>
      </c>
      <c r="AV284" s="42" t="s">
        <v>66</v>
      </c>
      <c r="AW284" s="42" t="s">
        <v>67</v>
      </c>
      <c r="AX284" s="42" t="s">
        <v>68</v>
      </c>
      <c r="AY284" s="42" t="s">
        <v>64</v>
      </c>
      <c r="AZ284" s="42" t="s">
        <v>64</v>
      </c>
      <c r="BA28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"OHS-DCR OSB"
Application Service: "RHO"
Lifecycle: "PFB"</v>
      </c>
      <c r="BB284" s="78" t="s">
        <v>678</v>
      </c>
      <c r="BC284" s="42" t="str">
        <f>VLOOKUP(VmSpecs[[#This Row],[Original Hostname (CMO)]],'SSOT Data'!A:AJ,36,FALSE)</f>
        <v>OHS-DCR OSB</v>
      </c>
      <c r="BD284" s="43"/>
    </row>
    <row r="285" spans="1:56" ht="29" x14ac:dyDescent="0.35">
      <c r="A285" s="78" t="s">
        <v>58</v>
      </c>
      <c r="B285" s="42" t="str">
        <f>_xlfn.XLOOKUP(VmSpecs[[#This Row],[Subnet]],NetworkReference[Subnet],NetworkReference[Subscription])</f>
        <v>NINP-PERF2</v>
      </c>
      <c r="C285" s="43" t="str">
        <f>_xlfn.XLOOKUP(VmSpecs[[#This Row],[Subnet]],NetworkReference[Subnet],NetworkReference[Virtual Network Resource Group])</f>
        <v>rg-pf2-network-aue-001</v>
      </c>
      <c r="D285" s="43" t="str">
        <f>_xlfn.XLOOKUP(VmSpecs[[#This Row],[Subnet]],NetworkReference[Subnet],NetworkReference[Virtual Network])</f>
        <v>vnet-pf2-workload-aue-001</v>
      </c>
      <c r="E285" s="132" t="s">
        <v>489</v>
      </c>
      <c r="F285" s="43" t="str">
        <f>_xlfn.XLOOKUP(VmSpecs[[#This Row],[Subnet]],NetworkReference[Subnet],NetworkReference[Virtual Network Peering])</f>
        <v>vnet-ninp-conn-pnp-hub-aue</v>
      </c>
      <c r="G285" s="43" t="str">
        <f>_xlfn.XLOOKUP(VmSpecs[[#This Row],[Subnet]],NetworkReference[Subnet],NetworkReference[Route Table])</f>
        <v>rt-sn-pfb-aue-pf2-web</v>
      </c>
      <c r="H285" s="43" t="str">
        <f>LOWER(VLOOKUP(VmSpecs[[#This Row],[Original Hostname (CMO)]],'SSOT Data'!A:K,10,FALSE))</f>
        <v>rho</v>
      </c>
      <c r="I28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85" s="44" t="s">
        <v>75</v>
      </c>
      <c r="K285" s="43" t="str">
        <f>_xlfn.CONCAT("vm",MID(VmSpecs[[#This Row],[Subnet]],4,3),VLOOKUP(VmSpecs[[#This Row],[Subscription]],NetworkReference[#All],2,FALSE),VmSpecs[[#This Row],[Service]],VmSpecs[[#This Row],[VM iteration (nn)]])</f>
        <v>vmpfbpf2rho03</v>
      </c>
      <c r="L285" s="45" t="s">
        <v>61</v>
      </c>
      <c r="M285" s="43" t="str">
        <f>VmSpecs[[#This Row],[VM Name]]&amp;".ninp.myhealthrecord.gov.au"</f>
        <v>vmpfbpf2rho03.ninp.myhealthrecord.gov.au</v>
      </c>
      <c r="N285" s="42" t="str">
        <f t="shared" si="4"/>
        <v>nic-001-vmpfbpf2rho03</v>
      </c>
      <c r="O285" s="106" t="s">
        <v>679</v>
      </c>
      <c r="P285" s="46" t="s">
        <v>63</v>
      </c>
      <c r="Q285" s="42" t="str">
        <f>VLOOKUP(VmSpecs[[#This Row],[Original Hostname (CMO)]],'SSOT Data'!A:E,5,FALSE)</f>
        <v>OEL7.9</v>
      </c>
      <c r="R285" s="42"/>
      <c r="S285" s="42" t="str">
        <f>_xlfn.CONCAT("avail-",LEFT(VmSpecs[[#This Row],[VM Name]],LEN(VmSpecs[[#This Row],[VM Name]])-2))</f>
        <v>avail-vmpfbpf2rho</v>
      </c>
      <c r="T285" s="42" t="str">
        <f>_xlfn.CONCAT("asg-",LEFT(VmSpecs[[#This Row],[VM Name]],LEN(VmSpecs[[#This Row],[VM Name]])-2))</f>
        <v>asg-vmpfbpf2rho</v>
      </c>
      <c r="U285" s="42" t="str">
        <f>_xlfn.CONCAT("nsg-",VmSpecs[[#This Row],[Subnet]])</f>
        <v>nsg-sn-pfb-aue-pf2-web</v>
      </c>
      <c r="V285" s="42"/>
      <c r="W285" s="43" t="str">
        <f>VLOOKUP(VmSpecs[[#This Row],[Original Hostname (CMO)]],'SSOT Data'!A:AX,50,FALSE)</f>
        <v>Standard_D4s_v4</v>
      </c>
      <c r="X285" s="43">
        <v>64</v>
      </c>
      <c r="Y285" s="43" t="s">
        <v>65</v>
      </c>
      <c r="Z285" s="43" t="str">
        <f>"osdisk-"&amp;VmSpecs[[#This Row],[VM Name]]</f>
        <v>osdisk-vmpfbpf2rho03</v>
      </c>
      <c r="AA285" s="47" t="s">
        <v>66</v>
      </c>
      <c r="AB285" s="73">
        <v>8</v>
      </c>
      <c r="AC285" s="74" t="s">
        <v>65</v>
      </c>
      <c r="AD285" s="84" t="str">
        <f>"disk-"&amp;VmSpecs[[#This Row],[VM Name]]&amp;"-001"</f>
        <v>disk-vmpfbpf2rho03-001</v>
      </c>
      <c r="AE285" s="73">
        <v>32</v>
      </c>
      <c r="AF285" s="74" t="s">
        <v>65</v>
      </c>
      <c r="AG285" s="85" t="str">
        <f>"disk-"&amp;VmSpecs[[#This Row],[VM Name]]&amp;"-002"</f>
        <v>disk-vmpfbpf2rho03-002</v>
      </c>
      <c r="AH285" s="59"/>
      <c r="AI285" s="42"/>
      <c r="AJ285" s="42"/>
      <c r="AK285" s="42"/>
      <c r="AL285" s="42" t="str">
        <f>MID(VmSpecs[[#This Row],[VM Name]],3,9)</f>
        <v>pfbpf2rho</v>
      </c>
      <c r="AM285" s="42" t="str" cm="1">
        <f t="array" ref="AM285">_xlfn.TEXTJOIN(CHAR(10), TRUE, IF(NfsExports[FMO Single VM IP]=VmSpecs[[#This Row],[IP]],NfsExports[FMO Export Summary],""))</f>
        <v>/apps/pcehr 30GB</v>
      </c>
      <c r="AN285" s="43" t="str" cm="1">
        <f t="array" ref="AN28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85" s="42"/>
      <c r="AP285" s="42" t="str">
        <f>VmSpecs[[#This Row],[Description]]</f>
        <v>OHS-DCR OSB</v>
      </c>
      <c r="AQ285" s="43"/>
      <c r="AR285" s="43" t="s">
        <v>64</v>
      </c>
      <c r="AS285" s="43" t="s">
        <v>64</v>
      </c>
      <c r="AT285" s="43" t="s">
        <v>64</v>
      </c>
      <c r="AU285" s="43" t="s">
        <v>64</v>
      </c>
      <c r="AV285" s="42" t="s">
        <v>66</v>
      </c>
      <c r="AW285" s="42" t="s">
        <v>67</v>
      </c>
      <c r="AX285" s="42" t="s">
        <v>68</v>
      </c>
      <c r="AY285" s="42" t="s">
        <v>64</v>
      </c>
      <c r="AZ285" s="42" t="s">
        <v>64</v>
      </c>
      <c r="BA28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"OHS-DCR OSB"
Application Service: "RHO"
Lifecycle: "PFB"</v>
      </c>
      <c r="BB285" s="78" t="s">
        <v>680</v>
      </c>
      <c r="BC285" s="42" t="str">
        <f>VLOOKUP(VmSpecs[[#This Row],[Original Hostname (CMO)]],'SSOT Data'!A:AJ,36,FALSE)</f>
        <v>OHS-DCR OSB</v>
      </c>
      <c r="BD285" s="43"/>
    </row>
    <row r="286" spans="1:56" ht="29" x14ac:dyDescent="0.35">
      <c r="A286" s="78" t="s">
        <v>58</v>
      </c>
      <c r="B286" s="42" t="str">
        <f>_xlfn.XLOOKUP(VmSpecs[[#This Row],[Subnet]],NetworkReference[Subnet],NetworkReference[Subscription])</f>
        <v>NINP-PERF2</v>
      </c>
      <c r="C286" s="43" t="str">
        <f>_xlfn.XLOOKUP(VmSpecs[[#This Row],[Subnet]],NetworkReference[Subnet],NetworkReference[Virtual Network Resource Group])</f>
        <v>rg-pf2-network-aue-001</v>
      </c>
      <c r="D286" s="43" t="str">
        <f>_xlfn.XLOOKUP(VmSpecs[[#This Row],[Subnet]],NetworkReference[Subnet],NetworkReference[Virtual Network])</f>
        <v>vnet-pf2-workload-aue-001</v>
      </c>
      <c r="E286" s="132" t="s">
        <v>489</v>
      </c>
      <c r="F286" s="43" t="str">
        <f>_xlfn.XLOOKUP(VmSpecs[[#This Row],[Subnet]],NetworkReference[Subnet],NetworkReference[Virtual Network Peering])</f>
        <v>vnet-ninp-conn-pnp-hub-aue</v>
      </c>
      <c r="G286" s="43" t="str">
        <f>_xlfn.XLOOKUP(VmSpecs[[#This Row],[Subnet]],NetworkReference[Subnet],NetworkReference[Route Table])</f>
        <v>rt-sn-pfb-aue-pf2-web</v>
      </c>
      <c r="H286" s="43" t="str">
        <f>LOWER(VLOOKUP(VmSpecs[[#This Row],[Original Hostname (CMO)]],'SSOT Data'!A:K,10,FALSE))</f>
        <v>xho</v>
      </c>
      <c r="I28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86" s="44" t="s">
        <v>60</v>
      </c>
      <c r="K286" s="43" t="str">
        <f>_xlfn.CONCAT("vm",MID(VmSpecs[[#This Row],[Subnet]],4,3),VLOOKUP(VmSpecs[[#This Row],[Subscription]],NetworkReference[#All],2,FALSE),VmSpecs[[#This Row],[Service]],VmSpecs[[#This Row],[VM iteration (nn)]])</f>
        <v>vmpfbpf2xho01</v>
      </c>
      <c r="L286" s="45" t="s">
        <v>61</v>
      </c>
      <c r="M286" s="43" t="str">
        <f>VmSpecs[[#This Row],[VM Name]]&amp;".ninp.myhealthrecord.gov.au"</f>
        <v>vmpfbpf2xho01.ninp.myhealthrecord.gov.au</v>
      </c>
      <c r="N286" s="42" t="str">
        <f t="shared" si="4"/>
        <v>nic-001-vmpfbpf2xho01</v>
      </c>
      <c r="O286" s="106" t="s">
        <v>681</v>
      </c>
      <c r="P286" s="46" t="s">
        <v>63</v>
      </c>
      <c r="Q286" s="42" t="str">
        <f>VLOOKUP(VmSpecs[[#This Row],[Original Hostname (CMO)]],'SSOT Data'!A:E,5,FALSE)</f>
        <v>OEL7.9</v>
      </c>
      <c r="R286" s="42"/>
      <c r="S286" s="42" t="str">
        <f>_xlfn.CONCAT("avail-",LEFT(VmSpecs[[#This Row],[VM Name]],LEN(VmSpecs[[#This Row],[VM Name]])-2))</f>
        <v>avail-vmpfbpf2xho</v>
      </c>
      <c r="T286" s="42" t="str">
        <f>_xlfn.CONCAT("asg-",LEFT(VmSpecs[[#This Row],[VM Name]],LEN(VmSpecs[[#This Row],[VM Name]])-2))</f>
        <v>asg-vmpfbpf2xho</v>
      </c>
      <c r="U286" s="42" t="str">
        <f>_xlfn.CONCAT("nsg-",VmSpecs[[#This Row],[Subnet]])</f>
        <v>nsg-sn-pfb-aue-pf2-web</v>
      </c>
      <c r="V286" s="42"/>
      <c r="W286" s="43" t="str">
        <f>VLOOKUP(VmSpecs[[#This Row],[Original Hostname (CMO)]],'SSOT Data'!A:AX,50,FALSE)</f>
        <v>Standard_D4s_v4</v>
      </c>
      <c r="X286" s="43">
        <v>64</v>
      </c>
      <c r="Y286" s="43" t="s">
        <v>65</v>
      </c>
      <c r="Z286" s="43" t="str">
        <f>"osdisk-"&amp;VmSpecs[[#This Row],[VM Name]]</f>
        <v>osdisk-vmpfbpf2xho01</v>
      </c>
      <c r="AA286" s="47" t="s">
        <v>66</v>
      </c>
      <c r="AB286" s="73">
        <v>8</v>
      </c>
      <c r="AC286" s="74" t="s">
        <v>65</v>
      </c>
      <c r="AD286" s="84" t="str">
        <f>"disk-"&amp;VmSpecs[[#This Row],[VM Name]]&amp;"-001"</f>
        <v>disk-vmpfbpf2xho01-001</v>
      </c>
      <c r="AE286" s="73">
        <v>32</v>
      </c>
      <c r="AF286" s="74" t="s">
        <v>65</v>
      </c>
      <c r="AG286" s="85" t="str">
        <f>"disk-"&amp;VmSpecs[[#This Row],[VM Name]]&amp;"-002"</f>
        <v>disk-vmpfbpf2xho01-002</v>
      </c>
      <c r="AH286" s="59"/>
      <c r="AI286" s="42"/>
      <c r="AJ286" s="42"/>
      <c r="AK286" s="42"/>
      <c r="AL286" s="42" t="str">
        <f>MID(VmSpecs[[#This Row],[VM Name]],3,9)</f>
        <v>pfbpf2xho</v>
      </c>
      <c r="AM286" s="42" t="str" cm="1">
        <f t="array" ref="AM286">_xlfn.TEXTJOIN(CHAR(10), TRUE, IF(NfsExports[FMO Single VM IP]=VmSpecs[[#This Row],[IP]],NfsExports[FMO Export Summary],""))</f>
        <v>/apps/pcehr 30GB</v>
      </c>
      <c r="AN286" s="43" t="str" cm="1">
        <f t="array" ref="AN28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86" s="42"/>
      <c r="AP286" s="42" t="str">
        <f>VmSpecs[[#This Row],[Description]]</f>
        <v>OHS-DCX OSB</v>
      </c>
      <c r="AQ286" s="43"/>
      <c r="AR286" s="43" t="s">
        <v>64</v>
      </c>
      <c r="AS286" s="43" t="s">
        <v>64</v>
      </c>
      <c r="AT286" s="43" t="s">
        <v>64</v>
      </c>
      <c r="AU286" s="43" t="s">
        <v>64</v>
      </c>
      <c r="AV286" s="42" t="s">
        <v>66</v>
      </c>
      <c r="AW286" s="42" t="s">
        <v>67</v>
      </c>
      <c r="AX286" s="42" t="s">
        <v>68</v>
      </c>
      <c r="AY286" s="42" t="s">
        <v>64</v>
      </c>
      <c r="AZ286" s="42" t="s">
        <v>64</v>
      </c>
      <c r="BA28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"OHS-DCX OSB"
Application Service: "XHO"
Lifecycle: "PFB"</v>
      </c>
      <c r="BB286" s="78" t="s">
        <v>682</v>
      </c>
      <c r="BC286" s="42" t="str">
        <f>VLOOKUP(VmSpecs[[#This Row],[Original Hostname (CMO)]],'SSOT Data'!A:AJ,36,FALSE)</f>
        <v>OHS-DCX OSB</v>
      </c>
      <c r="BD286" s="43"/>
    </row>
    <row r="287" spans="1:56" ht="29" x14ac:dyDescent="0.35">
      <c r="A287" s="78" t="s">
        <v>58</v>
      </c>
      <c r="B287" s="42" t="str">
        <f>_xlfn.XLOOKUP(VmSpecs[[#This Row],[Subnet]],NetworkReference[Subnet],NetworkReference[Subscription])</f>
        <v>NINP-PERF2</v>
      </c>
      <c r="C287" s="43" t="str">
        <f>_xlfn.XLOOKUP(VmSpecs[[#This Row],[Subnet]],NetworkReference[Subnet],NetworkReference[Virtual Network Resource Group])</f>
        <v>rg-pf2-network-aue-001</v>
      </c>
      <c r="D287" s="43" t="str">
        <f>_xlfn.XLOOKUP(VmSpecs[[#This Row],[Subnet]],NetworkReference[Subnet],NetworkReference[Virtual Network])</f>
        <v>vnet-pf2-workload-aue-001</v>
      </c>
      <c r="E287" s="132" t="s">
        <v>489</v>
      </c>
      <c r="F287" s="43" t="str">
        <f>_xlfn.XLOOKUP(VmSpecs[[#This Row],[Subnet]],NetworkReference[Subnet],NetworkReference[Virtual Network Peering])</f>
        <v>vnet-ninp-conn-pnp-hub-aue</v>
      </c>
      <c r="G287" s="43" t="str">
        <f>_xlfn.XLOOKUP(VmSpecs[[#This Row],[Subnet]],NetworkReference[Subnet],NetworkReference[Route Table])</f>
        <v>rt-sn-pfb-aue-pf2-web</v>
      </c>
      <c r="H287" s="43" t="str">
        <f>LOWER(VLOOKUP(VmSpecs[[#This Row],[Original Hostname (CMO)]],'SSOT Data'!A:K,10,FALSE))</f>
        <v>xho</v>
      </c>
      <c r="I28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87" s="44" t="s">
        <v>72</v>
      </c>
      <c r="K287" s="43" t="str">
        <f>_xlfn.CONCAT("vm",MID(VmSpecs[[#This Row],[Subnet]],4,3),VLOOKUP(VmSpecs[[#This Row],[Subscription]],NetworkReference[#All],2,FALSE),VmSpecs[[#This Row],[Service]],VmSpecs[[#This Row],[VM iteration (nn)]])</f>
        <v>vmpfbpf2xho02</v>
      </c>
      <c r="L287" s="45" t="s">
        <v>61</v>
      </c>
      <c r="M287" s="43" t="str">
        <f>VmSpecs[[#This Row],[VM Name]]&amp;".ninp.myhealthrecord.gov.au"</f>
        <v>vmpfbpf2xho02.ninp.myhealthrecord.gov.au</v>
      </c>
      <c r="N287" s="42" t="str">
        <f t="shared" si="4"/>
        <v>nic-001-vmpfbpf2xho02</v>
      </c>
      <c r="O287" s="106" t="s">
        <v>683</v>
      </c>
      <c r="P287" s="46" t="s">
        <v>63</v>
      </c>
      <c r="Q287" s="42" t="str">
        <f>VLOOKUP(VmSpecs[[#This Row],[Original Hostname (CMO)]],'SSOT Data'!A:E,5,FALSE)</f>
        <v>OEL7.9</v>
      </c>
      <c r="R287" s="42"/>
      <c r="S287" s="42" t="str">
        <f>_xlfn.CONCAT("avail-",LEFT(VmSpecs[[#This Row],[VM Name]],LEN(VmSpecs[[#This Row],[VM Name]])-2))</f>
        <v>avail-vmpfbpf2xho</v>
      </c>
      <c r="T287" s="42" t="str">
        <f>_xlfn.CONCAT("asg-",LEFT(VmSpecs[[#This Row],[VM Name]],LEN(VmSpecs[[#This Row],[VM Name]])-2))</f>
        <v>asg-vmpfbpf2xho</v>
      </c>
      <c r="U287" s="42" t="str">
        <f>_xlfn.CONCAT("nsg-",VmSpecs[[#This Row],[Subnet]])</f>
        <v>nsg-sn-pfb-aue-pf2-web</v>
      </c>
      <c r="V287" s="42"/>
      <c r="W287" s="43" t="str">
        <f>VLOOKUP(VmSpecs[[#This Row],[Original Hostname (CMO)]],'SSOT Data'!A:AX,50,FALSE)</f>
        <v>Standard_D4s_v4</v>
      </c>
      <c r="X287" s="43">
        <v>64</v>
      </c>
      <c r="Y287" s="43" t="s">
        <v>65</v>
      </c>
      <c r="Z287" s="43" t="str">
        <f>"osdisk-"&amp;VmSpecs[[#This Row],[VM Name]]</f>
        <v>osdisk-vmpfbpf2xho02</v>
      </c>
      <c r="AA287" s="47" t="s">
        <v>66</v>
      </c>
      <c r="AB287" s="73">
        <v>8</v>
      </c>
      <c r="AC287" s="74" t="s">
        <v>65</v>
      </c>
      <c r="AD287" s="84" t="str">
        <f>"disk-"&amp;VmSpecs[[#This Row],[VM Name]]&amp;"-001"</f>
        <v>disk-vmpfbpf2xho02-001</v>
      </c>
      <c r="AE287" s="73">
        <v>32</v>
      </c>
      <c r="AF287" s="74" t="s">
        <v>65</v>
      </c>
      <c r="AG287" s="85" t="str">
        <f>"disk-"&amp;VmSpecs[[#This Row],[VM Name]]&amp;"-002"</f>
        <v>disk-vmpfbpf2xho02-002</v>
      </c>
      <c r="AH287" s="59"/>
      <c r="AI287" s="42"/>
      <c r="AJ287" s="42"/>
      <c r="AK287" s="42"/>
      <c r="AL287" s="42" t="str">
        <f>MID(VmSpecs[[#This Row],[VM Name]],3,9)</f>
        <v>pfbpf2xho</v>
      </c>
      <c r="AM287" s="42" t="str" cm="1">
        <f t="array" ref="AM287">_xlfn.TEXTJOIN(CHAR(10), TRUE, IF(NfsExports[FMO Single VM IP]=VmSpecs[[#This Row],[IP]],NfsExports[FMO Export Summary],""))</f>
        <v>/apps/pcehr 30GB</v>
      </c>
      <c r="AN287" s="43" t="str" cm="1">
        <f t="array" ref="AN28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87" s="42"/>
      <c r="AP287" s="42" t="str">
        <f>VmSpecs[[#This Row],[Description]]</f>
        <v>OHS-DCX OSB</v>
      </c>
      <c r="AQ287" s="43"/>
      <c r="AR287" s="43" t="s">
        <v>64</v>
      </c>
      <c r="AS287" s="43" t="s">
        <v>64</v>
      </c>
      <c r="AT287" s="43" t="s">
        <v>64</v>
      </c>
      <c r="AU287" s="43" t="s">
        <v>64</v>
      </c>
      <c r="AV287" s="42" t="s">
        <v>66</v>
      </c>
      <c r="AW287" s="42" t="s">
        <v>67</v>
      </c>
      <c r="AX287" s="42" t="s">
        <v>68</v>
      </c>
      <c r="AY287" s="42" t="s">
        <v>64</v>
      </c>
      <c r="AZ287" s="42" t="s">
        <v>64</v>
      </c>
      <c r="BA28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"OHS-DCX OSB"
Application Service: "XHO"
Lifecycle: "PFB"</v>
      </c>
      <c r="BB287" s="78" t="s">
        <v>684</v>
      </c>
      <c r="BC287" s="42" t="str">
        <f>VLOOKUP(VmSpecs[[#This Row],[Original Hostname (CMO)]],'SSOT Data'!A:AJ,36,FALSE)</f>
        <v>OHS-DCX OSB</v>
      </c>
      <c r="BD287" s="43"/>
    </row>
    <row r="288" spans="1:56" ht="29" x14ac:dyDescent="0.35">
      <c r="A288" s="78" t="s">
        <v>58</v>
      </c>
      <c r="B288" s="42" t="str">
        <f>_xlfn.XLOOKUP(VmSpecs[[#This Row],[Subnet]],NetworkReference[Subnet],NetworkReference[Subscription])</f>
        <v>NINP-PERF2</v>
      </c>
      <c r="C288" s="43" t="str">
        <f>_xlfn.XLOOKUP(VmSpecs[[#This Row],[Subnet]],NetworkReference[Subnet],NetworkReference[Virtual Network Resource Group])</f>
        <v>rg-pf2-network-aue-001</v>
      </c>
      <c r="D288" s="43" t="str">
        <f>_xlfn.XLOOKUP(VmSpecs[[#This Row],[Subnet]],NetworkReference[Subnet],NetworkReference[Virtual Network])</f>
        <v>vnet-pf2-workload-aue-001</v>
      </c>
      <c r="E288" s="132" t="s">
        <v>489</v>
      </c>
      <c r="F288" s="43" t="str">
        <f>_xlfn.XLOOKUP(VmSpecs[[#This Row],[Subnet]],NetworkReference[Subnet],NetworkReference[Virtual Network Peering])</f>
        <v>vnet-ninp-conn-pnp-hub-aue</v>
      </c>
      <c r="G288" s="43" t="str">
        <f>_xlfn.XLOOKUP(VmSpecs[[#This Row],[Subnet]],NetworkReference[Subnet],NetworkReference[Route Table])</f>
        <v>rt-sn-pfb-aue-pf2-web</v>
      </c>
      <c r="H288" s="43" t="str">
        <f>LOWER(VLOOKUP(VmSpecs[[#This Row],[Original Hostname (CMO)]],'SSOT Data'!A:K,10,FALSE))</f>
        <v>xho</v>
      </c>
      <c r="I28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88" s="44" t="s">
        <v>75</v>
      </c>
      <c r="K288" s="43" t="str">
        <f>_xlfn.CONCAT("vm",MID(VmSpecs[[#This Row],[Subnet]],4,3),VLOOKUP(VmSpecs[[#This Row],[Subscription]],NetworkReference[#All],2,FALSE),VmSpecs[[#This Row],[Service]],VmSpecs[[#This Row],[VM iteration (nn)]])</f>
        <v>vmpfbpf2xho03</v>
      </c>
      <c r="L288" s="45" t="s">
        <v>61</v>
      </c>
      <c r="M288" s="43" t="str">
        <f>VmSpecs[[#This Row],[VM Name]]&amp;".ninp.myhealthrecord.gov.au"</f>
        <v>vmpfbpf2xho03.ninp.myhealthrecord.gov.au</v>
      </c>
      <c r="N288" s="42" t="str">
        <f t="shared" si="4"/>
        <v>nic-001-vmpfbpf2xho03</v>
      </c>
      <c r="O288" s="106" t="s">
        <v>685</v>
      </c>
      <c r="P288" s="46" t="s">
        <v>63</v>
      </c>
      <c r="Q288" s="42" t="str">
        <f>VLOOKUP(VmSpecs[[#This Row],[Original Hostname (CMO)]],'SSOT Data'!A:E,5,FALSE)</f>
        <v>OEL7.9</v>
      </c>
      <c r="R288" s="42"/>
      <c r="S288" s="42" t="str">
        <f>_xlfn.CONCAT("avail-",LEFT(VmSpecs[[#This Row],[VM Name]],LEN(VmSpecs[[#This Row],[VM Name]])-2))</f>
        <v>avail-vmpfbpf2xho</v>
      </c>
      <c r="T288" s="42" t="str">
        <f>_xlfn.CONCAT("asg-",LEFT(VmSpecs[[#This Row],[VM Name]],LEN(VmSpecs[[#This Row],[VM Name]])-2))</f>
        <v>asg-vmpfbpf2xho</v>
      </c>
      <c r="U288" s="42" t="str">
        <f>_xlfn.CONCAT("nsg-",VmSpecs[[#This Row],[Subnet]])</f>
        <v>nsg-sn-pfb-aue-pf2-web</v>
      </c>
      <c r="V288" s="42"/>
      <c r="W288" s="43" t="str">
        <f>VLOOKUP(VmSpecs[[#This Row],[Original Hostname (CMO)]],'SSOT Data'!A:AX,50,FALSE)</f>
        <v>Standard_D4s_v4</v>
      </c>
      <c r="X288" s="43">
        <v>64</v>
      </c>
      <c r="Y288" s="43" t="s">
        <v>65</v>
      </c>
      <c r="Z288" s="43" t="str">
        <f>"osdisk-"&amp;VmSpecs[[#This Row],[VM Name]]</f>
        <v>osdisk-vmpfbpf2xho03</v>
      </c>
      <c r="AA288" s="47" t="s">
        <v>66</v>
      </c>
      <c r="AB288" s="73">
        <v>8</v>
      </c>
      <c r="AC288" s="74" t="s">
        <v>65</v>
      </c>
      <c r="AD288" s="84" t="str">
        <f>"disk-"&amp;VmSpecs[[#This Row],[VM Name]]&amp;"-001"</f>
        <v>disk-vmpfbpf2xho03-001</v>
      </c>
      <c r="AE288" s="73">
        <v>32</v>
      </c>
      <c r="AF288" s="74" t="s">
        <v>65</v>
      </c>
      <c r="AG288" s="85" t="str">
        <f>"disk-"&amp;VmSpecs[[#This Row],[VM Name]]&amp;"-002"</f>
        <v>disk-vmpfbpf2xho03-002</v>
      </c>
      <c r="AH288" s="59"/>
      <c r="AI288" s="42"/>
      <c r="AJ288" s="42"/>
      <c r="AK288" s="42"/>
      <c r="AL288" s="42" t="str">
        <f>MID(VmSpecs[[#This Row],[VM Name]],3,9)</f>
        <v>pfbpf2xho</v>
      </c>
      <c r="AM288" s="42" t="str" cm="1">
        <f t="array" ref="AM288">_xlfn.TEXTJOIN(CHAR(10), TRUE, IF(NfsExports[FMO Single VM IP]=VmSpecs[[#This Row],[IP]],NfsExports[FMO Export Summary],""))</f>
        <v>/apps/pcehr 30GB</v>
      </c>
      <c r="AN288" s="43" t="str" cm="1">
        <f t="array" ref="AN28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88" s="42"/>
      <c r="AP288" s="42" t="str">
        <f>VmSpecs[[#This Row],[Description]]</f>
        <v>OHS-DCX OSB</v>
      </c>
      <c r="AQ288" s="43"/>
      <c r="AR288" s="43" t="s">
        <v>64</v>
      </c>
      <c r="AS288" s="43" t="s">
        <v>64</v>
      </c>
      <c r="AT288" s="43" t="s">
        <v>64</v>
      </c>
      <c r="AU288" s="43" t="s">
        <v>64</v>
      </c>
      <c r="AV288" s="42" t="s">
        <v>66</v>
      </c>
      <c r="AW288" s="42" t="s">
        <v>67</v>
      </c>
      <c r="AX288" s="42" t="s">
        <v>68</v>
      </c>
      <c r="AY288" s="42" t="s">
        <v>64</v>
      </c>
      <c r="AZ288" s="42" t="s">
        <v>64</v>
      </c>
      <c r="BA28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"OHS-DCX OSB"
Application Service: "XHO"
Lifecycle: "PFB"</v>
      </c>
      <c r="BB288" s="78" t="s">
        <v>686</v>
      </c>
      <c r="BC288" s="42" t="str">
        <f>VLOOKUP(VmSpecs[[#This Row],[Original Hostname (CMO)]],'SSOT Data'!A:AJ,36,FALSE)</f>
        <v>OHS-DCX OSB</v>
      </c>
      <c r="BD288" s="43"/>
    </row>
    <row r="289" spans="1:56" ht="23.15" customHeight="1" x14ac:dyDescent="0.35">
      <c r="A289" s="78" t="s">
        <v>58</v>
      </c>
      <c r="B289" s="42" t="str">
        <f>_xlfn.XLOOKUP(VmSpecs[[#This Row],[Subnet]],NetworkReference[Subnet],NetworkReference[Subscription])</f>
        <v>NINP-PERF2</v>
      </c>
      <c r="C289" s="43" t="str">
        <f>_xlfn.XLOOKUP(VmSpecs[[#This Row],[Subnet]],NetworkReference[Subnet],NetworkReference[Virtual Network Resource Group])</f>
        <v>rg-pf2-network-aue-001</v>
      </c>
      <c r="D289" s="43" t="str">
        <f>_xlfn.XLOOKUP(VmSpecs[[#This Row],[Subnet]],NetworkReference[Subnet],NetworkReference[Virtual Network])</f>
        <v>vnet-pf2-workload-aue-001</v>
      </c>
      <c r="E289" s="132" t="s">
        <v>489</v>
      </c>
      <c r="F289" s="43" t="str">
        <f>_xlfn.XLOOKUP(VmSpecs[[#This Row],[Subnet]],NetworkReference[Subnet],NetworkReference[Virtual Network Peering])</f>
        <v>vnet-ninp-conn-pnp-hub-aue</v>
      </c>
      <c r="G289" s="43" t="str">
        <f>_xlfn.XLOOKUP(VmSpecs[[#This Row],[Subnet]],NetworkReference[Subnet],NetworkReference[Route Table])</f>
        <v>rt-sn-pfb-aue-pf2-web</v>
      </c>
      <c r="H289" s="43" t="str">
        <f>LOWER(VLOOKUP(VmSpecs[[#This Row],[Original Hostname (CMO)]],'SSOT Data'!A:K,10,FALSE))</f>
        <v>xho</v>
      </c>
      <c r="I28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89" s="44" t="s">
        <v>78</v>
      </c>
      <c r="K289" s="43" t="str">
        <f>_xlfn.CONCAT("vm",MID(VmSpecs[[#This Row],[Subnet]],4,3),VLOOKUP(VmSpecs[[#This Row],[Subscription]],NetworkReference[#All],2,FALSE),VmSpecs[[#This Row],[Service]],VmSpecs[[#This Row],[VM iteration (nn)]])</f>
        <v>vmpfbpf2xho04</v>
      </c>
      <c r="L289" s="45" t="s">
        <v>61</v>
      </c>
      <c r="M289" s="43" t="str">
        <f>VmSpecs[[#This Row],[VM Name]]&amp;".ninp.myhealthrecord.gov.au"</f>
        <v>vmpfbpf2xho04.ninp.myhealthrecord.gov.au</v>
      </c>
      <c r="N289" s="42" t="str">
        <f t="shared" si="4"/>
        <v>nic-001-vmpfbpf2xho04</v>
      </c>
      <c r="O289" s="106" t="s">
        <v>687</v>
      </c>
      <c r="P289" s="46" t="s">
        <v>63</v>
      </c>
      <c r="Q289" s="42" t="str">
        <f>VLOOKUP(VmSpecs[[#This Row],[Original Hostname (CMO)]],'SSOT Data'!A:E,5,FALSE)</f>
        <v>OEL7.9</v>
      </c>
      <c r="R289" s="42"/>
      <c r="S289" s="42" t="str">
        <f>_xlfn.CONCAT("avail-",LEFT(VmSpecs[[#This Row],[VM Name]],LEN(VmSpecs[[#This Row],[VM Name]])-2))</f>
        <v>avail-vmpfbpf2xho</v>
      </c>
      <c r="T289" s="42" t="str">
        <f>_xlfn.CONCAT("asg-",LEFT(VmSpecs[[#This Row],[VM Name]],LEN(VmSpecs[[#This Row],[VM Name]])-2))</f>
        <v>asg-vmpfbpf2xho</v>
      </c>
      <c r="U289" s="42" t="str">
        <f>_xlfn.CONCAT("nsg-",VmSpecs[[#This Row],[Subnet]])</f>
        <v>nsg-sn-pfb-aue-pf2-web</v>
      </c>
      <c r="V289" s="42"/>
      <c r="W289" s="43" t="str">
        <f>VLOOKUP(VmSpecs[[#This Row],[Original Hostname (CMO)]],'SSOT Data'!A:AX,50,FALSE)</f>
        <v>Standard_D4s_v4</v>
      </c>
      <c r="X289" s="43">
        <v>64</v>
      </c>
      <c r="Y289" s="43" t="s">
        <v>65</v>
      </c>
      <c r="Z289" s="43" t="str">
        <f>"osdisk-"&amp;VmSpecs[[#This Row],[VM Name]]</f>
        <v>osdisk-vmpfbpf2xho04</v>
      </c>
      <c r="AA289" s="47" t="s">
        <v>66</v>
      </c>
      <c r="AB289" s="73">
        <v>8</v>
      </c>
      <c r="AC289" s="74" t="s">
        <v>65</v>
      </c>
      <c r="AD289" s="84" t="str">
        <f>"disk-"&amp;VmSpecs[[#This Row],[VM Name]]&amp;"-001"</f>
        <v>disk-vmpfbpf2xho04-001</v>
      </c>
      <c r="AE289" s="73">
        <v>32</v>
      </c>
      <c r="AF289" s="74" t="s">
        <v>65</v>
      </c>
      <c r="AG289" s="85" t="str">
        <f>"disk-"&amp;VmSpecs[[#This Row],[VM Name]]&amp;"-002"</f>
        <v>disk-vmpfbpf2xho04-002</v>
      </c>
      <c r="AH289" s="59"/>
      <c r="AI289" s="42"/>
      <c r="AJ289" s="42"/>
      <c r="AK289" s="42"/>
      <c r="AL289" s="42" t="str">
        <f>MID(VmSpecs[[#This Row],[VM Name]],3,9)</f>
        <v>pfbpf2xho</v>
      </c>
      <c r="AM289" s="42" t="str" cm="1">
        <f t="array" ref="AM289">_xlfn.TEXTJOIN(CHAR(10), TRUE, IF(NfsExports[FMO Single VM IP]=VmSpecs[[#This Row],[IP]],NfsExports[FMO Export Summary],""))</f>
        <v>/apps/pcehr 30GB</v>
      </c>
      <c r="AN289" s="43" t="str" cm="1">
        <f t="array" ref="AN28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89" s="42"/>
      <c r="AP289" s="42" t="str">
        <f>VmSpecs[[#This Row],[Description]]</f>
        <v>OHS-DCX OSB</v>
      </c>
      <c r="AQ289" s="43"/>
      <c r="AR289" s="43" t="s">
        <v>64</v>
      </c>
      <c r="AS289" s="43" t="s">
        <v>64</v>
      </c>
      <c r="AT289" s="43" t="s">
        <v>64</v>
      </c>
      <c r="AU289" s="43" t="s">
        <v>64</v>
      </c>
      <c r="AV289" s="42" t="s">
        <v>66</v>
      </c>
      <c r="AW289" s="42" t="s">
        <v>67</v>
      </c>
      <c r="AX289" s="42" t="s">
        <v>68</v>
      </c>
      <c r="AY289" s="42" t="s">
        <v>64</v>
      </c>
      <c r="AZ289" s="42" t="s">
        <v>64</v>
      </c>
      <c r="BA28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"OHS-DCX OSB"
Application Service: "XHO"
Lifecycle: "PFB"</v>
      </c>
      <c r="BB289" s="78" t="s">
        <v>688</v>
      </c>
      <c r="BC289" s="83" t="str">
        <f>VLOOKUP(VmSpecs[[#This Row],[Original Hostname (CMO)]],'SSOT Data'!A:AJ,36,FALSE)</f>
        <v>OHS-DCX OSB</v>
      </c>
      <c r="BD289" s="42"/>
    </row>
    <row r="290" spans="1:56" x14ac:dyDescent="0.35">
      <c r="AB290"/>
    </row>
  </sheetData>
  <phoneticPr fontId="13" type="noConversion"/>
  <conditionalFormatting sqref="N290:N1048576 N209:N213 N215:N217 N219:N230 N232 N234:N235 O1:O289">
    <cfRule type="duplicateValues" dxfId="225" priority="26"/>
  </conditionalFormatting>
  <conditionalFormatting sqref="K1:K1048576">
    <cfRule type="duplicateValues" dxfId="224" priority="11"/>
  </conditionalFormatting>
  <conditionalFormatting sqref="BB1:BB1048576">
    <cfRule type="duplicateValues" dxfId="223" priority="10"/>
  </conditionalFormatting>
  <dataValidations count="4">
    <dataValidation type="list" allowBlank="1" showInputMessage="1" showErrorMessage="1" sqref="L2:L289" xr:uid="{A1DA1487-B11E-4E67-A93E-E6875D4D8ACE}">
      <formula1>Region</formula1>
    </dataValidation>
    <dataValidation type="list" allowBlank="1" showInputMessage="1" showErrorMessage="1" sqref="AF2:AF289 AC2:AC289 Y2:Y289" xr:uid="{E79AC888-2809-44F8-901A-32D755018677}">
      <formula1>DiskTypes</formula1>
    </dataValidation>
    <dataValidation type="list" errorStyle="warning" allowBlank="1" showErrorMessage="1" errorTitle="Check this out" error="If you expect to see the sbnet, check the NetworkReference Tab has it and that the conditional format covers teh full range." sqref="E2:E289" xr:uid="{456019F6-77BF-42A7-9865-206E4F3FB1BF}">
      <formula1>SNETs</formula1>
    </dataValidation>
    <dataValidation type="list" allowBlank="1" showInputMessage="1" showErrorMessage="1" sqref="A2:A289" xr:uid="{8C21697E-07AE-4007-B991-6DBFC9E6D5C6}">
      <formula1>Yes_No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857321B-AF38-43AB-AEEC-E5B6B4E957C5}">
          <x14:formula1>
            <xm:f>Data!$C$1:$C$2</xm:f>
          </x14:formula1>
          <xm:sqref>P2:P289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A325-955C-4375-8C59-8EC205CF503C}">
  <sheetPr codeName="Sheet17"/>
  <dimension ref="A1:BQ289"/>
  <sheetViews>
    <sheetView topLeftCell="AB188" workbookViewId="0">
      <selection activeCell="G4" sqref="G4:G10"/>
    </sheetView>
  </sheetViews>
  <sheetFormatPr defaultRowHeight="33" customHeight="1" x14ac:dyDescent="0.35"/>
  <cols>
    <col min="1" max="1" width="11.1796875" bestFit="1" customWidth="1"/>
    <col min="2" max="2" width="27.54296875" bestFit="1" customWidth="1"/>
    <col min="3" max="3" width="21.7265625" customWidth="1"/>
    <col min="4" max="4" width="25.1796875" customWidth="1"/>
    <col min="5" max="5" width="14.81640625" bestFit="1" customWidth="1"/>
    <col min="6" max="6" width="16.1796875" bestFit="1" customWidth="1"/>
    <col min="7" max="7" width="15.54296875" bestFit="1" customWidth="1"/>
    <col min="8" max="8" width="20.7265625" bestFit="1" customWidth="1"/>
    <col min="9" max="9" width="26.453125" customWidth="1"/>
    <col min="10" max="10" width="25.81640625" bestFit="1" customWidth="1"/>
    <col min="11" max="11" width="18.54296875" bestFit="1" customWidth="1"/>
    <col min="12" max="12" width="25" customWidth="1"/>
    <col min="13" max="13" width="18.26953125" customWidth="1"/>
    <col min="14" max="14" width="22.453125" bestFit="1" customWidth="1"/>
    <col min="15" max="15" width="20.7265625" bestFit="1" customWidth="1"/>
    <col min="16" max="16" width="9.7265625" customWidth="1"/>
    <col min="17" max="17" width="17.453125" customWidth="1"/>
    <col min="18" max="18" width="22.1796875" bestFit="1" customWidth="1"/>
    <col min="19" max="19" width="21.54296875" customWidth="1"/>
    <col min="20" max="20" width="26" customWidth="1"/>
    <col min="21" max="21" width="21.453125" bestFit="1" customWidth="1"/>
    <col min="22" max="22" width="16.1796875" customWidth="1"/>
    <col min="23" max="23" width="12.81640625" customWidth="1"/>
    <col min="24" max="24" width="27.453125" customWidth="1"/>
    <col min="25" max="25" width="16.1796875" customWidth="1"/>
    <col min="26" max="26" width="23.1796875" bestFit="1" customWidth="1"/>
    <col min="27" max="27" width="15.453125" customWidth="1"/>
    <col min="28" max="28" width="18.7265625" customWidth="1"/>
    <col min="29" max="29" width="30" customWidth="1"/>
    <col min="30" max="30" width="17.1796875" customWidth="1"/>
    <col min="31" max="31" width="15.453125" customWidth="1"/>
    <col min="32" max="32" width="18.7265625" customWidth="1"/>
    <col min="33" max="33" width="30" customWidth="1"/>
    <col min="34" max="34" width="17.1796875" customWidth="1"/>
    <col min="35" max="35" width="15.453125" customWidth="1"/>
    <col min="36" max="36" width="18.7265625" customWidth="1"/>
    <col min="37" max="37" width="30" customWidth="1"/>
    <col min="38" max="38" width="17.1796875" customWidth="1"/>
    <col min="39" max="39" width="15.453125" customWidth="1"/>
    <col min="40" max="40" width="18.7265625" customWidth="1"/>
    <col min="41" max="41" width="30" customWidth="1"/>
    <col min="42" max="42" width="17.1796875" customWidth="1"/>
    <col min="43" max="43" width="15.453125" customWidth="1"/>
    <col min="44" max="44" width="18.7265625" customWidth="1"/>
    <col min="45" max="45" width="30" customWidth="1"/>
    <col min="46" max="46" width="176" bestFit="1" customWidth="1"/>
    <col min="47" max="47" width="70.7265625" style="12" customWidth="1"/>
    <col min="48" max="48" width="12.1796875" bestFit="1" customWidth="1"/>
    <col min="49" max="49" width="11.54296875" bestFit="1" customWidth="1"/>
    <col min="50" max="50" width="15.1796875" bestFit="1" customWidth="1"/>
    <col min="51" max="51" width="12.54296875" bestFit="1" customWidth="1"/>
    <col min="52" max="52" width="16.81640625" bestFit="1" customWidth="1"/>
    <col min="53" max="53" width="13.7265625" bestFit="1" customWidth="1"/>
    <col min="54" max="54" width="15.453125" bestFit="1" customWidth="1"/>
    <col min="55" max="55" width="10.7265625" bestFit="1" customWidth="1"/>
    <col min="56" max="56" width="12.81640625" bestFit="1" customWidth="1"/>
    <col min="57" max="57" width="18" bestFit="1" customWidth="1"/>
    <col min="58" max="58" width="11.453125" bestFit="1" customWidth="1"/>
    <col min="59" max="59" width="18" bestFit="1" customWidth="1"/>
    <col min="60" max="60" width="21.54296875" bestFit="1" customWidth="1"/>
    <col min="61" max="61" width="19.81640625" bestFit="1" customWidth="1"/>
    <col min="62" max="62" width="20.54296875" bestFit="1" customWidth="1"/>
    <col min="63" max="63" width="24.7265625" bestFit="1" customWidth="1"/>
    <col min="64" max="64" width="22.81640625" bestFit="1" customWidth="1"/>
    <col min="65" max="65" width="23.7265625" bestFit="1" customWidth="1"/>
    <col min="67" max="68" width="22.54296875" customWidth="1"/>
    <col min="69" max="69" width="20" bestFit="1" customWidth="1"/>
  </cols>
  <sheetData>
    <row r="1" spans="1:69" ht="33" customHeight="1" x14ac:dyDescent="0.35">
      <c r="A1" t="s">
        <v>689</v>
      </c>
      <c r="B1" t="s">
        <v>690</v>
      </c>
      <c r="C1" t="s">
        <v>691</v>
      </c>
      <c r="D1" t="s">
        <v>692</v>
      </c>
      <c r="E1" t="s">
        <v>3</v>
      </c>
      <c r="F1" t="s">
        <v>693</v>
      </c>
      <c r="G1" t="s">
        <v>46</v>
      </c>
      <c r="H1" t="s">
        <v>694</v>
      </c>
      <c r="I1" t="s">
        <v>695</v>
      </c>
      <c r="J1" t="s">
        <v>696</v>
      </c>
      <c r="K1" t="s">
        <v>9</v>
      </c>
      <c r="L1" t="s">
        <v>697</v>
      </c>
      <c r="M1" t="s">
        <v>698</v>
      </c>
      <c r="N1" t="s">
        <v>699</v>
      </c>
      <c r="O1" t="s">
        <v>700</v>
      </c>
      <c r="P1" t="s">
        <v>701</v>
      </c>
      <c r="Q1" t="s">
        <v>702</v>
      </c>
      <c r="R1" t="s">
        <v>703</v>
      </c>
      <c r="S1" t="s">
        <v>704</v>
      </c>
      <c r="T1" t="s">
        <v>705</v>
      </c>
      <c r="U1" t="s">
        <v>706</v>
      </c>
      <c r="V1" t="s">
        <v>707</v>
      </c>
      <c r="W1" t="s">
        <v>708</v>
      </c>
      <c r="X1" t="s">
        <v>709</v>
      </c>
      <c r="Y1" t="s">
        <v>710</v>
      </c>
      <c r="Z1" t="s">
        <v>711</v>
      </c>
      <c r="AA1" t="s">
        <v>712</v>
      </c>
      <c r="AB1" t="s">
        <v>713</v>
      </c>
      <c r="AC1" t="s">
        <v>714</v>
      </c>
      <c r="AD1" t="s">
        <v>715</v>
      </c>
      <c r="AE1" t="s">
        <v>716</v>
      </c>
      <c r="AF1" t="s">
        <v>717</v>
      </c>
      <c r="AG1" t="s">
        <v>718</v>
      </c>
      <c r="AH1" t="s">
        <v>719</v>
      </c>
      <c r="AI1" t="s">
        <v>720</v>
      </c>
      <c r="AJ1" t="s">
        <v>721</v>
      </c>
      <c r="AK1" t="s">
        <v>722</v>
      </c>
      <c r="AL1" t="s">
        <v>723</v>
      </c>
      <c r="AM1" t="s">
        <v>724</v>
      </c>
      <c r="AN1" t="s">
        <v>725</v>
      </c>
      <c r="AO1" t="s">
        <v>726</v>
      </c>
      <c r="AP1" t="s">
        <v>727</v>
      </c>
      <c r="AQ1" t="s">
        <v>728</v>
      </c>
      <c r="AR1" t="s">
        <v>729</v>
      </c>
      <c r="AS1" t="s">
        <v>730</v>
      </c>
      <c r="AT1" t="s">
        <v>731</v>
      </c>
      <c r="AU1" s="12" t="s">
        <v>4</v>
      </c>
      <c r="AV1" t="s">
        <v>732</v>
      </c>
      <c r="AW1" t="s">
        <v>733</v>
      </c>
      <c r="AX1" t="s">
        <v>734</v>
      </c>
      <c r="AY1" t="s">
        <v>735</v>
      </c>
      <c r="AZ1" t="s">
        <v>736</v>
      </c>
      <c r="BA1" t="s">
        <v>737</v>
      </c>
      <c r="BB1" t="s">
        <v>738</v>
      </c>
      <c r="BC1" t="s">
        <v>739</v>
      </c>
      <c r="BD1" t="s">
        <v>740</v>
      </c>
      <c r="BE1" t="s">
        <v>741</v>
      </c>
      <c r="BF1" t="s">
        <v>742</v>
      </c>
      <c r="BG1" t="s">
        <v>743</v>
      </c>
      <c r="BH1" t="s">
        <v>744</v>
      </c>
      <c r="BI1" t="s">
        <v>745</v>
      </c>
      <c r="BJ1" t="s">
        <v>746</v>
      </c>
      <c r="BK1" t="s">
        <v>747</v>
      </c>
      <c r="BL1" t="s">
        <v>748</v>
      </c>
      <c r="BM1" t="s">
        <v>749</v>
      </c>
      <c r="BO1" t="s">
        <v>750</v>
      </c>
      <c r="BP1" t="s">
        <v>751</v>
      </c>
      <c r="BQ1" t="s">
        <v>752</v>
      </c>
    </row>
    <row r="2" spans="1:69" ht="33" customHeight="1" x14ac:dyDescent="0.35">
      <c r="A2" t="str">
        <f>IF(COUNTIF(AsBuilt[[#This Row],[VM Check]:[Data Disk 1 Type Check]],"Fail")&gt;0,"Fail","Pass")</f>
        <v>Fail</v>
      </c>
      <c r="B2" t="s">
        <v>753</v>
      </c>
      <c r="C2" t="s">
        <v>754</v>
      </c>
      <c r="D2" t="s">
        <v>755</v>
      </c>
      <c r="E2" t="s">
        <v>756</v>
      </c>
      <c r="F2" t="s">
        <v>757</v>
      </c>
      <c r="G2" t="s">
        <v>758</v>
      </c>
      <c r="H2" t="s">
        <v>759</v>
      </c>
      <c r="J2" t="s">
        <v>760</v>
      </c>
      <c r="K2" t="s">
        <v>761</v>
      </c>
      <c r="L2" t="s">
        <v>754</v>
      </c>
      <c r="M2" t="s">
        <v>762</v>
      </c>
      <c r="N2" t="s">
        <v>763</v>
      </c>
      <c r="O2" t="s">
        <v>764</v>
      </c>
      <c r="P2" t="s">
        <v>63</v>
      </c>
      <c r="R2" t="s">
        <v>765</v>
      </c>
      <c r="S2" t="s">
        <v>754</v>
      </c>
      <c r="U2" t="s">
        <v>766</v>
      </c>
      <c r="V2" t="s">
        <v>767</v>
      </c>
      <c r="W2">
        <v>64</v>
      </c>
      <c r="X2" t="s">
        <v>768</v>
      </c>
      <c r="Y2">
        <v>2</v>
      </c>
      <c r="Z2" t="s">
        <v>769</v>
      </c>
      <c r="AA2">
        <v>8</v>
      </c>
      <c r="AB2" t="s">
        <v>770</v>
      </c>
      <c r="AC2" t="s">
        <v>768</v>
      </c>
      <c r="AD2" t="s">
        <v>771</v>
      </c>
      <c r="AE2">
        <v>32</v>
      </c>
      <c r="AF2" t="s">
        <v>770</v>
      </c>
      <c r="AG2" t="s">
        <v>768</v>
      </c>
      <c r="AT2" t="s">
        <v>772</v>
      </c>
      <c r="AU2" t="s">
        <v>773</v>
      </c>
      <c r="AV2" t="str" cm="1">
        <f t="array" ref="AV2">IF(B2=_xlfn.XLOOKUP(B2,VmSpecs[[#All],[VM Name]],VmSpecs[[#All],[VM Name]],"Failed",0,1),"Pass","Fail")</f>
        <v>Fail</v>
      </c>
      <c r="AW2" t="str" cm="1">
        <f t="array" ref="AW2">IF(D2=_xlfn.XLOOKUP($B2,VmSpecs[[#All],[VM Name]],VmSpecs[[#All],[Virtual Machine Resource Groups]],"Failed",0,1),"Pass","Fail")</f>
        <v>Fail</v>
      </c>
      <c r="AX2" t="str" cm="1">
        <f t="array" ref="AX2">IF(_xlfn.IFS(E2="australiacentral","Australia Central 1",E2="australiaeast","Australia East",E2="australiasoutheast","Australia SouthEast")=_xlfn.XLOOKUP($B2,VmSpecs[[#All],[VM Name]],VmSpecs[[#All],[Region]],"Failed",0,1),"Pass","Fail")</f>
        <v>Fail</v>
      </c>
      <c r="AY2" t="str" cm="1">
        <f t="array" ref="AY2">IF(F2=_xlfn.XLOOKUP($B2,VmSpecs[[#All],[VM Name]],VmSpecs[[#All],[Instance size]],"Failed",0,1),"Pass","Fail")</f>
        <v>Fail</v>
      </c>
      <c r="AZ2" t="str" cm="1">
        <f t="array" ref="AZ2">IF(LOWER(H2)=_xlfn.XLOOKUP($B2,VmSpecs[[#All],[VM Name]],VmSpecs[[#All],[Availability Set Name]],"Failed",0,1),"Pass","Fail")</f>
        <v>Fail</v>
      </c>
      <c r="BA2" t="str" cm="1">
        <f t="array" ref="BA2">IF(J2=_xlfn.XLOOKUP($B2,VmSpecs[[#All],[VM Name]],VmSpecs[[#All],[Virtual Network]],"Failed",0,1),"Pass","Fail")</f>
        <v>Fail</v>
      </c>
      <c r="BB2" t="str" cm="1">
        <f t="array" ref="BB2">IF(K2=_xlfn.XLOOKUP($B2,VmSpecs[[#All],[VM Name]],VmSpecs[[#All],[Subnet]],"Failed",0,1),"Pass","Fail")</f>
        <v>Fail</v>
      </c>
      <c r="BC2" t="str" cm="1">
        <f t="array" ref="BC2">IF(M2=_xlfn.XLOOKUP($B2,VmSpecs[[#All],[VM Name]],VmSpecs[[#All],[IP]],"Failed",0,1),"Pass","Fail")</f>
        <v>Fail</v>
      </c>
      <c r="BD2" t="str" cm="1">
        <f t="array" ref="BD2">IF(N2=_xlfn.XLOOKUP($B2,VmSpecs[[#All],[VM Name]],VmSpecs[[#All],[Network Security Group]],"Failed",0,1),"Pass","Fail")</f>
        <v>Fail</v>
      </c>
      <c r="BE2" t="str" cm="1">
        <f t="array" ref="BE2">IF(O2=_xlfn.XLOOKUP($B2,VmSpecs[[#All],[VM Name]],VmSpecs[[#All],[Route Table Name]],"Failed",0,1),"Pass","Fail")</f>
        <v>Fail</v>
      </c>
      <c r="BF2" t="str" cm="1">
        <f t="array" ref="BF2">IF(P2=_xlfn.XLOOKUP($B2,VmSpecs[[#All],[VM Name]],VmSpecs[[#All],[Operating System]],"Failed",0,1),"Pass","Fail")</f>
        <v>Fail</v>
      </c>
      <c r="BG2" t="str" cm="1">
        <f t="array" ref="BG2">IF(R2=_xlfn.XLOOKUP($B2,VmSpecs[[#All],[VM Name]],VmSpecs[[#All],[NIC name]],"Failed",0,1),"Pass","Fail")</f>
        <v>Fail</v>
      </c>
      <c r="BH2" t="str" cm="1">
        <f t="array" ref="BH2">IF(U2=_xlfn.XLOOKUP($B2,VmSpecs[[#All],[VM Name]],VmSpecs[[#All],[OS Disk Name]],"Failed",0,1),"Pass","Fail")</f>
        <v>Fail</v>
      </c>
      <c r="BI2" t="str" cm="1">
        <f t="array" ref="BI2">IF(W2=_xlfn.XLOOKUP($B2,VmSpecs[[#All],[VM Name]],VmSpecs[[#All],[OS Disk Size]],"Failed",0,1),"Pass","Fail")</f>
        <v>Fail</v>
      </c>
      <c r="BJ2" t="str" cm="1">
        <f t="array" ref="BJ2">IF(LEFT(X2,4)=LEFT(_xlfn.XLOOKUP($B2,VmSpecs[[#All],[VM Name]],VmSpecs[[#All],[OS Disk Type (Standard SSD etc)]],"Failed",0,1),4),"Pass","Fail")</f>
        <v>Fail</v>
      </c>
      <c r="BK2" t="str" cm="1">
        <f t="array" ref="BK2">IF(Z2=_xlfn.XLOOKUP($B2,VmSpecs[[#All],[VM Name]],VmSpecs[[#All],[Data Disk1 Name]],"Failed",0,1),"Pass","Fail")</f>
        <v>Fail</v>
      </c>
      <c r="BL2" t="str" cm="1">
        <f t="array" ref="BL2">IF(AA2=_xlfn.XLOOKUP($B2,VmSpecs[[#All],[VM Name]],VmSpecs[[#All],[Data Disk1 Size]],"Failed",0,1),"Pass","Fail")</f>
        <v>Fail</v>
      </c>
      <c r="BM2" t="str" cm="1">
        <f t="array" ref="BM2">IF(LEFT(AC2,4)=LEFT(_xlfn.XLOOKUP($B2,VmSpecs[[#All],[VM Name]],VmSpecs[[#All],[Data Disk1 Type]],"Failed",0,1),4),"Pass","Fail")</f>
        <v>Fail</v>
      </c>
      <c r="BO2" t="e">
        <f>VLOOKUP('VM Specs'!K2,'As Built'!B:B,1,FALSE)</f>
        <v>#N/A</v>
      </c>
      <c r="BP2" t="str">
        <f>IF(ISNA(Table613[[#This Row],[VM Build Sheet Check]]),'VM Specs'!K2,"")</f>
        <v>vmpfbpf2aea01</v>
      </c>
    </row>
    <row r="3" spans="1:69" ht="33" customHeight="1" x14ac:dyDescent="0.35">
      <c r="A3" t="str">
        <f>IF(COUNTIF(AsBuilt[[#This Row],[VM Check]:[Data Disk 1 Type Check]],"Fail")&gt;0,"Fail","Pass")</f>
        <v>Fail</v>
      </c>
      <c r="B3" t="s">
        <v>774</v>
      </c>
      <c r="C3" t="s">
        <v>754</v>
      </c>
      <c r="D3" t="s">
        <v>755</v>
      </c>
      <c r="E3" t="s">
        <v>756</v>
      </c>
      <c r="F3" t="s">
        <v>757</v>
      </c>
      <c r="G3" t="s">
        <v>758</v>
      </c>
      <c r="H3" t="s">
        <v>775</v>
      </c>
      <c r="J3" t="s">
        <v>760</v>
      </c>
      <c r="K3" t="s">
        <v>761</v>
      </c>
      <c r="L3" t="s">
        <v>754</v>
      </c>
      <c r="M3" t="s">
        <v>776</v>
      </c>
      <c r="N3" t="s">
        <v>763</v>
      </c>
      <c r="O3" t="s">
        <v>764</v>
      </c>
      <c r="P3" t="s">
        <v>63</v>
      </c>
      <c r="R3" t="s">
        <v>777</v>
      </c>
      <c r="S3" t="s">
        <v>754</v>
      </c>
      <c r="U3" t="s">
        <v>778</v>
      </c>
      <c r="V3" t="s">
        <v>767</v>
      </c>
      <c r="W3">
        <v>64</v>
      </c>
      <c r="X3" t="s">
        <v>768</v>
      </c>
      <c r="Y3">
        <v>2</v>
      </c>
      <c r="Z3" t="s">
        <v>779</v>
      </c>
      <c r="AA3">
        <v>8</v>
      </c>
      <c r="AB3" t="s">
        <v>770</v>
      </c>
      <c r="AC3" t="s">
        <v>768</v>
      </c>
      <c r="AD3" t="s">
        <v>780</v>
      </c>
      <c r="AE3">
        <v>32</v>
      </c>
      <c r="AF3" t="s">
        <v>770</v>
      </c>
      <c r="AG3" t="s">
        <v>768</v>
      </c>
      <c r="AT3" t="s">
        <v>772</v>
      </c>
      <c r="AU3" t="s">
        <v>781</v>
      </c>
      <c r="AV3" t="str" cm="1">
        <f t="array" ref="AV3">IF(B3=_xlfn.XLOOKUP(B3,VmSpecs[[#All],[VM Name]],VmSpecs[[#All],[VM Name]],"Failed",0,1),"Pass","Fail")</f>
        <v>Fail</v>
      </c>
      <c r="AW3" t="str" cm="1">
        <f t="array" ref="AW3">IF(D3=_xlfn.XLOOKUP($B3,VmSpecs[[#All],[VM Name]],VmSpecs[[#All],[Virtual Machine Resource Groups]],"Failed",0,1),"Pass","Fail")</f>
        <v>Fail</v>
      </c>
      <c r="AX3" t="str" cm="1">
        <f t="array" ref="AX3">IF(_xlfn.IFS(E3="australiacentral","Australia Central 1",E3="australiaeast","Australia East",E3="australiasoutheast","Australia SouthEast")=_xlfn.XLOOKUP($B3,VmSpecs[[#All],[VM Name]],VmSpecs[[#All],[Region]],"Failed",0,1),"Pass","Fail")</f>
        <v>Fail</v>
      </c>
      <c r="AY3" t="str" cm="1">
        <f t="array" ref="AY3">IF(F3=_xlfn.XLOOKUP($B3,VmSpecs[[#All],[VM Name]],VmSpecs[[#All],[Instance size]],"Failed",0,1),"Pass","Fail")</f>
        <v>Fail</v>
      </c>
      <c r="AZ3" t="str" cm="1">
        <f t="array" ref="AZ3">IF(LOWER(H3)=_xlfn.XLOOKUP($B3,VmSpecs[[#All],[VM Name]],VmSpecs[[#All],[Availability Set Name]],"Failed",0,1),"Pass","Fail")</f>
        <v>Fail</v>
      </c>
      <c r="BA3" t="str" cm="1">
        <f t="array" ref="BA3">IF(J3=_xlfn.XLOOKUP($B3,VmSpecs[[#All],[VM Name]],VmSpecs[[#All],[Virtual Network]],"Failed",0,1),"Pass","Fail")</f>
        <v>Fail</v>
      </c>
      <c r="BB3" t="str" cm="1">
        <f t="array" ref="BB3">IF(K3=_xlfn.XLOOKUP($B3,VmSpecs[[#All],[VM Name]],VmSpecs[[#All],[Subnet]],"Failed",0,1),"Pass","Fail")</f>
        <v>Fail</v>
      </c>
      <c r="BC3" t="str" cm="1">
        <f t="array" ref="BC3">IF(M3=_xlfn.XLOOKUP($B3,VmSpecs[[#All],[VM Name]],VmSpecs[[#All],[IP]],"Failed",0,1),"Pass","Fail")</f>
        <v>Fail</v>
      </c>
      <c r="BD3" t="str" cm="1">
        <f t="array" ref="BD3">IF(N3=_xlfn.XLOOKUP($B3,VmSpecs[[#All],[VM Name]],VmSpecs[[#All],[Network Security Group]],"Failed",0,1),"Pass","Fail")</f>
        <v>Fail</v>
      </c>
      <c r="BE3" t="str" cm="1">
        <f t="array" ref="BE3">IF(O3=_xlfn.XLOOKUP($B3,VmSpecs[[#All],[VM Name]],VmSpecs[[#All],[Route Table Name]],"Failed",0,1),"Pass","Fail")</f>
        <v>Fail</v>
      </c>
      <c r="BF3" t="str" cm="1">
        <f t="array" ref="BF3">IF(P3=_xlfn.XLOOKUP($B3,VmSpecs[[#All],[VM Name]],VmSpecs[[#All],[Operating System]],"Failed",0,1),"Pass","Fail")</f>
        <v>Fail</v>
      </c>
      <c r="BG3" t="str" cm="1">
        <f t="array" ref="BG3">IF(R3=_xlfn.XLOOKUP($B3,VmSpecs[[#All],[VM Name]],VmSpecs[[#All],[NIC name]],"Failed",0,1),"Pass","Fail")</f>
        <v>Fail</v>
      </c>
      <c r="BH3" t="str" cm="1">
        <f t="array" ref="BH3">IF(U3=_xlfn.XLOOKUP($B3,VmSpecs[[#All],[VM Name]],VmSpecs[[#All],[OS Disk Name]],"Failed",0,1),"Pass","Fail")</f>
        <v>Fail</v>
      </c>
      <c r="BI3" t="str" cm="1">
        <f t="array" ref="BI3">IF(W3=_xlfn.XLOOKUP($B3,VmSpecs[[#All],[VM Name]],VmSpecs[[#All],[OS Disk Size]],"Failed",0,1),"Pass","Fail")</f>
        <v>Fail</v>
      </c>
      <c r="BJ3" t="str" cm="1">
        <f t="array" ref="BJ3">IF(LEFT(X3,4)=LEFT(_xlfn.XLOOKUP($B3,VmSpecs[[#All],[VM Name]],VmSpecs[[#All],[OS Disk Type (Standard SSD etc)]],"Failed",0,1),4),"Pass","Fail")</f>
        <v>Fail</v>
      </c>
      <c r="BK3" t="str" cm="1">
        <f t="array" ref="BK3">IF(Z3=_xlfn.XLOOKUP($B3,VmSpecs[[#All],[VM Name]],VmSpecs[[#All],[Data Disk1 Name]],"Failed",0,1),"Pass","Fail")</f>
        <v>Fail</v>
      </c>
      <c r="BL3" t="str" cm="1">
        <f t="array" ref="BL3">IF(AA3=_xlfn.XLOOKUP($B3,VmSpecs[[#All],[VM Name]],VmSpecs[[#All],[Data Disk1 Size]],"Failed",0,1),"Pass","Fail")</f>
        <v>Fail</v>
      </c>
      <c r="BM3" t="str" cm="1">
        <f t="array" ref="BM3">IF(LEFT(AC3,4)=LEFT(_xlfn.XLOOKUP($B3,VmSpecs[[#All],[VM Name]],VmSpecs[[#All],[Data Disk1 Type]],"Failed",0,1),4),"Pass","Fail")</f>
        <v>Fail</v>
      </c>
      <c r="BO3" t="e">
        <f>VLOOKUP('VM Specs'!K3,'As Built'!B:B,1,FALSE)</f>
        <v>#N/A</v>
      </c>
      <c r="BP3" t="str">
        <f>IF(ISNA(Table613[[#This Row],[VM Build Sheet Check]]),'VM Specs'!K3,"")</f>
        <v>vmpfbpf2aep01</v>
      </c>
    </row>
    <row r="4" spans="1:69" ht="33" customHeight="1" x14ac:dyDescent="0.35">
      <c r="A4" t="str">
        <f>IF(COUNTIF(AsBuilt[[#This Row],[VM Check]:[Data Disk 1 Type Check]],"Fail")&gt;0,"Fail","Pass")</f>
        <v>Fail</v>
      </c>
      <c r="B4" t="s">
        <v>782</v>
      </c>
      <c r="C4" t="s">
        <v>754</v>
      </c>
      <c r="D4" t="s">
        <v>755</v>
      </c>
      <c r="E4" t="s">
        <v>756</v>
      </c>
      <c r="F4" t="s">
        <v>757</v>
      </c>
      <c r="G4" t="s">
        <v>758</v>
      </c>
      <c r="H4" t="s">
        <v>775</v>
      </c>
      <c r="J4" t="s">
        <v>760</v>
      </c>
      <c r="K4" t="s">
        <v>761</v>
      </c>
      <c r="L4" t="s">
        <v>754</v>
      </c>
      <c r="M4" t="s">
        <v>783</v>
      </c>
      <c r="N4" t="s">
        <v>763</v>
      </c>
      <c r="O4" t="s">
        <v>764</v>
      </c>
      <c r="P4" t="s">
        <v>63</v>
      </c>
      <c r="R4" t="s">
        <v>784</v>
      </c>
      <c r="S4" t="s">
        <v>754</v>
      </c>
      <c r="U4" t="s">
        <v>785</v>
      </c>
      <c r="V4" t="s">
        <v>767</v>
      </c>
      <c r="W4">
        <v>64</v>
      </c>
      <c r="X4" t="s">
        <v>768</v>
      </c>
      <c r="Y4">
        <v>2</v>
      </c>
      <c r="Z4" t="s">
        <v>786</v>
      </c>
      <c r="AA4">
        <v>8</v>
      </c>
      <c r="AB4" t="s">
        <v>770</v>
      </c>
      <c r="AC4" t="s">
        <v>768</v>
      </c>
      <c r="AD4" t="s">
        <v>787</v>
      </c>
      <c r="AE4">
        <v>32</v>
      </c>
      <c r="AF4" t="s">
        <v>770</v>
      </c>
      <c r="AG4" t="s">
        <v>768</v>
      </c>
      <c r="AT4" t="s">
        <v>772</v>
      </c>
      <c r="AU4" t="s">
        <v>781</v>
      </c>
      <c r="AV4" t="str" cm="1">
        <f t="array" ref="AV4">IF(B4=_xlfn.XLOOKUP(B4,VmSpecs[[#All],[VM Name]],VmSpecs[[#All],[VM Name]],"Failed",0,1),"Pass","Fail")</f>
        <v>Fail</v>
      </c>
      <c r="AW4" t="str" cm="1">
        <f t="array" ref="AW4">IF(D4=_xlfn.XLOOKUP($B4,VmSpecs[[#All],[VM Name]],VmSpecs[[#All],[Virtual Machine Resource Groups]],"Failed",0,1),"Pass","Fail")</f>
        <v>Fail</v>
      </c>
      <c r="AX4" t="str" cm="1">
        <f t="array" ref="AX4">IF(_xlfn.IFS(E4="australiacentral","Australia Central 1",E4="australiaeast","Australia East",E4="australiasoutheast","Australia SouthEast")=_xlfn.XLOOKUP($B4,VmSpecs[[#All],[VM Name]],VmSpecs[[#All],[Region]],"Failed",0,1),"Pass","Fail")</f>
        <v>Fail</v>
      </c>
      <c r="AY4" t="str" cm="1">
        <f t="array" ref="AY4">IF(F4=_xlfn.XLOOKUP($B4,VmSpecs[[#All],[VM Name]],VmSpecs[[#All],[Instance size]],"Failed",0,1),"Pass","Fail")</f>
        <v>Fail</v>
      </c>
      <c r="AZ4" t="str" cm="1">
        <f t="array" ref="AZ4">IF(LOWER(H4)=_xlfn.XLOOKUP($B4,VmSpecs[[#All],[VM Name]],VmSpecs[[#All],[Availability Set Name]],"Failed",0,1),"Pass","Fail")</f>
        <v>Fail</v>
      </c>
      <c r="BA4" t="str" cm="1">
        <f t="array" ref="BA4">IF(J4=_xlfn.XLOOKUP($B4,VmSpecs[[#All],[VM Name]],VmSpecs[[#All],[Virtual Network]],"Failed",0,1),"Pass","Fail")</f>
        <v>Fail</v>
      </c>
      <c r="BB4" t="str" cm="1">
        <f t="array" ref="BB4">IF(K4=_xlfn.XLOOKUP($B4,VmSpecs[[#All],[VM Name]],VmSpecs[[#All],[Subnet]],"Failed",0,1),"Pass","Fail")</f>
        <v>Fail</v>
      </c>
      <c r="BC4" t="str" cm="1">
        <f t="array" ref="BC4">IF(M4=_xlfn.XLOOKUP($B4,VmSpecs[[#All],[VM Name]],VmSpecs[[#All],[IP]],"Failed",0,1),"Pass","Fail")</f>
        <v>Fail</v>
      </c>
      <c r="BD4" t="str" cm="1">
        <f t="array" ref="BD4">IF(N4=_xlfn.XLOOKUP($B4,VmSpecs[[#All],[VM Name]],VmSpecs[[#All],[Network Security Group]],"Failed",0,1),"Pass","Fail")</f>
        <v>Fail</v>
      </c>
      <c r="BE4" t="str" cm="1">
        <f t="array" ref="BE4">IF(O4=_xlfn.XLOOKUP($B4,VmSpecs[[#All],[VM Name]],VmSpecs[[#All],[Route Table Name]],"Failed",0,1),"Pass","Fail")</f>
        <v>Fail</v>
      </c>
      <c r="BF4" t="str" cm="1">
        <f t="array" ref="BF4">IF(P4=_xlfn.XLOOKUP($B4,VmSpecs[[#All],[VM Name]],VmSpecs[[#All],[Operating System]],"Failed",0,1),"Pass","Fail")</f>
        <v>Fail</v>
      </c>
      <c r="BG4" t="str" cm="1">
        <f t="array" ref="BG4">IF(R4=_xlfn.XLOOKUP($B4,VmSpecs[[#All],[VM Name]],VmSpecs[[#All],[NIC name]],"Failed",0,1),"Pass","Fail")</f>
        <v>Fail</v>
      </c>
      <c r="BH4" t="str" cm="1">
        <f t="array" ref="BH4">IF(U4=_xlfn.XLOOKUP($B4,VmSpecs[[#All],[VM Name]],VmSpecs[[#All],[OS Disk Name]],"Failed",0,1),"Pass","Fail")</f>
        <v>Fail</v>
      </c>
      <c r="BI4" t="str" cm="1">
        <f t="array" ref="BI4">IF(W4=_xlfn.XLOOKUP($B4,VmSpecs[[#All],[VM Name]],VmSpecs[[#All],[OS Disk Size]],"Failed",0,1),"Pass","Fail")</f>
        <v>Fail</v>
      </c>
      <c r="BJ4" t="str" cm="1">
        <f t="array" ref="BJ4">IF(LEFT(X4,4)=LEFT(_xlfn.XLOOKUP($B4,VmSpecs[[#All],[VM Name]],VmSpecs[[#All],[OS Disk Type (Standard SSD etc)]],"Failed",0,1),4),"Pass","Fail")</f>
        <v>Fail</v>
      </c>
      <c r="BK4" t="str" cm="1">
        <f t="array" ref="BK4">IF(Z4=_xlfn.XLOOKUP($B4,VmSpecs[[#All],[VM Name]],VmSpecs[[#All],[Data Disk1 Name]],"Failed",0,1),"Pass","Fail")</f>
        <v>Fail</v>
      </c>
      <c r="BL4" t="str" cm="1">
        <f t="array" ref="BL4">IF(AA4=_xlfn.XLOOKUP($B4,VmSpecs[[#All],[VM Name]],VmSpecs[[#All],[Data Disk1 Size]],"Failed",0,1),"Pass","Fail")</f>
        <v>Fail</v>
      </c>
      <c r="BM4" t="str" cm="1">
        <f t="array" ref="BM4">IF(LEFT(AC4,4)=LEFT(_xlfn.XLOOKUP($B4,VmSpecs[[#All],[VM Name]],VmSpecs[[#All],[Data Disk1 Type]],"Failed",0,1),4),"Pass","Fail")</f>
        <v>Fail</v>
      </c>
      <c r="BO4" t="e">
        <f>VLOOKUP('VM Specs'!K4,'As Built'!B:B,1,FALSE)</f>
        <v>#N/A</v>
      </c>
      <c r="BP4" t="str">
        <f>IF(ISNA(Table613[[#This Row],[VM Build Sheet Check]]),'VM Specs'!K4,"")</f>
        <v>vmpfbpf2aep02</v>
      </c>
    </row>
    <row r="5" spans="1:69" ht="33" customHeight="1" x14ac:dyDescent="0.35">
      <c r="A5" t="str">
        <f>IF(COUNTIF(AsBuilt[[#This Row],[VM Check]:[Data Disk 1 Type Check]],"Fail")&gt;0,"Fail","Pass")</f>
        <v>Fail</v>
      </c>
      <c r="B5" t="s">
        <v>788</v>
      </c>
      <c r="C5" t="s">
        <v>754</v>
      </c>
      <c r="D5" t="s">
        <v>755</v>
      </c>
      <c r="E5" t="s">
        <v>756</v>
      </c>
      <c r="F5" t="s">
        <v>757</v>
      </c>
      <c r="G5" t="s">
        <v>758</v>
      </c>
      <c r="H5" t="s">
        <v>775</v>
      </c>
      <c r="J5" t="s">
        <v>760</v>
      </c>
      <c r="K5" t="s">
        <v>761</v>
      </c>
      <c r="L5" t="s">
        <v>754</v>
      </c>
      <c r="M5" t="s">
        <v>789</v>
      </c>
      <c r="N5" t="s">
        <v>763</v>
      </c>
      <c r="O5" t="s">
        <v>764</v>
      </c>
      <c r="P5" t="s">
        <v>63</v>
      </c>
      <c r="R5" t="s">
        <v>790</v>
      </c>
      <c r="S5" t="s">
        <v>754</v>
      </c>
      <c r="U5" t="s">
        <v>791</v>
      </c>
      <c r="V5" t="s">
        <v>767</v>
      </c>
      <c r="W5">
        <v>64</v>
      </c>
      <c r="X5" t="s">
        <v>768</v>
      </c>
      <c r="Y5">
        <v>2</v>
      </c>
      <c r="Z5" t="s">
        <v>792</v>
      </c>
      <c r="AA5">
        <v>8</v>
      </c>
      <c r="AB5" t="s">
        <v>770</v>
      </c>
      <c r="AC5" t="s">
        <v>768</v>
      </c>
      <c r="AD5" t="s">
        <v>793</v>
      </c>
      <c r="AE5">
        <v>32</v>
      </c>
      <c r="AF5" t="s">
        <v>770</v>
      </c>
      <c r="AG5" t="s">
        <v>768</v>
      </c>
      <c r="AT5" t="s">
        <v>772</v>
      </c>
      <c r="AU5" t="s">
        <v>781</v>
      </c>
      <c r="AV5" t="str" cm="1">
        <f t="array" ref="AV5">IF(B5=_xlfn.XLOOKUP(B5,VmSpecs[[#All],[VM Name]],VmSpecs[[#All],[VM Name]],"Failed",0,1),"Pass","Fail")</f>
        <v>Fail</v>
      </c>
      <c r="AW5" t="str" cm="1">
        <f t="array" ref="AW5">IF(D5=_xlfn.XLOOKUP($B5,VmSpecs[[#All],[VM Name]],VmSpecs[[#All],[Virtual Machine Resource Groups]],"Failed",0,1),"Pass","Fail")</f>
        <v>Fail</v>
      </c>
      <c r="AX5" t="str" cm="1">
        <f t="array" ref="AX5">IF(_xlfn.IFS(E5="australiacentral","Australia Central 1",E5="australiaeast","Australia East",E5="australiasoutheast","Australia SouthEast")=_xlfn.XLOOKUP($B5,VmSpecs[[#All],[VM Name]],VmSpecs[[#All],[Region]],"Failed",0,1),"Pass","Fail")</f>
        <v>Fail</v>
      </c>
      <c r="AY5" t="str" cm="1">
        <f t="array" ref="AY5">IF(F5=_xlfn.XLOOKUP($B5,VmSpecs[[#All],[VM Name]],VmSpecs[[#All],[Instance size]],"Failed",0,1),"Pass","Fail")</f>
        <v>Fail</v>
      </c>
      <c r="AZ5" t="str" cm="1">
        <f t="array" ref="AZ5">IF(LOWER(H5)=_xlfn.XLOOKUP($B5,VmSpecs[[#All],[VM Name]],VmSpecs[[#All],[Availability Set Name]],"Failed",0,1),"Pass","Fail")</f>
        <v>Fail</v>
      </c>
      <c r="BA5" t="str" cm="1">
        <f t="array" ref="BA5">IF(J5=_xlfn.XLOOKUP($B5,VmSpecs[[#All],[VM Name]],VmSpecs[[#All],[Virtual Network]],"Failed",0,1),"Pass","Fail")</f>
        <v>Fail</v>
      </c>
      <c r="BB5" t="str" cm="1">
        <f t="array" ref="BB5">IF(K5=_xlfn.XLOOKUP($B5,VmSpecs[[#All],[VM Name]],VmSpecs[[#All],[Subnet]],"Failed",0,1),"Pass","Fail")</f>
        <v>Fail</v>
      </c>
      <c r="BC5" t="str" cm="1">
        <f t="array" ref="BC5">IF(M5=_xlfn.XLOOKUP($B5,VmSpecs[[#All],[VM Name]],VmSpecs[[#All],[IP]],"Failed",0,1),"Pass","Fail")</f>
        <v>Fail</v>
      </c>
      <c r="BD5" t="str" cm="1">
        <f t="array" ref="BD5">IF(N5=_xlfn.XLOOKUP($B5,VmSpecs[[#All],[VM Name]],VmSpecs[[#All],[Network Security Group]],"Failed",0,1),"Pass","Fail")</f>
        <v>Fail</v>
      </c>
      <c r="BE5" t="str" cm="1">
        <f t="array" ref="BE5">IF(O5=_xlfn.XLOOKUP($B5,VmSpecs[[#All],[VM Name]],VmSpecs[[#All],[Route Table Name]],"Failed",0,1),"Pass","Fail")</f>
        <v>Fail</v>
      </c>
      <c r="BF5" t="str" cm="1">
        <f t="array" ref="BF5">IF(P5=_xlfn.XLOOKUP($B5,VmSpecs[[#All],[VM Name]],VmSpecs[[#All],[Operating System]],"Failed",0,1),"Pass","Fail")</f>
        <v>Fail</v>
      </c>
      <c r="BG5" t="str" cm="1">
        <f t="array" ref="BG5">IF(R5=_xlfn.XLOOKUP($B5,VmSpecs[[#All],[VM Name]],VmSpecs[[#All],[NIC name]],"Failed",0,1),"Pass","Fail")</f>
        <v>Fail</v>
      </c>
      <c r="BH5" t="str" cm="1">
        <f t="array" ref="BH5">IF(U5=_xlfn.XLOOKUP($B5,VmSpecs[[#All],[VM Name]],VmSpecs[[#All],[OS Disk Name]],"Failed",0,1),"Pass","Fail")</f>
        <v>Fail</v>
      </c>
      <c r="BI5" t="str" cm="1">
        <f t="array" ref="BI5">IF(W5=_xlfn.XLOOKUP($B5,VmSpecs[[#All],[VM Name]],VmSpecs[[#All],[OS Disk Size]],"Failed",0,1),"Pass","Fail")</f>
        <v>Fail</v>
      </c>
      <c r="BJ5" t="str" cm="1">
        <f t="array" ref="BJ5">IF(LEFT(X5,4)=LEFT(_xlfn.XLOOKUP($B5,VmSpecs[[#All],[VM Name]],VmSpecs[[#All],[OS Disk Type (Standard SSD etc)]],"Failed",0,1),4),"Pass","Fail")</f>
        <v>Fail</v>
      </c>
      <c r="BK5" t="str" cm="1">
        <f t="array" ref="BK5">IF(Z5=_xlfn.XLOOKUP($B5,VmSpecs[[#All],[VM Name]],VmSpecs[[#All],[Data Disk1 Name]],"Failed",0,1),"Pass","Fail")</f>
        <v>Fail</v>
      </c>
      <c r="BL5" t="str" cm="1">
        <f t="array" ref="BL5">IF(AA5=_xlfn.XLOOKUP($B5,VmSpecs[[#All],[VM Name]],VmSpecs[[#All],[Data Disk1 Size]],"Failed",0,1),"Pass","Fail")</f>
        <v>Fail</v>
      </c>
      <c r="BM5" t="str" cm="1">
        <f t="array" ref="BM5">IF(LEFT(AC5,4)=LEFT(_xlfn.XLOOKUP($B5,VmSpecs[[#All],[VM Name]],VmSpecs[[#All],[Data Disk1 Type]],"Failed",0,1),4),"Pass","Fail")</f>
        <v>Fail</v>
      </c>
      <c r="BO5" t="e">
        <f>VLOOKUP('VM Specs'!K5,'As Built'!B:B,1,FALSE)</f>
        <v>#N/A</v>
      </c>
      <c r="BP5" t="str">
        <f>IF(ISNA(Table613[[#This Row],[VM Build Sheet Check]]),'VM Specs'!K5,"")</f>
        <v>vmpfbpf2aep03</v>
      </c>
    </row>
    <row r="6" spans="1:69" ht="33" customHeight="1" x14ac:dyDescent="0.35">
      <c r="A6" t="str">
        <f>IF(COUNTIF(AsBuilt[[#This Row],[VM Check]:[Data Disk 1 Type Check]],"Fail")&gt;0,"Fail","Pass")</f>
        <v>Fail</v>
      </c>
      <c r="B6" t="s">
        <v>794</v>
      </c>
      <c r="C6" t="s">
        <v>754</v>
      </c>
      <c r="D6" t="s">
        <v>755</v>
      </c>
      <c r="E6" t="s">
        <v>756</v>
      </c>
      <c r="F6" t="s">
        <v>757</v>
      </c>
      <c r="G6" t="s">
        <v>758</v>
      </c>
      <c r="H6" t="s">
        <v>775</v>
      </c>
      <c r="J6" t="s">
        <v>760</v>
      </c>
      <c r="K6" t="s">
        <v>761</v>
      </c>
      <c r="L6" t="s">
        <v>754</v>
      </c>
      <c r="M6" t="s">
        <v>795</v>
      </c>
      <c r="N6" t="s">
        <v>763</v>
      </c>
      <c r="O6" t="s">
        <v>764</v>
      </c>
      <c r="P6" t="s">
        <v>63</v>
      </c>
      <c r="R6" t="s">
        <v>796</v>
      </c>
      <c r="S6" t="s">
        <v>754</v>
      </c>
      <c r="U6" t="s">
        <v>797</v>
      </c>
      <c r="V6" t="s">
        <v>767</v>
      </c>
      <c r="W6">
        <v>64</v>
      </c>
      <c r="X6" t="s">
        <v>768</v>
      </c>
      <c r="Y6">
        <v>2</v>
      </c>
      <c r="Z6" t="s">
        <v>798</v>
      </c>
      <c r="AA6">
        <v>8</v>
      </c>
      <c r="AB6" t="s">
        <v>770</v>
      </c>
      <c r="AC6" t="s">
        <v>768</v>
      </c>
      <c r="AD6" t="s">
        <v>799</v>
      </c>
      <c r="AE6">
        <v>32</v>
      </c>
      <c r="AF6" t="s">
        <v>770</v>
      </c>
      <c r="AG6" t="s">
        <v>768</v>
      </c>
      <c r="AT6" t="s">
        <v>772</v>
      </c>
      <c r="AU6" t="s">
        <v>781</v>
      </c>
      <c r="AV6" t="str" cm="1">
        <f t="array" ref="AV6">IF(B6=_xlfn.XLOOKUP(B6,VmSpecs[[#All],[VM Name]],VmSpecs[[#All],[VM Name]],"Failed",0,1),"Pass","Fail")</f>
        <v>Fail</v>
      </c>
      <c r="AW6" t="str" cm="1">
        <f t="array" ref="AW6">IF(D6=_xlfn.XLOOKUP($B6,VmSpecs[[#All],[VM Name]],VmSpecs[[#All],[Virtual Machine Resource Groups]],"Failed",0,1),"Pass","Fail")</f>
        <v>Fail</v>
      </c>
      <c r="AX6" t="str" cm="1">
        <f t="array" ref="AX6">IF(_xlfn.IFS(E6="australiacentral","Australia Central 1",E6="australiaeast","Australia East",E6="australiasoutheast","Australia SouthEast")=_xlfn.XLOOKUP($B6,VmSpecs[[#All],[VM Name]],VmSpecs[[#All],[Region]],"Failed",0,1),"Pass","Fail")</f>
        <v>Fail</v>
      </c>
      <c r="AY6" t="str" cm="1">
        <f t="array" ref="AY6">IF(F6=_xlfn.XLOOKUP($B6,VmSpecs[[#All],[VM Name]],VmSpecs[[#All],[Instance size]],"Failed",0,1),"Pass","Fail")</f>
        <v>Fail</v>
      </c>
      <c r="AZ6" t="str" cm="1">
        <f t="array" ref="AZ6">IF(LOWER(H6)=_xlfn.XLOOKUP($B6,VmSpecs[[#All],[VM Name]],VmSpecs[[#All],[Availability Set Name]],"Failed",0,1),"Pass","Fail")</f>
        <v>Fail</v>
      </c>
      <c r="BA6" t="str" cm="1">
        <f t="array" ref="BA6">IF(J6=_xlfn.XLOOKUP($B6,VmSpecs[[#All],[VM Name]],VmSpecs[[#All],[Virtual Network]],"Failed",0,1),"Pass","Fail")</f>
        <v>Fail</v>
      </c>
      <c r="BB6" t="str" cm="1">
        <f t="array" ref="BB6">IF(K6=_xlfn.XLOOKUP($B6,VmSpecs[[#All],[VM Name]],VmSpecs[[#All],[Subnet]],"Failed",0,1),"Pass","Fail")</f>
        <v>Fail</v>
      </c>
      <c r="BC6" t="str" cm="1">
        <f t="array" ref="BC6">IF(M6=_xlfn.XLOOKUP($B6,VmSpecs[[#All],[VM Name]],VmSpecs[[#All],[IP]],"Failed",0,1),"Pass","Fail")</f>
        <v>Fail</v>
      </c>
      <c r="BD6" t="str" cm="1">
        <f t="array" ref="BD6">IF(N6=_xlfn.XLOOKUP($B6,VmSpecs[[#All],[VM Name]],VmSpecs[[#All],[Network Security Group]],"Failed",0,1),"Pass","Fail")</f>
        <v>Fail</v>
      </c>
      <c r="BE6" t="str" cm="1">
        <f t="array" ref="BE6">IF(O6=_xlfn.XLOOKUP($B6,VmSpecs[[#All],[VM Name]],VmSpecs[[#All],[Route Table Name]],"Failed",0,1),"Pass","Fail")</f>
        <v>Fail</v>
      </c>
      <c r="BF6" t="str" cm="1">
        <f t="array" ref="BF6">IF(P6=_xlfn.XLOOKUP($B6,VmSpecs[[#All],[VM Name]],VmSpecs[[#All],[Operating System]],"Failed",0,1),"Pass","Fail")</f>
        <v>Fail</v>
      </c>
      <c r="BG6" t="str" cm="1">
        <f t="array" ref="BG6">IF(R6=_xlfn.XLOOKUP($B6,VmSpecs[[#All],[VM Name]],VmSpecs[[#All],[NIC name]],"Failed",0,1),"Pass","Fail")</f>
        <v>Fail</v>
      </c>
      <c r="BH6" t="str" cm="1">
        <f t="array" ref="BH6">IF(U6=_xlfn.XLOOKUP($B6,VmSpecs[[#All],[VM Name]],VmSpecs[[#All],[OS Disk Name]],"Failed",0,1),"Pass","Fail")</f>
        <v>Fail</v>
      </c>
      <c r="BI6" t="str" cm="1">
        <f t="array" ref="BI6">IF(W6=_xlfn.XLOOKUP($B6,VmSpecs[[#All],[VM Name]],VmSpecs[[#All],[OS Disk Size]],"Failed",0,1),"Pass","Fail")</f>
        <v>Fail</v>
      </c>
      <c r="BJ6" t="str" cm="1">
        <f t="array" ref="BJ6">IF(LEFT(X6,4)=LEFT(_xlfn.XLOOKUP($B6,VmSpecs[[#All],[VM Name]],VmSpecs[[#All],[OS Disk Type (Standard SSD etc)]],"Failed",0,1),4),"Pass","Fail")</f>
        <v>Fail</v>
      </c>
      <c r="BK6" t="str" cm="1">
        <f t="array" ref="BK6">IF(Z6=_xlfn.XLOOKUP($B6,VmSpecs[[#All],[VM Name]],VmSpecs[[#All],[Data Disk1 Name]],"Failed",0,1),"Pass","Fail")</f>
        <v>Fail</v>
      </c>
      <c r="BL6" t="str" cm="1">
        <f t="array" ref="BL6">IF(AA6=_xlfn.XLOOKUP($B6,VmSpecs[[#All],[VM Name]],VmSpecs[[#All],[Data Disk1 Size]],"Failed",0,1),"Pass","Fail")</f>
        <v>Fail</v>
      </c>
      <c r="BM6" t="str" cm="1">
        <f t="array" ref="BM6">IF(LEFT(AC6,4)=LEFT(_xlfn.XLOOKUP($B6,VmSpecs[[#All],[VM Name]],VmSpecs[[#All],[Data Disk1 Type]],"Failed",0,1),4),"Pass","Fail")</f>
        <v>Fail</v>
      </c>
      <c r="BO6" t="e">
        <f>VLOOKUP('VM Specs'!K6,'As Built'!B:B,1,FALSE)</f>
        <v>#N/A</v>
      </c>
      <c r="BP6" t="str">
        <f>IF(ISNA(Table613[[#This Row],[VM Build Sheet Check]]),'VM Specs'!K6,"")</f>
        <v>vmpfbpf2aep04</v>
      </c>
    </row>
    <row r="7" spans="1:69" ht="33" customHeight="1" x14ac:dyDescent="0.35">
      <c r="A7" t="str">
        <f>IF(COUNTIF(AsBuilt[[#This Row],[VM Check]:[Data Disk 1 Type Check]],"Fail")&gt;0,"Fail","Pass")</f>
        <v>Fail</v>
      </c>
      <c r="B7" t="s">
        <v>800</v>
      </c>
      <c r="C7" t="s">
        <v>754</v>
      </c>
      <c r="D7" t="s">
        <v>755</v>
      </c>
      <c r="E7" t="s">
        <v>756</v>
      </c>
      <c r="F7" t="s">
        <v>801</v>
      </c>
      <c r="G7" t="s">
        <v>758</v>
      </c>
      <c r="H7" t="s">
        <v>775</v>
      </c>
      <c r="J7" t="s">
        <v>760</v>
      </c>
      <c r="K7" t="s">
        <v>761</v>
      </c>
      <c r="L7" t="s">
        <v>754</v>
      </c>
      <c r="M7" t="s">
        <v>802</v>
      </c>
      <c r="N7" t="s">
        <v>763</v>
      </c>
      <c r="O7" t="s">
        <v>764</v>
      </c>
      <c r="P7" t="s">
        <v>63</v>
      </c>
      <c r="R7" t="s">
        <v>803</v>
      </c>
      <c r="S7" t="s">
        <v>754</v>
      </c>
      <c r="U7" t="s">
        <v>804</v>
      </c>
      <c r="V7" t="s">
        <v>767</v>
      </c>
      <c r="W7">
        <v>64</v>
      </c>
      <c r="X7" t="s">
        <v>768</v>
      </c>
      <c r="Y7">
        <v>2</v>
      </c>
      <c r="Z7" t="s">
        <v>805</v>
      </c>
      <c r="AA7">
        <v>8</v>
      </c>
      <c r="AB7" t="s">
        <v>770</v>
      </c>
      <c r="AC7" t="s">
        <v>768</v>
      </c>
      <c r="AD7" t="s">
        <v>806</v>
      </c>
      <c r="AE7">
        <v>32</v>
      </c>
      <c r="AF7" t="s">
        <v>770</v>
      </c>
      <c r="AG7" t="s">
        <v>768</v>
      </c>
      <c r="AT7" t="s">
        <v>772</v>
      </c>
      <c r="AU7" t="s">
        <v>781</v>
      </c>
      <c r="AV7" t="str" cm="1">
        <f t="array" ref="AV7">IF(B7=_xlfn.XLOOKUP(B7,VmSpecs[[#All],[VM Name]],VmSpecs[[#All],[VM Name]],"Failed",0,1),"Pass","Fail")</f>
        <v>Fail</v>
      </c>
      <c r="AW7" t="str" cm="1">
        <f t="array" ref="AW7">IF(D7=_xlfn.XLOOKUP($B7,VmSpecs[[#All],[VM Name]],VmSpecs[[#All],[Virtual Machine Resource Groups]],"Failed",0,1),"Pass","Fail")</f>
        <v>Fail</v>
      </c>
      <c r="AX7" t="str" cm="1">
        <f t="array" ref="AX7">IF(_xlfn.IFS(E7="australiacentral","Australia Central 1",E7="australiaeast","Australia East",E7="australiasoutheast","Australia SouthEast")=_xlfn.XLOOKUP($B7,VmSpecs[[#All],[VM Name]],VmSpecs[[#All],[Region]],"Failed",0,1),"Pass","Fail")</f>
        <v>Fail</v>
      </c>
      <c r="AY7" t="str" cm="1">
        <f t="array" ref="AY7">IF(F7=_xlfn.XLOOKUP($B7,VmSpecs[[#All],[VM Name]],VmSpecs[[#All],[Instance size]],"Failed",0,1),"Pass","Fail")</f>
        <v>Fail</v>
      </c>
      <c r="AZ7" t="str" cm="1">
        <f t="array" ref="AZ7">IF(LOWER(H7)=_xlfn.XLOOKUP($B7,VmSpecs[[#All],[VM Name]],VmSpecs[[#All],[Availability Set Name]],"Failed",0,1),"Pass","Fail")</f>
        <v>Fail</v>
      </c>
      <c r="BA7" t="str" cm="1">
        <f t="array" ref="BA7">IF(J7=_xlfn.XLOOKUP($B7,VmSpecs[[#All],[VM Name]],VmSpecs[[#All],[Virtual Network]],"Failed",0,1),"Pass","Fail")</f>
        <v>Fail</v>
      </c>
      <c r="BB7" t="str" cm="1">
        <f t="array" ref="BB7">IF(K7=_xlfn.XLOOKUP($B7,VmSpecs[[#All],[VM Name]],VmSpecs[[#All],[Subnet]],"Failed",0,1),"Pass","Fail")</f>
        <v>Fail</v>
      </c>
      <c r="BC7" t="str" cm="1">
        <f t="array" ref="BC7">IF(M7=_xlfn.XLOOKUP($B7,VmSpecs[[#All],[VM Name]],VmSpecs[[#All],[IP]],"Failed",0,1),"Pass","Fail")</f>
        <v>Fail</v>
      </c>
      <c r="BD7" t="str" cm="1">
        <f t="array" ref="BD7">IF(N7=_xlfn.XLOOKUP($B7,VmSpecs[[#All],[VM Name]],VmSpecs[[#All],[Network Security Group]],"Failed",0,1),"Pass","Fail")</f>
        <v>Fail</v>
      </c>
      <c r="BE7" t="str" cm="1">
        <f t="array" ref="BE7">IF(O7=_xlfn.XLOOKUP($B7,VmSpecs[[#All],[VM Name]],VmSpecs[[#All],[Route Table Name]],"Failed",0,1),"Pass","Fail")</f>
        <v>Fail</v>
      </c>
      <c r="BF7" t="str" cm="1">
        <f t="array" ref="BF7">IF(P7=_xlfn.XLOOKUP($B7,VmSpecs[[#All],[VM Name]],VmSpecs[[#All],[Operating System]],"Failed",0,1),"Pass","Fail")</f>
        <v>Fail</v>
      </c>
      <c r="BG7" t="str" cm="1">
        <f t="array" ref="BG7">IF(R7=_xlfn.XLOOKUP($B7,VmSpecs[[#All],[VM Name]],VmSpecs[[#All],[NIC name]],"Failed",0,1),"Pass","Fail")</f>
        <v>Fail</v>
      </c>
      <c r="BH7" t="str" cm="1">
        <f t="array" ref="BH7">IF(U7=_xlfn.XLOOKUP($B7,VmSpecs[[#All],[VM Name]],VmSpecs[[#All],[OS Disk Name]],"Failed",0,1),"Pass","Fail")</f>
        <v>Fail</v>
      </c>
      <c r="BI7" t="str" cm="1">
        <f t="array" ref="BI7">IF(W7=_xlfn.XLOOKUP($B7,VmSpecs[[#All],[VM Name]],VmSpecs[[#All],[OS Disk Size]],"Failed",0,1),"Pass","Fail")</f>
        <v>Fail</v>
      </c>
      <c r="BJ7" t="str" cm="1">
        <f t="array" ref="BJ7">IF(LEFT(X7,4)=LEFT(_xlfn.XLOOKUP($B7,VmSpecs[[#All],[VM Name]],VmSpecs[[#All],[OS Disk Type (Standard SSD etc)]],"Failed",0,1),4),"Pass","Fail")</f>
        <v>Fail</v>
      </c>
      <c r="BK7" t="str" cm="1">
        <f t="array" ref="BK7">IF(Z7=_xlfn.XLOOKUP($B7,VmSpecs[[#All],[VM Name]],VmSpecs[[#All],[Data Disk1 Name]],"Failed",0,1),"Pass","Fail")</f>
        <v>Fail</v>
      </c>
      <c r="BL7" t="str" cm="1">
        <f t="array" ref="BL7">IF(AA7=_xlfn.XLOOKUP($B7,VmSpecs[[#All],[VM Name]],VmSpecs[[#All],[Data Disk1 Size]],"Failed",0,1),"Pass","Fail")</f>
        <v>Fail</v>
      </c>
      <c r="BM7" t="str" cm="1">
        <f t="array" ref="BM7">IF(LEFT(AC7,4)=LEFT(_xlfn.XLOOKUP($B7,VmSpecs[[#All],[VM Name]],VmSpecs[[#All],[Data Disk1 Type]],"Failed",0,1),4),"Pass","Fail")</f>
        <v>Fail</v>
      </c>
      <c r="BO7" t="e">
        <f>VLOOKUP('VM Specs'!K7,'As Built'!B:B,1,FALSE)</f>
        <v>#N/A</v>
      </c>
      <c r="BP7" t="str">
        <f>IF(ISNA(Table613[[#This Row],[VM Build Sheet Check]]),'VM Specs'!K7,"")</f>
        <v>vmpfbpf2aep05</v>
      </c>
    </row>
    <row r="8" spans="1:69" ht="33" customHeight="1" x14ac:dyDescent="0.35">
      <c r="A8" t="str">
        <f>IF(COUNTIF(AsBuilt[[#This Row],[VM Check]:[Data Disk 1 Type Check]],"Fail")&gt;0,"Fail","Pass")</f>
        <v>Fail</v>
      </c>
      <c r="B8" t="s">
        <v>807</v>
      </c>
      <c r="C8" t="s">
        <v>754</v>
      </c>
      <c r="D8" t="s">
        <v>755</v>
      </c>
      <c r="E8" t="s">
        <v>756</v>
      </c>
      <c r="F8" t="s">
        <v>801</v>
      </c>
      <c r="G8" t="s">
        <v>758</v>
      </c>
      <c r="H8" t="s">
        <v>775</v>
      </c>
      <c r="J8" t="s">
        <v>760</v>
      </c>
      <c r="K8" t="s">
        <v>761</v>
      </c>
      <c r="L8" t="s">
        <v>754</v>
      </c>
      <c r="M8" t="s">
        <v>808</v>
      </c>
      <c r="N8" t="s">
        <v>763</v>
      </c>
      <c r="O8" t="s">
        <v>764</v>
      </c>
      <c r="P8" t="s">
        <v>63</v>
      </c>
      <c r="R8" t="s">
        <v>809</v>
      </c>
      <c r="S8" t="s">
        <v>754</v>
      </c>
      <c r="U8" t="s">
        <v>810</v>
      </c>
      <c r="V8" t="s">
        <v>767</v>
      </c>
      <c r="W8">
        <v>64</v>
      </c>
      <c r="X8" t="s">
        <v>768</v>
      </c>
      <c r="Y8">
        <v>2</v>
      </c>
      <c r="Z8" t="s">
        <v>811</v>
      </c>
      <c r="AA8">
        <v>8</v>
      </c>
      <c r="AB8" t="s">
        <v>770</v>
      </c>
      <c r="AC8" t="s">
        <v>768</v>
      </c>
      <c r="AD8" t="s">
        <v>812</v>
      </c>
      <c r="AE8">
        <v>32</v>
      </c>
      <c r="AF8" t="s">
        <v>770</v>
      </c>
      <c r="AG8" t="s">
        <v>768</v>
      </c>
      <c r="AT8" t="s">
        <v>772</v>
      </c>
      <c r="AU8" t="s">
        <v>781</v>
      </c>
      <c r="AV8" t="str" cm="1">
        <f t="array" ref="AV8">IF(B8=_xlfn.XLOOKUP(B8,VmSpecs[[#All],[VM Name]],VmSpecs[[#All],[VM Name]],"Failed",0,1),"Pass","Fail")</f>
        <v>Fail</v>
      </c>
      <c r="AW8" t="str" cm="1">
        <f t="array" ref="AW8">IF(D8=_xlfn.XLOOKUP($B8,VmSpecs[[#All],[VM Name]],VmSpecs[[#All],[Virtual Machine Resource Groups]],"Failed",0,1),"Pass","Fail")</f>
        <v>Fail</v>
      </c>
      <c r="AX8" t="str" cm="1">
        <f t="array" ref="AX8">IF(_xlfn.IFS(E8="australiacentral","Australia Central 1",E8="australiaeast","Australia East",E8="australiasoutheast","Australia SouthEast")=_xlfn.XLOOKUP($B8,VmSpecs[[#All],[VM Name]],VmSpecs[[#All],[Region]],"Failed",0,1),"Pass","Fail")</f>
        <v>Fail</v>
      </c>
      <c r="AY8" t="str" cm="1">
        <f t="array" ref="AY8">IF(F8=_xlfn.XLOOKUP($B8,VmSpecs[[#All],[VM Name]],VmSpecs[[#All],[Instance size]],"Failed",0,1),"Pass","Fail")</f>
        <v>Fail</v>
      </c>
      <c r="AZ8" t="str" cm="1">
        <f t="array" ref="AZ8">IF(LOWER(H8)=_xlfn.XLOOKUP($B8,VmSpecs[[#All],[VM Name]],VmSpecs[[#All],[Availability Set Name]],"Failed",0,1),"Pass","Fail")</f>
        <v>Fail</v>
      </c>
      <c r="BA8" t="str" cm="1">
        <f t="array" ref="BA8">IF(J8=_xlfn.XLOOKUP($B8,VmSpecs[[#All],[VM Name]],VmSpecs[[#All],[Virtual Network]],"Failed",0,1),"Pass","Fail")</f>
        <v>Fail</v>
      </c>
      <c r="BB8" t="str" cm="1">
        <f t="array" ref="BB8">IF(K8=_xlfn.XLOOKUP($B8,VmSpecs[[#All],[VM Name]],VmSpecs[[#All],[Subnet]],"Failed",0,1),"Pass","Fail")</f>
        <v>Fail</v>
      </c>
      <c r="BC8" t="str" cm="1">
        <f t="array" ref="BC8">IF(M8=_xlfn.XLOOKUP($B8,VmSpecs[[#All],[VM Name]],VmSpecs[[#All],[IP]],"Failed",0,1),"Pass","Fail")</f>
        <v>Fail</v>
      </c>
      <c r="BD8" t="str" cm="1">
        <f t="array" ref="BD8">IF(N8=_xlfn.XLOOKUP($B8,VmSpecs[[#All],[VM Name]],VmSpecs[[#All],[Network Security Group]],"Failed",0,1),"Pass","Fail")</f>
        <v>Fail</v>
      </c>
      <c r="BE8" t="str" cm="1">
        <f t="array" ref="BE8">IF(O8=_xlfn.XLOOKUP($B8,VmSpecs[[#All],[VM Name]],VmSpecs[[#All],[Route Table Name]],"Failed",0,1),"Pass","Fail")</f>
        <v>Fail</v>
      </c>
      <c r="BF8" t="str" cm="1">
        <f t="array" ref="BF8">IF(P8=_xlfn.XLOOKUP($B8,VmSpecs[[#All],[VM Name]],VmSpecs[[#All],[Operating System]],"Failed",0,1),"Pass","Fail")</f>
        <v>Fail</v>
      </c>
      <c r="BG8" t="str" cm="1">
        <f t="array" ref="BG8">IF(R8=_xlfn.XLOOKUP($B8,VmSpecs[[#All],[VM Name]],VmSpecs[[#All],[NIC name]],"Failed",0,1),"Pass","Fail")</f>
        <v>Fail</v>
      </c>
      <c r="BH8" t="str" cm="1">
        <f t="array" ref="BH8">IF(U8=_xlfn.XLOOKUP($B8,VmSpecs[[#All],[VM Name]],VmSpecs[[#All],[OS Disk Name]],"Failed",0,1),"Pass","Fail")</f>
        <v>Fail</v>
      </c>
      <c r="BI8" t="str" cm="1">
        <f t="array" ref="BI8">IF(W8=_xlfn.XLOOKUP($B8,VmSpecs[[#All],[VM Name]],VmSpecs[[#All],[OS Disk Size]],"Failed",0,1),"Pass","Fail")</f>
        <v>Fail</v>
      </c>
      <c r="BJ8" t="str" cm="1">
        <f t="array" ref="BJ8">IF(LEFT(X8,4)=LEFT(_xlfn.XLOOKUP($B8,VmSpecs[[#All],[VM Name]],VmSpecs[[#All],[OS Disk Type (Standard SSD etc)]],"Failed",0,1),4),"Pass","Fail")</f>
        <v>Fail</v>
      </c>
      <c r="BK8" t="str" cm="1">
        <f t="array" ref="BK8">IF(Z8=_xlfn.XLOOKUP($B8,VmSpecs[[#All],[VM Name]],VmSpecs[[#All],[Data Disk1 Name]],"Failed",0,1),"Pass","Fail")</f>
        <v>Fail</v>
      </c>
      <c r="BL8" t="str" cm="1">
        <f t="array" ref="BL8">IF(AA8=_xlfn.XLOOKUP($B8,VmSpecs[[#All],[VM Name]],VmSpecs[[#All],[Data Disk1 Size]],"Failed",0,1),"Pass","Fail")</f>
        <v>Fail</v>
      </c>
      <c r="BM8" t="str" cm="1">
        <f t="array" ref="BM8">IF(LEFT(AC8,4)=LEFT(_xlfn.XLOOKUP($B8,VmSpecs[[#All],[VM Name]],VmSpecs[[#All],[Data Disk1 Type]],"Failed",0,1),4),"Pass","Fail")</f>
        <v>Fail</v>
      </c>
      <c r="BO8" t="e">
        <f>VLOOKUP('VM Specs'!K8,'As Built'!B:B,1,FALSE)</f>
        <v>#N/A</v>
      </c>
      <c r="BP8" t="str">
        <f>IF(ISNA(Table613[[#This Row],[VM Build Sheet Check]]),'VM Specs'!K8,"")</f>
        <v>vmpfbpf2aep06</v>
      </c>
    </row>
    <row r="9" spans="1:69" ht="33" customHeight="1" x14ac:dyDescent="0.35">
      <c r="A9" t="str">
        <f>IF(COUNTIF(AsBuilt[[#This Row],[VM Check]:[Data Disk 1 Type Check]],"Fail")&gt;0,"Fail","Pass")</f>
        <v>Fail</v>
      </c>
      <c r="B9" t="s">
        <v>813</v>
      </c>
      <c r="C9" t="s">
        <v>754</v>
      </c>
      <c r="D9" t="s">
        <v>755</v>
      </c>
      <c r="E9" t="s">
        <v>756</v>
      </c>
      <c r="F9" t="s">
        <v>801</v>
      </c>
      <c r="G9" t="s">
        <v>758</v>
      </c>
      <c r="H9" t="s">
        <v>814</v>
      </c>
      <c r="J9" t="s">
        <v>760</v>
      </c>
      <c r="K9" t="s">
        <v>761</v>
      </c>
      <c r="L9" t="s">
        <v>754</v>
      </c>
      <c r="M9" t="s">
        <v>815</v>
      </c>
      <c r="N9" t="s">
        <v>763</v>
      </c>
      <c r="O9" t="s">
        <v>764</v>
      </c>
      <c r="P9" t="s">
        <v>63</v>
      </c>
      <c r="R9" t="s">
        <v>816</v>
      </c>
      <c r="S9" t="s">
        <v>754</v>
      </c>
      <c r="U9" t="s">
        <v>817</v>
      </c>
      <c r="V9" t="s">
        <v>767</v>
      </c>
      <c r="W9">
        <v>64</v>
      </c>
      <c r="X9" t="s">
        <v>768</v>
      </c>
      <c r="Y9">
        <v>2</v>
      </c>
      <c r="Z9" t="s">
        <v>818</v>
      </c>
      <c r="AA9">
        <v>8</v>
      </c>
      <c r="AB9" t="s">
        <v>770</v>
      </c>
      <c r="AC9" t="s">
        <v>768</v>
      </c>
      <c r="AD9" t="s">
        <v>819</v>
      </c>
      <c r="AE9">
        <v>32</v>
      </c>
      <c r="AF9" t="s">
        <v>770</v>
      </c>
      <c r="AG9" t="s">
        <v>768</v>
      </c>
      <c r="AT9" t="s">
        <v>772</v>
      </c>
      <c r="AU9" t="s">
        <v>820</v>
      </c>
      <c r="AV9" t="str" cm="1">
        <f t="array" ref="AV9">IF(B9=_xlfn.XLOOKUP(B9,VmSpecs[[#All],[VM Name]],VmSpecs[[#All],[VM Name]],"Failed",0,1),"Pass","Fail")</f>
        <v>Fail</v>
      </c>
      <c r="AW9" t="str" cm="1">
        <f t="array" ref="AW9">IF(D9=_xlfn.XLOOKUP($B9,VmSpecs[[#All],[VM Name]],VmSpecs[[#All],[Virtual Machine Resource Groups]],"Failed",0,1),"Pass","Fail")</f>
        <v>Fail</v>
      </c>
      <c r="AX9" t="str" cm="1">
        <f t="array" ref="AX9">IF(_xlfn.IFS(E9="australiacentral","Australia Central 1",E9="australiaeast","Australia East",E9="australiasoutheast","Australia SouthEast")=_xlfn.XLOOKUP($B9,VmSpecs[[#All],[VM Name]],VmSpecs[[#All],[Region]],"Failed",0,1),"Pass","Fail")</f>
        <v>Fail</v>
      </c>
      <c r="AY9" t="str" cm="1">
        <f t="array" ref="AY9">IF(F9=_xlfn.XLOOKUP($B9,VmSpecs[[#All],[VM Name]],VmSpecs[[#All],[Instance size]],"Failed",0,1),"Pass","Fail")</f>
        <v>Fail</v>
      </c>
      <c r="AZ9" t="str" cm="1">
        <f t="array" ref="AZ9">IF(LOWER(H9)=_xlfn.XLOOKUP($B9,VmSpecs[[#All],[VM Name]],VmSpecs[[#All],[Availability Set Name]],"Failed",0,1),"Pass","Fail")</f>
        <v>Fail</v>
      </c>
      <c r="BA9" t="str" cm="1">
        <f t="array" ref="BA9">IF(J9=_xlfn.XLOOKUP($B9,VmSpecs[[#All],[VM Name]],VmSpecs[[#All],[Virtual Network]],"Failed",0,1),"Pass","Fail")</f>
        <v>Fail</v>
      </c>
      <c r="BB9" t="str" cm="1">
        <f t="array" ref="BB9">IF(K9=_xlfn.XLOOKUP($B9,VmSpecs[[#All],[VM Name]],VmSpecs[[#All],[Subnet]],"Failed",0,1),"Pass","Fail")</f>
        <v>Fail</v>
      </c>
      <c r="BC9" t="str" cm="1">
        <f t="array" ref="BC9">IF(M9=_xlfn.XLOOKUP($B9,VmSpecs[[#All],[VM Name]],VmSpecs[[#All],[IP]],"Failed",0,1),"Pass","Fail")</f>
        <v>Fail</v>
      </c>
      <c r="BD9" t="str" cm="1">
        <f t="array" ref="BD9">IF(N9=_xlfn.XLOOKUP($B9,VmSpecs[[#All],[VM Name]],VmSpecs[[#All],[Network Security Group]],"Failed",0,1),"Pass","Fail")</f>
        <v>Fail</v>
      </c>
      <c r="BE9" t="str" cm="1">
        <f t="array" ref="BE9">IF(O9=_xlfn.XLOOKUP($B9,VmSpecs[[#All],[VM Name]],VmSpecs[[#All],[Route Table Name]],"Failed",0,1),"Pass","Fail")</f>
        <v>Fail</v>
      </c>
      <c r="BF9" t="str" cm="1">
        <f t="array" ref="BF9">IF(P9=_xlfn.XLOOKUP($B9,VmSpecs[[#All],[VM Name]],VmSpecs[[#All],[Operating System]],"Failed",0,1),"Pass","Fail")</f>
        <v>Fail</v>
      </c>
      <c r="BG9" t="str" cm="1">
        <f t="array" ref="BG9">IF(R9=_xlfn.XLOOKUP($B9,VmSpecs[[#All],[VM Name]],VmSpecs[[#All],[NIC name]],"Failed",0,1),"Pass","Fail")</f>
        <v>Fail</v>
      </c>
      <c r="BH9" t="str" cm="1">
        <f t="array" ref="BH9">IF(U9=_xlfn.XLOOKUP($B9,VmSpecs[[#All],[VM Name]],VmSpecs[[#All],[OS Disk Name]],"Failed",0,1),"Pass","Fail")</f>
        <v>Fail</v>
      </c>
      <c r="BI9" t="str" cm="1">
        <f t="array" ref="BI9">IF(W9=_xlfn.XLOOKUP($B9,VmSpecs[[#All],[VM Name]],VmSpecs[[#All],[OS Disk Size]],"Failed",0,1),"Pass","Fail")</f>
        <v>Fail</v>
      </c>
      <c r="BJ9" t="str" cm="1">
        <f t="array" ref="BJ9">IF(LEFT(X9,4)=LEFT(_xlfn.XLOOKUP($B9,VmSpecs[[#All],[VM Name]],VmSpecs[[#All],[OS Disk Type (Standard SSD etc)]],"Failed",0,1),4),"Pass","Fail")</f>
        <v>Fail</v>
      </c>
      <c r="BK9" t="str" cm="1">
        <f t="array" ref="BK9">IF(Z9=_xlfn.XLOOKUP($B9,VmSpecs[[#All],[VM Name]],VmSpecs[[#All],[Data Disk1 Name]],"Failed",0,1),"Pass","Fail")</f>
        <v>Fail</v>
      </c>
      <c r="BL9" t="str" cm="1">
        <f t="array" ref="BL9">IF(AA9=_xlfn.XLOOKUP($B9,VmSpecs[[#All],[VM Name]],VmSpecs[[#All],[Data Disk1 Size]],"Failed",0,1),"Pass","Fail")</f>
        <v>Fail</v>
      </c>
      <c r="BM9" t="str" cm="1">
        <f t="array" ref="BM9">IF(LEFT(AC9,4)=LEFT(_xlfn.XLOOKUP($B9,VmSpecs[[#All],[VM Name]],VmSpecs[[#All],[Data Disk1 Type]],"Failed",0,1),4),"Pass","Fail")</f>
        <v>Fail</v>
      </c>
      <c r="BO9" t="e">
        <f>VLOOKUP('VM Specs'!K9,'As Built'!B:B,1,FALSE)</f>
        <v>#N/A</v>
      </c>
      <c r="BP9" t="str">
        <f>IF(ISNA(Table613[[#This Row],[VM Build Sheet Check]]),'VM Specs'!K9,"")</f>
        <v>vmpfbpf2crp01</v>
      </c>
    </row>
    <row r="10" spans="1:69" ht="33" customHeight="1" x14ac:dyDescent="0.35">
      <c r="A10" t="str">
        <f>IF(COUNTIF(AsBuilt[[#This Row],[VM Check]:[Data Disk 1 Type Check]],"Fail")&gt;0,"Fail","Pass")</f>
        <v>Fail</v>
      </c>
      <c r="B10" t="s">
        <v>821</v>
      </c>
      <c r="C10" t="s">
        <v>754</v>
      </c>
      <c r="D10" t="s">
        <v>755</v>
      </c>
      <c r="E10" t="s">
        <v>756</v>
      </c>
      <c r="F10" t="s">
        <v>801</v>
      </c>
      <c r="G10" t="s">
        <v>758</v>
      </c>
      <c r="H10" t="s">
        <v>814</v>
      </c>
      <c r="J10" t="s">
        <v>760</v>
      </c>
      <c r="K10" t="s">
        <v>761</v>
      </c>
      <c r="L10" t="s">
        <v>754</v>
      </c>
      <c r="M10" t="s">
        <v>822</v>
      </c>
      <c r="N10" t="s">
        <v>763</v>
      </c>
      <c r="O10" t="s">
        <v>764</v>
      </c>
      <c r="P10" t="s">
        <v>63</v>
      </c>
      <c r="R10" t="s">
        <v>823</v>
      </c>
      <c r="S10" t="s">
        <v>754</v>
      </c>
      <c r="U10" t="s">
        <v>824</v>
      </c>
      <c r="V10" t="s">
        <v>767</v>
      </c>
      <c r="W10">
        <v>64</v>
      </c>
      <c r="X10" t="s">
        <v>768</v>
      </c>
      <c r="Y10">
        <v>2</v>
      </c>
      <c r="Z10" t="s">
        <v>825</v>
      </c>
      <c r="AA10">
        <v>8</v>
      </c>
      <c r="AB10" t="s">
        <v>770</v>
      </c>
      <c r="AC10" t="s">
        <v>768</v>
      </c>
      <c r="AD10" t="s">
        <v>826</v>
      </c>
      <c r="AE10">
        <v>32</v>
      </c>
      <c r="AF10" t="s">
        <v>770</v>
      </c>
      <c r="AG10" t="s">
        <v>768</v>
      </c>
      <c r="AT10" t="s">
        <v>772</v>
      </c>
      <c r="AU10" t="s">
        <v>827</v>
      </c>
      <c r="AV10" t="str" cm="1">
        <f t="array" ref="AV10">IF(B10=_xlfn.XLOOKUP(B10,VmSpecs[[#All],[VM Name]],VmSpecs[[#All],[VM Name]],"Failed",0,1),"Pass","Fail")</f>
        <v>Fail</v>
      </c>
      <c r="AW10" t="str" cm="1">
        <f t="array" ref="AW10">IF(D10=_xlfn.XLOOKUP($B10,VmSpecs[[#All],[VM Name]],VmSpecs[[#All],[Virtual Machine Resource Groups]],"Failed",0,1),"Pass","Fail")</f>
        <v>Fail</v>
      </c>
      <c r="AX10" t="str" cm="1">
        <f t="array" ref="AX10">IF(_xlfn.IFS(E10="australiacentral","Australia Central 1",E10="australiaeast","Australia East",E10="australiasoutheast","Australia SouthEast")=_xlfn.XLOOKUP($B10,VmSpecs[[#All],[VM Name]],VmSpecs[[#All],[Region]],"Failed",0,1),"Pass","Fail")</f>
        <v>Fail</v>
      </c>
      <c r="AY10" t="str" cm="1">
        <f t="array" ref="AY10">IF(F10=_xlfn.XLOOKUP($B10,VmSpecs[[#All],[VM Name]],VmSpecs[[#All],[Instance size]],"Failed",0,1),"Pass","Fail")</f>
        <v>Fail</v>
      </c>
      <c r="AZ10" t="str" cm="1">
        <f t="array" ref="AZ10">IF(LOWER(H10)=_xlfn.XLOOKUP($B10,VmSpecs[[#All],[VM Name]],VmSpecs[[#All],[Availability Set Name]],"Failed",0,1),"Pass","Fail")</f>
        <v>Fail</v>
      </c>
      <c r="BA10" t="str" cm="1">
        <f t="array" ref="BA10">IF(J10=_xlfn.XLOOKUP($B10,VmSpecs[[#All],[VM Name]],VmSpecs[[#All],[Virtual Network]],"Failed",0,1),"Pass","Fail")</f>
        <v>Fail</v>
      </c>
      <c r="BB10" t="str" cm="1">
        <f t="array" ref="BB10">IF(K10=_xlfn.XLOOKUP($B10,VmSpecs[[#All],[VM Name]],VmSpecs[[#All],[Subnet]],"Failed",0,1),"Pass","Fail")</f>
        <v>Fail</v>
      </c>
      <c r="BC10" t="str" cm="1">
        <f t="array" ref="BC10">IF(M10=_xlfn.XLOOKUP($B10,VmSpecs[[#All],[VM Name]],VmSpecs[[#All],[IP]],"Failed",0,1),"Pass","Fail")</f>
        <v>Fail</v>
      </c>
      <c r="BD10" t="str" cm="1">
        <f t="array" ref="BD10">IF(N10=_xlfn.XLOOKUP($B10,VmSpecs[[#All],[VM Name]],VmSpecs[[#All],[Network Security Group]],"Failed",0,1),"Pass","Fail")</f>
        <v>Fail</v>
      </c>
      <c r="BE10" t="str" cm="1">
        <f t="array" ref="BE10">IF(O10=_xlfn.XLOOKUP($B10,VmSpecs[[#All],[VM Name]],VmSpecs[[#All],[Route Table Name]],"Failed",0,1),"Pass","Fail")</f>
        <v>Fail</v>
      </c>
      <c r="BF10" t="str" cm="1">
        <f t="array" ref="BF10">IF(P10=_xlfn.XLOOKUP($B10,VmSpecs[[#All],[VM Name]],VmSpecs[[#All],[Operating System]],"Failed",0,1),"Pass","Fail")</f>
        <v>Fail</v>
      </c>
      <c r="BG10" t="str" cm="1">
        <f t="array" ref="BG10">IF(R10=_xlfn.XLOOKUP($B10,VmSpecs[[#All],[VM Name]],VmSpecs[[#All],[NIC name]],"Failed",0,1),"Pass","Fail")</f>
        <v>Fail</v>
      </c>
      <c r="BH10" t="str" cm="1">
        <f t="array" ref="BH10">IF(U10=_xlfn.XLOOKUP($B10,VmSpecs[[#All],[VM Name]],VmSpecs[[#All],[OS Disk Name]],"Failed",0,1),"Pass","Fail")</f>
        <v>Fail</v>
      </c>
      <c r="BI10" t="str" cm="1">
        <f t="array" ref="BI10">IF(W10=_xlfn.XLOOKUP($B10,VmSpecs[[#All],[VM Name]],VmSpecs[[#All],[OS Disk Size]],"Failed",0,1),"Pass","Fail")</f>
        <v>Fail</v>
      </c>
      <c r="BJ10" t="str" cm="1">
        <f t="array" ref="BJ10">IF(LEFT(X10,4)=LEFT(_xlfn.XLOOKUP($B10,VmSpecs[[#All],[VM Name]],VmSpecs[[#All],[OS Disk Type (Standard SSD etc)]],"Failed",0,1),4),"Pass","Fail")</f>
        <v>Fail</v>
      </c>
      <c r="BK10" t="str" cm="1">
        <f t="array" ref="BK10">IF(Z10=_xlfn.XLOOKUP($B10,VmSpecs[[#All],[VM Name]],VmSpecs[[#All],[Data Disk1 Name]],"Failed",0,1),"Pass","Fail")</f>
        <v>Fail</v>
      </c>
      <c r="BL10" t="str" cm="1">
        <f t="array" ref="BL10">IF(AA10=_xlfn.XLOOKUP($B10,VmSpecs[[#All],[VM Name]],VmSpecs[[#All],[Data Disk1 Size]],"Failed",0,1),"Pass","Fail")</f>
        <v>Fail</v>
      </c>
      <c r="BM10" t="str" cm="1">
        <f t="array" ref="BM10">IF(LEFT(AC10,4)=LEFT(_xlfn.XLOOKUP($B10,VmSpecs[[#All],[VM Name]],VmSpecs[[#All],[Data Disk1 Type]],"Failed",0,1),4),"Pass","Fail")</f>
        <v>Fail</v>
      </c>
      <c r="BO10" t="e">
        <f>VLOOKUP('VM Specs'!K10,'As Built'!B:B,1,FALSE)</f>
        <v>#N/A</v>
      </c>
      <c r="BP10" t="str">
        <f>IF(ISNA(Table613[[#This Row],[VM Build Sheet Check]]),'VM Specs'!K10,"")</f>
        <v>vmpfbpf2crp02</v>
      </c>
    </row>
    <row r="11" spans="1:69" ht="33" customHeight="1" x14ac:dyDescent="0.35">
      <c r="A11" t="str">
        <f>IF(COUNTIF(AsBuilt[[#This Row],[VM Check]:[Data Disk 1 Type Check]],"Fail")&gt;0,"Fail","Pass")</f>
        <v>Fail</v>
      </c>
      <c r="B11" t="s">
        <v>828</v>
      </c>
      <c r="C11" t="s">
        <v>754</v>
      </c>
      <c r="D11" t="s">
        <v>755</v>
      </c>
      <c r="E11" t="s">
        <v>756</v>
      </c>
      <c r="F11" t="s">
        <v>801</v>
      </c>
      <c r="G11" t="s">
        <v>758</v>
      </c>
      <c r="H11" t="s">
        <v>814</v>
      </c>
      <c r="J11" t="s">
        <v>760</v>
      </c>
      <c r="K11" t="s">
        <v>761</v>
      </c>
      <c r="L11" t="s">
        <v>754</v>
      </c>
      <c r="M11" t="s">
        <v>829</v>
      </c>
      <c r="N11" t="s">
        <v>763</v>
      </c>
      <c r="O11" t="s">
        <v>764</v>
      </c>
      <c r="P11" t="s">
        <v>63</v>
      </c>
      <c r="R11" t="s">
        <v>830</v>
      </c>
      <c r="S11" t="s">
        <v>754</v>
      </c>
      <c r="U11" t="s">
        <v>831</v>
      </c>
      <c r="V11" t="s">
        <v>767</v>
      </c>
      <c r="W11">
        <v>64</v>
      </c>
      <c r="X11" t="s">
        <v>768</v>
      </c>
      <c r="Y11">
        <v>2</v>
      </c>
      <c r="Z11" t="s">
        <v>832</v>
      </c>
      <c r="AA11">
        <v>8</v>
      </c>
      <c r="AB11" t="s">
        <v>770</v>
      </c>
      <c r="AC11" t="s">
        <v>768</v>
      </c>
      <c r="AD11" t="s">
        <v>833</v>
      </c>
      <c r="AE11">
        <v>32</v>
      </c>
      <c r="AF11" t="s">
        <v>770</v>
      </c>
      <c r="AG11" t="s">
        <v>768</v>
      </c>
      <c r="AT11" t="s">
        <v>772</v>
      </c>
      <c r="AU11" t="s">
        <v>834</v>
      </c>
      <c r="AV11" t="str" cm="1">
        <f t="array" ref="AV11">IF(B11=_xlfn.XLOOKUP(B11,VmSpecs[[#All],[VM Name]],VmSpecs[[#All],[VM Name]],"Failed",0,1),"Pass","Fail")</f>
        <v>Fail</v>
      </c>
      <c r="AW11" t="str" cm="1">
        <f t="array" ref="AW11">IF(D11=_xlfn.XLOOKUP($B11,VmSpecs[[#All],[VM Name]],VmSpecs[[#All],[Virtual Machine Resource Groups]],"Failed",0,1),"Pass","Fail")</f>
        <v>Fail</v>
      </c>
      <c r="AX11" t="str" cm="1">
        <f t="array" ref="AX11">IF(_xlfn.IFS(E11="australiacentral","Australia Central 1",E11="australiaeast","Australia East",E11="australiasoutheast","Australia SouthEast")=_xlfn.XLOOKUP($B11,VmSpecs[[#All],[VM Name]],VmSpecs[[#All],[Region]],"Failed",0,1),"Pass","Fail")</f>
        <v>Fail</v>
      </c>
      <c r="AY11" t="str" cm="1">
        <f t="array" ref="AY11">IF(F11=_xlfn.XLOOKUP($B11,VmSpecs[[#All],[VM Name]],VmSpecs[[#All],[Instance size]],"Failed",0,1),"Pass","Fail")</f>
        <v>Fail</v>
      </c>
      <c r="AZ11" t="str" cm="1">
        <f t="array" ref="AZ11">IF(LOWER(H11)=_xlfn.XLOOKUP($B11,VmSpecs[[#All],[VM Name]],VmSpecs[[#All],[Availability Set Name]],"Failed",0,1),"Pass","Fail")</f>
        <v>Fail</v>
      </c>
      <c r="BA11" t="str" cm="1">
        <f t="array" ref="BA11">IF(J11=_xlfn.XLOOKUP($B11,VmSpecs[[#All],[VM Name]],VmSpecs[[#All],[Virtual Network]],"Failed",0,1),"Pass","Fail")</f>
        <v>Fail</v>
      </c>
      <c r="BB11" t="str" cm="1">
        <f t="array" ref="BB11">IF(K11=_xlfn.XLOOKUP($B11,VmSpecs[[#All],[VM Name]],VmSpecs[[#All],[Subnet]],"Failed",0,1),"Pass","Fail")</f>
        <v>Fail</v>
      </c>
      <c r="BC11" t="str" cm="1">
        <f t="array" ref="BC11">IF(M11=_xlfn.XLOOKUP($B11,VmSpecs[[#All],[VM Name]],VmSpecs[[#All],[IP]],"Failed",0,1),"Pass","Fail")</f>
        <v>Fail</v>
      </c>
      <c r="BD11" t="str" cm="1">
        <f t="array" ref="BD11">IF(N11=_xlfn.XLOOKUP($B11,VmSpecs[[#All],[VM Name]],VmSpecs[[#All],[Network Security Group]],"Failed",0,1),"Pass","Fail")</f>
        <v>Fail</v>
      </c>
      <c r="BE11" t="str" cm="1">
        <f t="array" ref="BE11">IF(O11=_xlfn.XLOOKUP($B11,VmSpecs[[#All],[VM Name]],VmSpecs[[#All],[Route Table Name]],"Failed",0,1),"Pass","Fail")</f>
        <v>Fail</v>
      </c>
      <c r="BF11" t="str" cm="1">
        <f t="array" ref="BF11">IF(P11=_xlfn.XLOOKUP($B11,VmSpecs[[#All],[VM Name]],VmSpecs[[#All],[Operating System]],"Failed",0,1),"Pass","Fail")</f>
        <v>Fail</v>
      </c>
      <c r="BG11" t="str" cm="1">
        <f t="array" ref="BG11">IF(R11=_xlfn.XLOOKUP($B11,VmSpecs[[#All],[VM Name]],VmSpecs[[#All],[NIC name]],"Failed",0,1),"Pass","Fail")</f>
        <v>Fail</v>
      </c>
      <c r="BH11" t="str" cm="1">
        <f t="array" ref="BH11">IF(U11=_xlfn.XLOOKUP($B11,VmSpecs[[#All],[VM Name]],VmSpecs[[#All],[OS Disk Name]],"Failed",0,1),"Pass","Fail")</f>
        <v>Fail</v>
      </c>
      <c r="BI11" t="str" cm="1">
        <f t="array" ref="BI11">IF(W11=_xlfn.XLOOKUP($B11,VmSpecs[[#All],[VM Name]],VmSpecs[[#All],[OS Disk Size]],"Failed",0,1),"Pass","Fail")</f>
        <v>Fail</v>
      </c>
      <c r="BJ11" t="str" cm="1">
        <f t="array" ref="BJ11">IF(LEFT(X11,4)=LEFT(_xlfn.XLOOKUP($B11,VmSpecs[[#All],[VM Name]],VmSpecs[[#All],[OS Disk Type (Standard SSD etc)]],"Failed",0,1),4),"Pass","Fail")</f>
        <v>Fail</v>
      </c>
      <c r="BK11" t="str" cm="1">
        <f t="array" ref="BK11">IF(Z11=_xlfn.XLOOKUP($B11,VmSpecs[[#All],[VM Name]],VmSpecs[[#All],[Data Disk1 Name]],"Failed",0,1),"Pass","Fail")</f>
        <v>Fail</v>
      </c>
      <c r="BL11" t="str" cm="1">
        <f t="array" ref="BL11">IF(AA11=_xlfn.XLOOKUP($B11,VmSpecs[[#All],[VM Name]],VmSpecs[[#All],[Data Disk1 Size]],"Failed",0,1),"Pass","Fail")</f>
        <v>Fail</v>
      </c>
      <c r="BM11" t="str" cm="1">
        <f t="array" ref="BM11">IF(LEFT(AC11,4)=LEFT(_xlfn.XLOOKUP($B11,VmSpecs[[#All],[VM Name]],VmSpecs[[#All],[Data Disk1 Type]],"Failed",0,1),4),"Pass","Fail")</f>
        <v>Fail</v>
      </c>
      <c r="BO11" t="e">
        <f>VLOOKUP('VM Specs'!K11,'As Built'!B:B,1,FALSE)</f>
        <v>#N/A</v>
      </c>
      <c r="BP11" t="str">
        <f>IF(ISNA(Table613[[#This Row],[VM Build Sheet Check]]),'VM Specs'!K11,"")</f>
        <v>vmpfbpf2crp03</v>
      </c>
    </row>
    <row r="12" spans="1:69" ht="33" customHeight="1" x14ac:dyDescent="0.35">
      <c r="A12" t="str">
        <f>IF(COUNTIF(AsBuilt[[#This Row],[VM Check]:[Data Disk 1 Type Check]],"Fail")&gt;0,"Fail","Pass")</f>
        <v>Fail</v>
      </c>
      <c r="B12" t="s">
        <v>835</v>
      </c>
      <c r="C12" t="s">
        <v>754</v>
      </c>
      <c r="D12" t="s">
        <v>755</v>
      </c>
      <c r="E12" t="s">
        <v>756</v>
      </c>
      <c r="F12" t="s">
        <v>801</v>
      </c>
      <c r="G12" t="s">
        <v>758</v>
      </c>
      <c r="H12" t="s">
        <v>814</v>
      </c>
      <c r="J12" t="s">
        <v>760</v>
      </c>
      <c r="K12" t="s">
        <v>761</v>
      </c>
      <c r="L12" t="s">
        <v>754</v>
      </c>
      <c r="M12" t="s">
        <v>836</v>
      </c>
      <c r="N12" t="s">
        <v>763</v>
      </c>
      <c r="O12" t="s">
        <v>764</v>
      </c>
      <c r="P12" t="s">
        <v>63</v>
      </c>
      <c r="R12" t="s">
        <v>837</v>
      </c>
      <c r="S12" t="s">
        <v>754</v>
      </c>
      <c r="U12" t="s">
        <v>838</v>
      </c>
      <c r="V12" t="s">
        <v>767</v>
      </c>
      <c r="W12">
        <v>64</v>
      </c>
      <c r="X12" t="s">
        <v>768</v>
      </c>
      <c r="Y12">
        <v>2</v>
      </c>
      <c r="Z12" t="s">
        <v>839</v>
      </c>
      <c r="AA12">
        <v>8</v>
      </c>
      <c r="AB12" t="s">
        <v>770</v>
      </c>
      <c r="AC12" t="s">
        <v>768</v>
      </c>
      <c r="AD12" t="s">
        <v>840</v>
      </c>
      <c r="AE12">
        <v>32</v>
      </c>
      <c r="AF12" t="s">
        <v>770</v>
      </c>
      <c r="AG12" t="s">
        <v>768</v>
      </c>
      <c r="AT12" t="s">
        <v>772</v>
      </c>
      <c r="AU12" t="s">
        <v>841</v>
      </c>
      <c r="AV12" t="str" cm="1">
        <f t="array" ref="AV12">IF(B12=_xlfn.XLOOKUP(B12,VmSpecs[[#All],[VM Name]],VmSpecs[[#All],[VM Name]],"Failed",0,1),"Pass","Fail")</f>
        <v>Fail</v>
      </c>
      <c r="AW12" t="str" cm="1">
        <f t="array" ref="AW12">IF(D12=_xlfn.XLOOKUP($B12,VmSpecs[[#All],[VM Name]],VmSpecs[[#All],[Virtual Machine Resource Groups]],"Failed",0,1),"Pass","Fail")</f>
        <v>Fail</v>
      </c>
      <c r="AX12" t="str" cm="1">
        <f t="array" ref="AX12">IF(_xlfn.IFS(E12="australiacentral","Australia Central 1",E12="australiaeast","Australia East",E12="australiasoutheast","Australia SouthEast")=_xlfn.XLOOKUP($B12,VmSpecs[[#All],[VM Name]],VmSpecs[[#All],[Region]],"Failed",0,1),"Pass","Fail")</f>
        <v>Fail</v>
      </c>
      <c r="AY12" t="str" cm="1">
        <f t="array" ref="AY12">IF(F12=_xlfn.XLOOKUP($B12,VmSpecs[[#All],[VM Name]],VmSpecs[[#All],[Instance size]],"Failed",0,1),"Pass","Fail")</f>
        <v>Fail</v>
      </c>
      <c r="AZ12" t="str" cm="1">
        <f t="array" ref="AZ12">IF(LOWER(H12)=_xlfn.XLOOKUP($B12,VmSpecs[[#All],[VM Name]],VmSpecs[[#All],[Availability Set Name]],"Failed",0,1),"Pass","Fail")</f>
        <v>Fail</v>
      </c>
      <c r="BA12" t="str" cm="1">
        <f t="array" ref="BA12">IF(J12=_xlfn.XLOOKUP($B12,VmSpecs[[#All],[VM Name]],VmSpecs[[#All],[Virtual Network]],"Failed",0,1),"Pass","Fail")</f>
        <v>Fail</v>
      </c>
      <c r="BB12" t="str" cm="1">
        <f t="array" ref="BB12">IF(K12=_xlfn.XLOOKUP($B12,VmSpecs[[#All],[VM Name]],VmSpecs[[#All],[Subnet]],"Failed",0,1),"Pass","Fail")</f>
        <v>Fail</v>
      </c>
      <c r="BC12" t="str" cm="1">
        <f t="array" ref="BC12">IF(M12=_xlfn.XLOOKUP($B12,VmSpecs[[#All],[VM Name]],VmSpecs[[#All],[IP]],"Failed",0,1),"Pass","Fail")</f>
        <v>Fail</v>
      </c>
      <c r="BD12" t="str" cm="1">
        <f t="array" ref="BD12">IF(N12=_xlfn.XLOOKUP($B12,VmSpecs[[#All],[VM Name]],VmSpecs[[#All],[Network Security Group]],"Failed",0,1),"Pass","Fail")</f>
        <v>Fail</v>
      </c>
      <c r="BE12" t="str" cm="1">
        <f t="array" ref="BE12">IF(O12=_xlfn.XLOOKUP($B12,VmSpecs[[#All],[VM Name]],VmSpecs[[#All],[Route Table Name]],"Failed",0,1),"Pass","Fail")</f>
        <v>Fail</v>
      </c>
      <c r="BF12" t="str" cm="1">
        <f t="array" ref="BF12">IF(P12=_xlfn.XLOOKUP($B12,VmSpecs[[#All],[VM Name]],VmSpecs[[#All],[Operating System]],"Failed",0,1),"Pass","Fail")</f>
        <v>Fail</v>
      </c>
      <c r="BG12" t="str" cm="1">
        <f t="array" ref="BG12">IF(R12=_xlfn.XLOOKUP($B12,VmSpecs[[#All],[VM Name]],VmSpecs[[#All],[NIC name]],"Failed",0,1),"Pass","Fail")</f>
        <v>Fail</v>
      </c>
      <c r="BH12" t="str" cm="1">
        <f t="array" ref="BH12">IF(U12=_xlfn.XLOOKUP($B12,VmSpecs[[#All],[VM Name]],VmSpecs[[#All],[OS Disk Name]],"Failed",0,1),"Pass","Fail")</f>
        <v>Fail</v>
      </c>
      <c r="BI12" t="str" cm="1">
        <f t="array" ref="BI12">IF(W12=_xlfn.XLOOKUP($B12,VmSpecs[[#All],[VM Name]],VmSpecs[[#All],[OS Disk Size]],"Failed",0,1),"Pass","Fail")</f>
        <v>Fail</v>
      </c>
      <c r="BJ12" t="str" cm="1">
        <f t="array" ref="BJ12">IF(LEFT(X12,4)=LEFT(_xlfn.XLOOKUP($B12,VmSpecs[[#All],[VM Name]],VmSpecs[[#All],[OS Disk Type (Standard SSD etc)]],"Failed",0,1),4),"Pass","Fail")</f>
        <v>Fail</v>
      </c>
      <c r="BK12" t="str" cm="1">
        <f t="array" ref="BK12">IF(Z12=_xlfn.XLOOKUP($B12,VmSpecs[[#All],[VM Name]],VmSpecs[[#All],[Data Disk1 Name]],"Failed",0,1),"Pass","Fail")</f>
        <v>Fail</v>
      </c>
      <c r="BL12" t="str" cm="1">
        <f t="array" ref="BL12">IF(AA12=_xlfn.XLOOKUP($B12,VmSpecs[[#All],[VM Name]],VmSpecs[[#All],[Data Disk1 Size]],"Failed",0,1),"Pass","Fail")</f>
        <v>Fail</v>
      </c>
      <c r="BM12" t="str" cm="1">
        <f t="array" ref="BM12">IF(LEFT(AC12,4)=LEFT(_xlfn.XLOOKUP($B12,VmSpecs[[#All],[VM Name]],VmSpecs[[#All],[Data Disk1 Type]],"Failed",0,1),4),"Pass","Fail")</f>
        <v>Fail</v>
      </c>
      <c r="BO12" t="e">
        <f>VLOOKUP('VM Specs'!K12,'As Built'!B:B,1,FALSE)</f>
        <v>#N/A</v>
      </c>
      <c r="BP12" t="str">
        <f>IF(ISNA(Table613[[#This Row],[VM Build Sheet Check]]),'VM Specs'!K12,"")</f>
        <v>vmpfbpf2crp04</v>
      </c>
    </row>
    <row r="13" spans="1:69" ht="33" customHeight="1" x14ac:dyDescent="0.35">
      <c r="A13" t="str">
        <f>IF(COUNTIF(AsBuilt[[#This Row],[VM Check]:[Data Disk 1 Type Check]],"Fail")&gt;0,"Fail","Pass")</f>
        <v>Fail</v>
      </c>
      <c r="B13" t="s">
        <v>842</v>
      </c>
      <c r="C13" t="s">
        <v>754</v>
      </c>
      <c r="D13" t="s">
        <v>755</v>
      </c>
      <c r="E13" t="s">
        <v>756</v>
      </c>
      <c r="F13" t="s">
        <v>801</v>
      </c>
      <c r="G13" t="s">
        <v>758</v>
      </c>
      <c r="H13" t="s">
        <v>814</v>
      </c>
      <c r="J13" t="s">
        <v>760</v>
      </c>
      <c r="K13" t="s">
        <v>761</v>
      </c>
      <c r="L13" t="s">
        <v>754</v>
      </c>
      <c r="M13" t="s">
        <v>843</v>
      </c>
      <c r="N13" t="s">
        <v>763</v>
      </c>
      <c r="O13" t="s">
        <v>764</v>
      </c>
      <c r="P13" t="s">
        <v>63</v>
      </c>
      <c r="R13" t="s">
        <v>844</v>
      </c>
      <c r="S13" t="s">
        <v>754</v>
      </c>
      <c r="U13" t="s">
        <v>845</v>
      </c>
      <c r="V13" t="s">
        <v>767</v>
      </c>
      <c r="W13">
        <v>64</v>
      </c>
      <c r="X13" t="s">
        <v>768</v>
      </c>
      <c r="Y13">
        <v>2</v>
      </c>
      <c r="Z13" t="s">
        <v>846</v>
      </c>
      <c r="AA13">
        <v>8</v>
      </c>
      <c r="AB13" t="s">
        <v>770</v>
      </c>
      <c r="AC13" t="s">
        <v>768</v>
      </c>
      <c r="AD13" t="s">
        <v>847</v>
      </c>
      <c r="AE13">
        <v>32</v>
      </c>
      <c r="AF13" t="s">
        <v>770</v>
      </c>
      <c r="AG13" t="s">
        <v>768</v>
      </c>
      <c r="AT13" t="s">
        <v>772</v>
      </c>
      <c r="AU13" t="s">
        <v>848</v>
      </c>
      <c r="AV13" t="str" cm="1">
        <f t="array" ref="AV13">IF(B13=_xlfn.XLOOKUP(B13,VmSpecs[[#All],[VM Name]],VmSpecs[[#All],[VM Name]],"Failed",0,1),"Pass","Fail")</f>
        <v>Fail</v>
      </c>
      <c r="AW13" t="str" cm="1">
        <f t="array" ref="AW13">IF(D13=_xlfn.XLOOKUP($B13,VmSpecs[[#All],[VM Name]],VmSpecs[[#All],[Virtual Machine Resource Groups]],"Failed",0,1),"Pass","Fail")</f>
        <v>Fail</v>
      </c>
      <c r="AX13" t="str" cm="1">
        <f t="array" ref="AX13">IF(_xlfn.IFS(E13="australiacentral","Australia Central 1",E13="australiaeast","Australia East",E13="australiasoutheast","Australia SouthEast")=_xlfn.XLOOKUP($B13,VmSpecs[[#All],[VM Name]],VmSpecs[[#All],[Region]],"Failed",0,1),"Pass","Fail")</f>
        <v>Fail</v>
      </c>
      <c r="AY13" t="str" cm="1">
        <f t="array" ref="AY13">IF(F13=_xlfn.XLOOKUP($B13,VmSpecs[[#All],[VM Name]],VmSpecs[[#All],[Instance size]],"Failed",0,1),"Pass","Fail")</f>
        <v>Fail</v>
      </c>
      <c r="AZ13" t="str" cm="1">
        <f t="array" ref="AZ13">IF(LOWER(H13)=_xlfn.XLOOKUP($B13,VmSpecs[[#All],[VM Name]],VmSpecs[[#All],[Availability Set Name]],"Failed",0,1),"Pass","Fail")</f>
        <v>Fail</v>
      </c>
      <c r="BA13" t="str" cm="1">
        <f t="array" ref="BA13">IF(J13=_xlfn.XLOOKUP($B13,VmSpecs[[#All],[VM Name]],VmSpecs[[#All],[Virtual Network]],"Failed",0,1),"Pass","Fail")</f>
        <v>Fail</v>
      </c>
      <c r="BB13" t="str" cm="1">
        <f t="array" ref="BB13">IF(K13=_xlfn.XLOOKUP($B13,VmSpecs[[#All],[VM Name]],VmSpecs[[#All],[Subnet]],"Failed",0,1),"Pass","Fail")</f>
        <v>Fail</v>
      </c>
      <c r="BC13" t="str" cm="1">
        <f t="array" ref="BC13">IF(M13=_xlfn.XLOOKUP($B13,VmSpecs[[#All],[VM Name]],VmSpecs[[#All],[IP]],"Failed",0,1),"Pass","Fail")</f>
        <v>Fail</v>
      </c>
      <c r="BD13" t="str" cm="1">
        <f t="array" ref="BD13">IF(N13=_xlfn.XLOOKUP($B13,VmSpecs[[#All],[VM Name]],VmSpecs[[#All],[Network Security Group]],"Failed",0,1),"Pass","Fail")</f>
        <v>Fail</v>
      </c>
      <c r="BE13" t="str" cm="1">
        <f t="array" ref="BE13">IF(O13=_xlfn.XLOOKUP($B13,VmSpecs[[#All],[VM Name]],VmSpecs[[#All],[Route Table Name]],"Failed",0,1),"Pass","Fail")</f>
        <v>Fail</v>
      </c>
      <c r="BF13" t="str" cm="1">
        <f t="array" ref="BF13">IF(P13=_xlfn.XLOOKUP($B13,VmSpecs[[#All],[VM Name]],VmSpecs[[#All],[Operating System]],"Failed",0,1),"Pass","Fail")</f>
        <v>Fail</v>
      </c>
      <c r="BG13" t="str" cm="1">
        <f t="array" ref="BG13">IF(R13=_xlfn.XLOOKUP($B13,VmSpecs[[#All],[VM Name]],VmSpecs[[#All],[NIC name]],"Failed",0,1),"Pass","Fail")</f>
        <v>Fail</v>
      </c>
      <c r="BH13" t="str" cm="1">
        <f t="array" ref="BH13">IF(U13=_xlfn.XLOOKUP($B13,VmSpecs[[#All],[VM Name]],VmSpecs[[#All],[OS Disk Name]],"Failed",0,1),"Pass","Fail")</f>
        <v>Fail</v>
      </c>
      <c r="BI13" t="str" cm="1">
        <f t="array" ref="BI13">IF(W13=_xlfn.XLOOKUP($B13,VmSpecs[[#All],[VM Name]],VmSpecs[[#All],[OS Disk Size]],"Failed",0,1),"Pass","Fail")</f>
        <v>Fail</v>
      </c>
      <c r="BJ13" t="str" cm="1">
        <f t="array" ref="BJ13">IF(LEFT(X13,4)=LEFT(_xlfn.XLOOKUP($B13,VmSpecs[[#All],[VM Name]],VmSpecs[[#All],[OS Disk Type (Standard SSD etc)]],"Failed",0,1),4),"Pass","Fail")</f>
        <v>Fail</v>
      </c>
      <c r="BK13" t="str" cm="1">
        <f t="array" ref="BK13">IF(Z13=_xlfn.XLOOKUP($B13,VmSpecs[[#All],[VM Name]],VmSpecs[[#All],[Data Disk1 Name]],"Failed",0,1),"Pass","Fail")</f>
        <v>Fail</v>
      </c>
      <c r="BL13" t="str" cm="1">
        <f t="array" ref="BL13">IF(AA13=_xlfn.XLOOKUP($B13,VmSpecs[[#All],[VM Name]],VmSpecs[[#All],[Data Disk1 Size]],"Failed",0,1),"Pass","Fail")</f>
        <v>Fail</v>
      </c>
      <c r="BM13" t="str" cm="1">
        <f t="array" ref="BM13">IF(LEFT(AC13,4)=LEFT(_xlfn.XLOOKUP($B13,VmSpecs[[#All],[VM Name]],VmSpecs[[#All],[Data Disk1 Type]],"Failed",0,1),4),"Pass","Fail")</f>
        <v>Fail</v>
      </c>
      <c r="BO13" t="e">
        <f>VLOOKUP('VM Specs'!K13,'As Built'!B:B,1,FALSE)</f>
        <v>#N/A</v>
      </c>
      <c r="BP13" t="str">
        <f>IF(ISNA(Table613[[#This Row],[VM Build Sheet Check]]),'VM Specs'!K13,"")</f>
        <v>vmpfbpf2crp05</v>
      </c>
    </row>
    <row r="14" spans="1:69" ht="33" customHeight="1" x14ac:dyDescent="0.35">
      <c r="A14" t="str">
        <f>IF(COUNTIF(AsBuilt[[#This Row],[VM Check]:[Data Disk 1 Type Check]],"Fail")&gt;0,"Fail","Pass")</f>
        <v>Fail</v>
      </c>
      <c r="B14" t="s">
        <v>849</v>
      </c>
      <c r="C14" t="s">
        <v>754</v>
      </c>
      <c r="D14" t="s">
        <v>755</v>
      </c>
      <c r="E14" t="s">
        <v>756</v>
      </c>
      <c r="F14" t="s">
        <v>801</v>
      </c>
      <c r="G14" t="s">
        <v>758</v>
      </c>
      <c r="H14" t="s">
        <v>814</v>
      </c>
      <c r="J14" t="s">
        <v>760</v>
      </c>
      <c r="K14" t="s">
        <v>761</v>
      </c>
      <c r="L14" t="s">
        <v>754</v>
      </c>
      <c r="M14" t="s">
        <v>850</v>
      </c>
      <c r="N14" t="s">
        <v>763</v>
      </c>
      <c r="O14" t="s">
        <v>764</v>
      </c>
      <c r="P14" t="s">
        <v>63</v>
      </c>
      <c r="R14" t="s">
        <v>851</v>
      </c>
      <c r="S14" t="s">
        <v>754</v>
      </c>
      <c r="U14" t="s">
        <v>852</v>
      </c>
      <c r="V14" t="s">
        <v>767</v>
      </c>
      <c r="W14">
        <v>64</v>
      </c>
      <c r="X14" t="s">
        <v>768</v>
      </c>
      <c r="Y14">
        <v>2</v>
      </c>
      <c r="Z14" t="s">
        <v>853</v>
      </c>
      <c r="AA14">
        <v>8</v>
      </c>
      <c r="AB14" t="s">
        <v>770</v>
      </c>
      <c r="AC14" t="s">
        <v>768</v>
      </c>
      <c r="AD14" t="s">
        <v>854</v>
      </c>
      <c r="AE14">
        <v>32</v>
      </c>
      <c r="AF14" t="s">
        <v>770</v>
      </c>
      <c r="AG14" t="s">
        <v>768</v>
      </c>
      <c r="AT14" t="s">
        <v>772</v>
      </c>
      <c r="AU14" t="s">
        <v>855</v>
      </c>
      <c r="AV14" t="str" cm="1">
        <f t="array" ref="AV14">IF(B14=_xlfn.XLOOKUP(B14,VmSpecs[[#All],[VM Name]],VmSpecs[[#All],[VM Name]],"Failed",0,1),"Pass","Fail")</f>
        <v>Fail</v>
      </c>
      <c r="AW14" t="str" cm="1">
        <f t="array" ref="AW14">IF(D14=_xlfn.XLOOKUP($B14,VmSpecs[[#All],[VM Name]],VmSpecs[[#All],[Virtual Machine Resource Groups]],"Failed",0,1),"Pass","Fail")</f>
        <v>Fail</v>
      </c>
      <c r="AX14" t="str" cm="1">
        <f t="array" ref="AX14">IF(_xlfn.IFS(E14="australiacentral","Australia Central 1",E14="australiaeast","Australia East",E14="australiasoutheast","Australia SouthEast")=_xlfn.XLOOKUP($B14,VmSpecs[[#All],[VM Name]],VmSpecs[[#All],[Region]],"Failed",0,1),"Pass","Fail")</f>
        <v>Fail</v>
      </c>
      <c r="AY14" t="str" cm="1">
        <f t="array" ref="AY14">IF(F14=_xlfn.XLOOKUP($B14,VmSpecs[[#All],[VM Name]],VmSpecs[[#All],[Instance size]],"Failed",0,1),"Pass","Fail")</f>
        <v>Fail</v>
      </c>
      <c r="AZ14" t="str" cm="1">
        <f t="array" ref="AZ14">IF(LOWER(H14)=_xlfn.XLOOKUP($B14,VmSpecs[[#All],[VM Name]],VmSpecs[[#All],[Availability Set Name]],"Failed",0,1),"Pass","Fail")</f>
        <v>Fail</v>
      </c>
      <c r="BA14" t="str" cm="1">
        <f t="array" ref="BA14">IF(J14=_xlfn.XLOOKUP($B14,VmSpecs[[#All],[VM Name]],VmSpecs[[#All],[Virtual Network]],"Failed",0,1),"Pass","Fail")</f>
        <v>Fail</v>
      </c>
      <c r="BB14" t="str" cm="1">
        <f t="array" ref="BB14">IF(K14=_xlfn.XLOOKUP($B14,VmSpecs[[#All],[VM Name]],VmSpecs[[#All],[Subnet]],"Failed",0,1),"Pass","Fail")</f>
        <v>Fail</v>
      </c>
      <c r="BC14" t="str" cm="1">
        <f t="array" ref="BC14">IF(M14=_xlfn.XLOOKUP($B14,VmSpecs[[#All],[VM Name]],VmSpecs[[#All],[IP]],"Failed",0,1),"Pass","Fail")</f>
        <v>Fail</v>
      </c>
      <c r="BD14" t="str" cm="1">
        <f t="array" ref="BD14">IF(N14=_xlfn.XLOOKUP($B14,VmSpecs[[#All],[VM Name]],VmSpecs[[#All],[Network Security Group]],"Failed",0,1),"Pass","Fail")</f>
        <v>Fail</v>
      </c>
      <c r="BE14" t="str" cm="1">
        <f t="array" ref="BE14">IF(O14=_xlfn.XLOOKUP($B14,VmSpecs[[#All],[VM Name]],VmSpecs[[#All],[Route Table Name]],"Failed",0,1),"Pass","Fail")</f>
        <v>Fail</v>
      </c>
      <c r="BF14" t="str" cm="1">
        <f t="array" ref="BF14">IF(P14=_xlfn.XLOOKUP($B14,VmSpecs[[#All],[VM Name]],VmSpecs[[#All],[Operating System]],"Failed",0,1),"Pass","Fail")</f>
        <v>Fail</v>
      </c>
      <c r="BG14" t="str" cm="1">
        <f t="array" ref="BG14">IF(R14=_xlfn.XLOOKUP($B14,VmSpecs[[#All],[VM Name]],VmSpecs[[#All],[NIC name]],"Failed",0,1),"Pass","Fail")</f>
        <v>Fail</v>
      </c>
      <c r="BH14" t="str" cm="1">
        <f t="array" ref="BH14">IF(U14=_xlfn.XLOOKUP($B14,VmSpecs[[#All],[VM Name]],VmSpecs[[#All],[OS Disk Name]],"Failed",0,1),"Pass","Fail")</f>
        <v>Fail</v>
      </c>
      <c r="BI14" t="str" cm="1">
        <f t="array" ref="BI14">IF(W14=_xlfn.XLOOKUP($B14,VmSpecs[[#All],[VM Name]],VmSpecs[[#All],[OS Disk Size]],"Failed",0,1),"Pass","Fail")</f>
        <v>Fail</v>
      </c>
      <c r="BJ14" t="str" cm="1">
        <f t="array" ref="BJ14">IF(LEFT(X14,4)=LEFT(_xlfn.XLOOKUP($B14,VmSpecs[[#All],[VM Name]],VmSpecs[[#All],[OS Disk Type (Standard SSD etc)]],"Failed",0,1),4),"Pass","Fail")</f>
        <v>Fail</v>
      </c>
      <c r="BK14" t="str" cm="1">
        <f t="array" ref="BK14">IF(Z14=_xlfn.XLOOKUP($B14,VmSpecs[[#All],[VM Name]],VmSpecs[[#All],[Data Disk1 Name]],"Failed",0,1),"Pass","Fail")</f>
        <v>Fail</v>
      </c>
      <c r="BL14" t="str" cm="1">
        <f t="array" ref="BL14">IF(AA14=_xlfn.XLOOKUP($B14,VmSpecs[[#All],[VM Name]],VmSpecs[[#All],[Data Disk1 Size]],"Failed",0,1),"Pass","Fail")</f>
        <v>Fail</v>
      </c>
      <c r="BM14" t="str" cm="1">
        <f t="array" ref="BM14">IF(LEFT(AC14,4)=LEFT(_xlfn.XLOOKUP($B14,VmSpecs[[#All],[VM Name]],VmSpecs[[#All],[Data Disk1 Type]],"Failed",0,1),4),"Pass","Fail")</f>
        <v>Fail</v>
      </c>
      <c r="BO14" t="e">
        <f>VLOOKUP('VM Specs'!K14,'As Built'!B:B,1,FALSE)</f>
        <v>#N/A</v>
      </c>
      <c r="BP14" t="str">
        <f>IF(ISNA(Table613[[#This Row],[VM Build Sheet Check]]),'VM Specs'!K14,"")</f>
        <v>vmpfbpf2crp06</v>
      </c>
    </row>
    <row r="15" spans="1:69" ht="33" customHeight="1" x14ac:dyDescent="0.35">
      <c r="A15" t="str">
        <f>IF(COUNTIF(AsBuilt[[#This Row],[VM Check]:[Data Disk 1 Type Check]],"Fail")&gt;0,"Fail","Pass")</f>
        <v>Fail</v>
      </c>
      <c r="B15" t="s">
        <v>856</v>
      </c>
      <c r="C15" t="s">
        <v>754</v>
      </c>
      <c r="D15" t="s">
        <v>755</v>
      </c>
      <c r="E15" t="s">
        <v>756</v>
      </c>
      <c r="F15" t="s">
        <v>801</v>
      </c>
      <c r="G15" t="s">
        <v>758</v>
      </c>
      <c r="H15" t="s">
        <v>814</v>
      </c>
      <c r="J15" t="s">
        <v>760</v>
      </c>
      <c r="K15" t="s">
        <v>761</v>
      </c>
      <c r="L15" t="s">
        <v>754</v>
      </c>
      <c r="M15" t="s">
        <v>857</v>
      </c>
      <c r="N15" t="s">
        <v>763</v>
      </c>
      <c r="O15" t="s">
        <v>764</v>
      </c>
      <c r="P15" t="s">
        <v>63</v>
      </c>
      <c r="R15" t="s">
        <v>858</v>
      </c>
      <c r="S15" t="s">
        <v>754</v>
      </c>
      <c r="U15" t="s">
        <v>859</v>
      </c>
      <c r="V15" t="s">
        <v>767</v>
      </c>
      <c r="W15">
        <v>64</v>
      </c>
      <c r="X15" t="s">
        <v>768</v>
      </c>
      <c r="Y15">
        <v>2</v>
      </c>
      <c r="Z15" t="s">
        <v>860</v>
      </c>
      <c r="AA15">
        <v>8</v>
      </c>
      <c r="AB15" t="s">
        <v>770</v>
      </c>
      <c r="AC15" t="s">
        <v>768</v>
      </c>
      <c r="AD15" t="s">
        <v>861</v>
      </c>
      <c r="AE15">
        <v>32</v>
      </c>
      <c r="AF15" t="s">
        <v>770</v>
      </c>
      <c r="AG15" t="s">
        <v>768</v>
      </c>
      <c r="AT15" t="s">
        <v>772</v>
      </c>
      <c r="AU15" t="s">
        <v>862</v>
      </c>
      <c r="AV15" t="str" cm="1">
        <f t="array" ref="AV15">IF(B15=_xlfn.XLOOKUP(B15,VmSpecs[[#All],[VM Name]],VmSpecs[[#All],[VM Name]],"Failed",0,1),"Pass","Fail")</f>
        <v>Fail</v>
      </c>
      <c r="AW15" t="str" cm="1">
        <f t="array" ref="AW15">IF(D15=_xlfn.XLOOKUP($B15,VmSpecs[[#All],[VM Name]],VmSpecs[[#All],[Virtual Machine Resource Groups]],"Failed",0,1),"Pass","Fail")</f>
        <v>Fail</v>
      </c>
      <c r="AX15" t="str" cm="1">
        <f t="array" ref="AX15">IF(_xlfn.IFS(E15="australiacentral","Australia Central 1",E15="australiaeast","Australia East",E15="australiasoutheast","Australia SouthEast")=_xlfn.XLOOKUP($B15,VmSpecs[[#All],[VM Name]],VmSpecs[[#All],[Region]],"Failed",0,1),"Pass","Fail")</f>
        <v>Fail</v>
      </c>
      <c r="AY15" t="str" cm="1">
        <f t="array" ref="AY15">IF(F15=_xlfn.XLOOKUP($B15,VmSpecs[[#All],[VM Name]],VmSpecs[[#All],[Instance size]],"Failed",0,1),"Pass","Fail")</f>
        <v>Fail</v>
      </c>
      <c r="AZ15" t="str" cm="1">
        <f t="array" ref="AZ15">IF(LOWER(H15)=_xlfn.XLOOKUP($B15,VmSpecs[[#All],[VM Name]],VmSpecs[[#All],[Availability Set Name]],"Failed",0,1),"Pass","Fail")</f>
        <v>Fail</v>
      </c>
      <c r="BA15" t="str" cm="1">
        <f t="array" ref="BA15">IF(J15=_xlfn.XLOOKUP($B15,VmSpecs[[#All],[VM Name]],VmSpecs[[#All],[Virtual Network]],"Failed",0,1),"Pass","Fail")</f>
        <v>Fail</v>
      </c>
      <c r="BB15" t="str" cm="1">
        <f t="array" ref="BB15">IF(K15=_xlfn.XLOOKUP($B15,VmSpecs[[#All],[VM Name]],VmSpecs[[#All],[Subnet]],"Failed",0,1),"Pass","Fail")</f>
        <v>Fail</v>
      </c>
      <c r="BC15" t="str" cm="1">
        <f t="array" ref="BC15">IF(M15=_xlfn.XLOOKUP($B15,VmSpecs[[#All],[VM Name]],VmSpecs[[#All],[IP]],"Failed",0,1),"Pass","Fail")</f>
        <v>Fail</v>
      </c>
      <c r="BD15" t="str" cm="1">
        <f t="array" ref="BD15">IF(N15=_xlfn.XLOOKUP($B15,VmSpecs[[#All],[VM Name]],VmSpecs[[#All],[Network Security Group]],"Failed",0,1),"Pass","Fail")</f>
        <v>Fail</v>
      </c>
      <c r="BE15" t="str" cm="1">
        <f t="array" ref="BE15">IF(O15=_xlfn.XLOOKUP($B15,VmSpecs[[#All],[VM Name]],VmSpecs[[#All],[Route Table Name]],"Failed",0,1),"Pass","Fail")</f>
        <v>Fail</v>
      </c>
      <c r="BF15" t="str" cm="1">
        <f t="array" ref="BF15">IF(P15=_xlfn.XLOOKUP($B15,VmSpecs[[#All],[VM Name]],VmSpecs[[#All],[Operating System]],"Failed",0,1),"Pass","Fail")</f>
        <v>Fail</v>
      </c>
      <c r="BG15" t="str" cm="1">
        <f t="array" ref="BG15">IF(R15=_xlfn.XLOOKUP($B15,VmSpecs[[#All],[VM Name]],VmSpecs[[#All],[NIC name]],"Failed",0,1),"Pass","Fail")</f>
        <v>Fail</v>
      </c>
      <c r="BH15" t="str" cm="1">
        <f t="array" ref="BH15">IF(U15=_xlfn.XLOOKUP($B15,VmSpecs[[#All],[VM Name]],VmSpecs[[#All],[OS Disk Name]],"Failed",0,1),"Pass","Fail")</f>
        <v>Fail</v>
      </c>
      <c r="BI15" t="str" cm="1">
        <f t="array" ref="BI15">IF(W15=_xlfn.XLOOKUP($B15,VmSpecs[[#All],[VM Name]],VmSpecs[[#All],[OS Disk Size]],"Failed",0,1),"Pass","Fail")</f>
        <v>Fail</v>
      </c>
      <c r="BJ15" t="str" cm="1">
        <f t="array" ref="BJ15">IF(LEFT(X15,4)=LEFT(_xlfn.XLOOKUP($B15,VmSpecs[[#All],[VM Name]],VmSpecs[[#All],[OS Disk Type (Standard SSD etc)]],"Failed",0,1),4),"Pass","Fail")</f>
        <v>Fail</v>
      </c>
      <c r="BK15" t="str" cm="1">
        <f t="array" ref="BK15">IF(Z15=_xlfn.XLOOKUP($B15,VmSpecs[[#All],[VM Name]],VmSpecs[[#All],[Data Disk1 Name]],"Failed",0,1),"Pass","Fail")</f>
        <v>Fail</v>
      </c>
      <c r="BL15" t="str" cm="1">
        <f t="array" ref="BL15">IF(AA15=_xlfn.XLOOKUP($B15,VmSpecs[[#All],[VM Name]],VmSpecs[[#All],[Data Disk1 Size]],"Failed",0,1),"Pass","Fail")</f>
        <v>Fail</v>
      </c>
      <c r="BM15" t="str" cm="1">
        <f t="array" ref="BM15">IF(LEFT(AC15,4)=LEFT(_xlfn.XLOOKUP($B15,VmSpecs[[#All],[VM Name]],VmSpecs[[#All],[Data Disk1 Type]],"Failed",0,1),4),"Pass","Fail")</f>
        <v>Fail</v>
      </c>
      <c r="BO15" t="e">
        <f>VLOOKUP('VM Specs'!K15,'As Built'!B:B,1,FALSE)</f>
        <v>#N/A</v>
      </c>
      <c r="BP15" t="str">
        <f>IF(ISNA(Table613[[#This Row],[VM Build Sheet Check]]),'VM Specs'!K15,"")</f>
        <v>vmpfbpf2crp07</v>
      </c>
    </row>
    <row r="16" spans="1:69" ht="33" customHeight="1" x14ac:dyDescent="0.35">
      <c r="A16" t="str">
        <f>IF(COUNTIF(AsBuilt[[#This Row],[VM Check]:[Data Disk 1 Type Check]],"Fail")&gt;0,"Fail","Pass")</f>
        <v>Fail</v>
      </c>
      <c r="B16" t="s">
        <v>863</v>
      </c>
      <c r="C16" t="s">
        <v>754</v>
      </c>
      <c r="D16" t="s">
        <v>755</v>
      </c>
      <c r="E16" t="s">
        <v>756</v>
      </c>
      <c r="F16" t="s">
        <v>801</v>
      </c>
      <c r="G16" t="s">
        <v>758</v>
      </c>
      <c r="H16" t="s">
        <v>814</v>
      </c>
      <c r="J16" t="s">
        <v>760</v>
      </c>
      <c r="K16" t="s">
        <v>761</v>
      </c>
      <c r="L16" t="s">
        <v>754</v>
      </c>
      <c r="M16" t="s">
        <v>864</v>
      </c>
      <c r="N16" t="s">
        <v>763</v>
      </c>
      <c r="O16" t="s">
        <v>764</v>
      </c>
      <c r="P16" t="s">
        <v>63</v>
      </c>
      <c r="R16" t="s">
        <v>865</v>
      </c>
      <c r="S16" t="s">
        <v>754</v>
      </c>
      <c r="U16" t="s">
        <v>866</v>
      </c>
      <c r="V16" t="s">
        <v>767</v>
      </c>
      <c r="W16">
        <v>64</v>
      </c>
      <c r="X16" t="s">
        <v>768</v>
      </c>
      <c r="Y16">
        <v>2</v>
      </c>
      <c r="Z16" t="s">
        <v>867</v>
      </c>
      <c r="AA16">
        <v>8</v>
      </c>
      <c r="AB16" t="s">
        <v>770</v>
      </c>
      <c r="AC16" t="s">
        <v>768</v>
      </c>
      <c r="AD16" t="s">
        <v>868</v>
      </c>
      <c r="AE16">
        <v>32</v>
      </c>
      <c r="AF16" t="s">
        <v>770</v>
      </c>
      <c r="AG16" t="s">
        <v>768</v>
      </c>
      <c r="AT16" t="s">
        <v>772</v>
      </c>
      <c r="AU16" t="s">
        <v>869</v>
      </c>
      <c r="AV16" t="str" cm="1">
        <f t="array" ref="AV16">IF(B16=_xlfn.XLOOKUP(B16,VmSpecs[[#All],[VM Name]],VmSpecs[[#All],[VM Name]],"Failed",0,1),"Pass","Fail")</f>
        <v>Fail</v>
      </c>
      <c r="AW16" t="str" cm="1">
        <f t="array" ref="AW16">IF(D16=_xlfn.XLOOKUP($B16,VmSpecs[[#All],[VM Name]],VmSpecs[[#All],[Virtual Machine Resource Groups]],"Failed",0,1),"Pass","Fail")</f>
        <v>Fail</v>
      </c>
      <c r="AX16" t="str" cm="1">
        <f t="array" ref="AX16">IF(_xlfn.IFS(E16="australiacentral","Australia Central 1",E16="australiaeast","Australia East",E16="australiasoutheast","Australia SouthEast")=_xlfn.XLOOKUP($B16,VmSpecs[[#All],[VM Name]],VmSpecs[[#All],[Region]],"Failed",0,1),"Pass","Fail")</f>
        <v>Fail</v>
      </c>
      <c r="AY16" t="str" cm="1">
        <f t="array" ref="AY16">IF(F16=_xlfn.XLOOKUP($B16,VmSpecs[[#All],[VM Name]],VmSpecs[[#All],[Instance size]],"Failed",0,1),"Pass","Fail")</f>
        <v>Fail</v>
      </c>
      <c r="AZ16" t="str" cm="1">
        <f t="array" ref="AZ16">IF(LOWER(H16)=_xlfn.XLOOKUP($B16,VmSpecs[[#All],[VM Name]],VmSpecs[[#All],[Availability Set Name]],"Failed",0,1),"Pass","Fail")</f>
        <v>Fail</v>
      </c>
      <c r="BA16" t="str" cm="1">
        <f t="array" ref="BA16">IF(J16=_xlfn.XLOOKUP($B16,VmSpecs[[#All],[VM Name]],VmSpecs[[#All],[Virtual Network]],"Failed",0,1),"Pass","Fail")</f>
        <v>Fail</v>
      </c>
      <c r="BB16" t="str" cm="1">
        <f t="array" ref="BB16">IF(K16=_xlfn.XLOOKUP($B16,VmSpecs[[#All],[VM Name]],VmSpecs[[#All],[Subnet]],"Failed",0,1),"Pass","Fail")</f>
        <v>Fail</v>
      </c>
      <c r="BC16" t="str" cm="1">
        <f t="array" ref="BC16">IF(M16=_xlfn.XLOOKUP($B16,VmSpecs[[#All],[VM Name]],VmSpecs[[#All],[IP]],"Failed",0,1),"Pass","Fail")</f>
        <v>Fail</v>
      </c>
      <c r="BD16" t="str" cm="1">
        <f t="array" ref="BD16">IF(N16=_xlfn.XLOOKUP($B16,VmSpecs[[#All],[VM Name]],VmSpecs[[#All],[Network Security Group]],"Failed",0,1),"Pass","Fail")</f>
        <v>Fail</v>
      </c>
      <c r="BE16" t="str" cm="1">
        <f t="array" ref="BE16">IF(O16=_xlfn.XLOOKUP($B16,VmSpecs[[#All],[VM Name]],VmSpecs[[#All],[Route Table Name]],"Failed",0,1),"Pass","Fail")</f>
        <v>Fail</v>
      </c>
      <c r="BF16" t="str" cm="1">
        <f t="array" ref="BF16">IF(P16=_xlfn.XLOOKUP($B16,VmSpecs[[#All],[VM Name]],VmSpecs[[#All],[Operating System]],"Failed",0,1),"Pass","Fail")</f>
        <v>Fail</v>
      </c>
      <c r="BG16" t="str" cm="1">
        <f t="array" ref="BG16">IF(R16=_xlfn.XLOOKUP($B16,VmSpecs[[#All],[VM Name]],VmSpecs[[#All],[NIC name]],"Failed",0,1),"Pass","Fail")</f>
        <v>Fail</v>
      </c>
      <c r="BH16" t="str" cm="1">
        <f t="array" ref="BH16">IF(U16=_xlfn.XLOOKUP($B16,VmSpecs[[#All],[VM Name]],VmSpecs[[#All],[OS Disk Name]],"Failed",0,1),"Pass","Fail")</f>
        <v>Fail</v>
      </c>
      <c r="BI16" t="str" cm="1">
        <f t="array" ref="BI16">IF(W16=_xlfn.XLOOKUP($B16,VmSpecs[[#All],[VM Name]],VmSpecs[[#All],[OS Disk Size]],"Failed",0,1),"Pass","Fail")</f>
        <v>Fail</v>
      </c>
      <c r="BJ16" t="str" cm="1">
        <f t="array" ref="BJ16">IF(LEFT(X16,4)=LEFT(_xlfn.XLOOKUP($B16,VmSpecs[[#All],[VM Name]],VmSpecs[[#All],[OS Disk Type (Standard SSD etc)]],"Failed",0,1),4),"Pass","Fail")</f>
        <v>Fail</v>
      </c>
      <c r="BK16" t="str" cm="1">
        <f t="array" ref="BK16">IF(Z16=_xlfn.XLOOKUP($B16,VmSpecs[[#All],[VM Name]],VmSpecs[[#All],[Data Disk1 Name]],"Failed",0,1),"Pass","Fail")</f>
        <v>Fail</v>
      </c>
      <c r="BL16" t="str" cm="1">
        <f t="array" ref="BL16">IF(AA16=_xlfn.XLOOKUP($B16,VmSpecs[[#All],[VM Name]],VmSpecs[[#All],[Data Disk1 Size]],"Failed",0,1),"Pass","Fail")</f>
        <v>Fail</v>
      </c>
      <c r="BM16" t="str" cm="1">
        <f t="array" ref="BM16">IF(LEFT(AC16,4)=LEFT(_xlfn.XLOOKUP($B16,VmSpecs[[#All],[VM Name]],VmSpecs[[#All],[Data Disk1 Type]],"Failed",0,1),4),"Pass","Fail")</f>
        <v>Fail</v>
      </c>
      <c r="BO16" t="e">
        <f>VLOOKUP('VM Specs'!K16,'As Built'!B:B,1,FALSE)</f>
        <v>#N/A</v>
      </c>
      <c r="BP16" t="str">
        <f>IF(ISNA(Table613[[#This Row],[VM Build Sheet Check]]),'VM Specs'!K16,"")</f>
        <v>vmpfbpf2crp08</v>
      </c>
    </row>
    <row r="17" spans="1:68" ht="33" customHeight="1" x14ac:dyDescent="0.35">
      <c r="A17" t="str">
        <f>IF(COUNTIF(AsBuilt[[#This Row],[VM Check]:[Data Disk 1 Type Check]],"Fail")&gt;0,"Fail","Pass")</f>
        <v>Fail</v>
      </c>
      <c r="B17" t="s">
        <v>870</v>
      </c>
      <c r="C17" t="s">
        <v>754</v>
      </c>
      <c r="D17" t="s">
        <v>755</v>
      </c>
      <c r="E17" t="s">
        <v>756</v>
      </c>
      <c r="F17" t="s">
        <v>801</v>
      </c>
      <c r="G17" t="s">
        <v>758</v>
      </c>
      <c r="H17" t="s">
        <v>871</v>
      </c>
      <c r="J17" t="s">
        <v>760</v>
      </c>
      <c r="K17" t="s">
        <v>761</v>
      </c>
      <c r="L17" t="s">
        <v>754</v>
      </c>
      <c r="M17" t="s">
        <v>872</v>
      </c>
      <c r="N17" t="s">
        <v>763</v>
      </c>
      <c r="O17" t="s">
        <v>764</v>
      </c>
      <c r="P17" t="s">
        <v>63</v>
      </c>
      <c r="R17" t="s">
        <v>873</v>
      </c>
      <c r="S17" t="s">
        <v>754</v>
      </c>
      <c r="U17" t="s">
        <v>874</v>
      </c>
      <c r="V17" t="s">
        <v>767</v>
      </c>
      <c r="W17">
        <v>64</v>
      </c>
      <c r="X17" t="s">
        <v>768</v>
      </c>
      <c r="Y17">
        <v>2</v>
      </c>
      <c r="Z17" t="s">
        <v>875</v>
      </c>
      <c r="AA17">
        <v>8</v>
      </c>
      <c r="AB17" t="s">
        <v>770</v>
      </c>
      <c r="AC17" t="s">
        <v>768</v>
      </c>
      <c r="AD17" t="s">
        <v>876</v>
      </c>
      <c r="AE17">
        <v>32</v>
      </c>
      <c r="AF17" t="s">
        <v>770</v>
      </c>
      <c r="AG17" t="s">
        <v>768</v>
      </c>
      <c r="AT17" t="s">
        <v>772</v>
      </c>
      <c r="AU17" t="s">
        <v>877</v>
      </c>
      <c r="AV17" t="str" cm="1">
        <f t="array" ref="AV17">IF(B17=_xlfn.XLOOKUP(B17,VmSpecs[[#All],[VM Name]],VmSpecs[[#All],[VM Name]],"Failed",0,1),"Pass","Fail")</f>
        <v>Fail</v>
      </c>
      <c r="AW17" t="str" cm="1">
        <f t="array" ref="AW17">IF(D17=_xlfn.XLOOKUP($B17,VmSpecs[[#All],[VM Name]],VmSpecs[[#All],[Virtual Machine Resource Groups]],"Failed",0,1),"Pass","Fail")</f>
        <v>Fail</v>
      </c>
      <c r="AX17" t="str" cm="1">
        <f t="array" ref="AX17">IF(_xlfn.IFS(E17="australiacentral","Australia Central 1",E17="australiaeast","Australia East",E17="australiasoutheast","Australia SouthEast")=_xlfn.XLOOKUP($B17,VmSpecs[[#All],[VM Name]],VmSpecs[[#All],[Region]],"Failed",0,1),"Pass","Fail")</f>
        <v>Fail</v>
      </c>
      <c r="AY17" t="str" cm="1">
        <f t="array" ref="AY17">IF(F17=_xlfn.XLOOKUP($B17,VmSpecs[[#All],[VM Name]],VmSpecs[[#All],[Instance size]],"Failed",0,1),"Pass","Fail")</f>
        <v>Fail</v>
      </c>
      <c r="AZ17" t="str" cm="1">
        <f t="array" ref="AZ17">IF(LOWER(H17)=_xlfn.XLOOKUP($B17,VmSpecs[[#All],[VM Name]],VmSpecs[[#All],[Availability Set Name]],"Failed",0,1),"Pass","Fail")</f>
        <v>Fail</v>
      </c>
      <c r="BA17" t="str" cm="1">
        <f t="array" ref="BA17">IF(J17=_xlfn.XLOOKUP($B17,VmSpecs[[#All],[VM Name]],VmSpecs[[#All],[Virtual Network]],"Failed",0,1),"Pass","Fail")</f>
        <v>Fail</v>
      </c>
      <c r="BB17" t="str" cm="1">
        <f t="array" ref="BB17">IF(K17=_xlfn.XLOOKUP($B17,VmSpecs[[#All],[VM Name]],VmSpecs[[#All],[Subnet]],"Failed",0,1),"Pass","Fail")</f>
        <v>Fail</v>
      </c>
      <c r="BC17" t="str" cm="1">
        <f t="array" ref="BC17">IF(M17=_xlfn.XLOOKUP($B17,VmSpecs[[#All],[VM Name]],VmSpecs[[#All],[IP]],"Failed",0,1),"Pass","Fail")</f>
        <v>Fail</v>
      </c>
      <c r="BD17" t="str" cm="1">
        <f t="array" ref="BD17">IF(N17=_xlfn.XLOOKUP($B17,VmSpecs[[#All],[VM Name]],VmSpecs[[#All],[Network Security Group]],"Failed",0,1),"Pass","Fail")</f>
        <v>Fail</v>
      </c>
      <c r="BE17" t="str" cm="1">
        <f t="array" ref="BE17">IF(O17=_xlfn.XLOOKUP($B17,VmSpecs[[#All],[VM Name]],VmSpecs[[#All],[Route Table Name]],"Failed",0,1),"Pass","Fail")</f>
        <v>Fail</v>
      </c>
      <c r="BF17" t="str" cm="1">
        <f t="array" ref="BF17">IF(P17=_xlfn.XLOOKUP($B17,VmSpecs[[#All],[VM Name]],VmSpecs[[#All],[Operating System]],"Failed",0,1),"Pass","Fail")</f>
        <v>Fail</v>
      </c>
      <c r="BG17" t="str" cm="1">
        <f t="array" ref="BG17">IF(R17=_xlfn.XLOOKUP($B17,VmSpecs[[#All],[VM Name]],VmSpecs[[#All],[NIC name]],"Failed",0,1),"Pass","Fail")</f>
        <v>Fail</v>
      </c>
      <c r="BH17" t="str" cm="1">
        <f t="array" ref="BH17">IF(U17=_xlfn.XLOOKUP($B17,VmSpecs[[#All],[VM Name]],VmSpecs[[#All],[OS Disk Name]],"Failed",0,1),"Pass","Fail")</f>
        <v>Fail</v>
      </c>
      <c r="BI17" t="str" cm="1">
        <f t="array" ref="BI17">IF(W17=_xlfn.XLOOKUP($B17,VmSpecs[[#All],[VM Name]],VmSpecs[[#All],[OS Disk Size]],"Failed",0,1),"Pass","Fail")</f>
        <v>Fail</v>
      </c>
      <c r="BJ17" t="str" cm="1">
        <f t="array" ref="BJ17">IF(LEFT(X17,4)=LEFT(_xlfn.XLOOKUP($B17,VmSpecs[[#All],[VM Name]],VmSpecs[[#All],[OS Disk Type (Standard SSD etc)]],"Failed",0,1),4),"Pass","Fail")</f>
        <v>Fail</v>
      </c>
      <c r="BK17" t="str" cm="1">
        <f t="array" ref="BK17">IF(Z17=_xlfn.XLOOKUP($B17,VmSpecs[[#All],[VM Name]],VmSpecs[[#All],[Data Disk1 Name]],"Failed",0,1),"Pass","Fail")</f>
        <v>Fail</v>
      </c>
      <c r="BL17" t="str" cm="1">
        <f t="array" ref="BL17">IF(AA17=_xlfn.XLOOKUP($B17,VmSpecs[[#All],[VM Name]],VmSpecs[[#All],[Data Disk1 Size]],"Failed",0,1),"Pass","Fail")</f>
        <v>Fail</v>
      </c>
      <c r="BM17" t="str" cm="1">
        <f t="array" ref="BM17">IF(LEFT(AC17,4)=LEFT(_xlfn.XLOOKUP($B17,VmSpecs[[#All],[VM Name]],VmSpecs[[#All],[Data Disk1 Type]],"Failed",0,1),4),"Pass","Fail")</f>
        <v>Fail</v>
      </c>
      <c r="BO17" t="e">
        <f>VLOOKUP('VM Specs'!K17,'As Built'!B:B,1,FALSE)</f>
        <v>#N/A</v>
      </c>
      <c r="BP17" t="str">
        <f>IF(ISNA(Table613[[#This Row],[VM Build Sheet Check]]),'VM Specs'!K17,"")</f>
        <v>vmpfbpf2dcr01</v>
      </c>
    </row>
    <row r="18" spans="1:68" ht="33" customHeight="1" x14ac:dyDescent="0.35">
      <c r="A18" t="str">
        <f>IF(COUNTIF(AsBuilt[[#This Row],[VM Check]:[Data Disk 1 Type Check]],"Fail")&gt;0,"Fail","Pass")</f>
        <v>Fail</v>
      </c>
      <c r="B18" t="s">
        <v>878</v>
      </c>
      <c r="C18" t="s">
        <v>754</v>
      </c>
      <c r="D18" t="s">
        <v>755</v>
      </c>
      <c r="E18" t="s">
        <v>756</v>
      </c>
      <c r="F18" t="s">
        <v>801</v>
      </c>
      <c r="G18" t="s">
        <v>758</v>
      </c>
      <c r="H18" t="s">
        <v>871</v>
      </c>
      <c r="J18" t="s">
        <v>760</v>
      </c>
      <c r="K18" t="s">
        <v>761</v>
      </c>
      <c r="L18" t="s">
        <v>754</v>
      </c>
      <c r="M18" t="s">
        <v>879</v>
      </c>
      <c r="N18" t="s">
        <v>763</v>
      </c>
      <c r="O18" t="s">
        <v>764</v>
      </c>
      <c r="P18" t="s">
        <v>63</v>
      </c>
      <c r="R18" t="s">
        <v>880</v>
      </c>
      <c r="S18" t="s">
        <v>754</v>
      </c>
      <c r="U18" t="s">
        <v>881</v>
      </c>
      <c r="V18" t="s">
        <v>767</v>
      </c>
      <c r="W18">
        <v>64</v>
      </c>
      <c r="X18" t="s">
        <v>768</v>
      </c>
      <c r="Y18">
        <v>2</v>
      </c>
      <c r="Z18" t="s">
        <v>882</v>
      </c>
      <c r="AA18">
        <v>8</v>
      </c>
      <c r="AB18" t="s">
        <v>770</v>
      </c>
      <c r="AC18" t="s">
        <v>768</v>
      </c>
      <c r="AD18" t="s">
        <v>883</v>
      </c>
      <c r="AE18">
        <v>32</v>
      </c>
      <c r="AF18" t="s">
        <v>770</v>
      </c>
      <c r="AG18" t="s">
        <v>768</v>
      </c>
      <c r="AT18" t="s">
        <v>772</v>
      </c>
      <c r="AU18" t="s">
        <v>884</v>
      </c>
      <c r="AV18" t="str" cm="1">
        <f t="array" ref="AV18">IF(B18=_xlfn.XLOOKUP(B18,VmSpecs[[#All],[VM Name]],VmSpecs[[#All],[VM Name]],"Failed",0,1),"Pass","Fail")</f>
        <v>Fail</v>
      </c>
      <c r="AW18" t="str" cm="1">
        <f t="array" ref="AW18">IF(D18=_xlfn.XLOOKUP($B18,VmSpecs[[#All],[VM Name]],VmSpecs[[#All],[Virtual Machine Resource Groups]],"Failed",0,1),"Pass","Fail")</f>
        <v>Fail</v>
      </c>
      <c r="AX18" t="str" cm="1">
        <f t="array" ref="AX18">IF(_xlfn.IFS(E18="australiacentral","Australia Central 1",E18="australiaeast","Australia East",E18="australiasoutheast","Australia SouthEast")=_xlfn.XLOOKUP($B18,VmSpecs[[#All],[VM Name]],VmSpecs[[#All],[Region]],"Failed",0,1),"Pass","Fail")</f>
        <v>Fail</v>
      </c>
      <c r="AY18" t="str" cm="1">
        <f t="array" ref="AY18">IF(F18=_xlfn.XLOOKUP($B18,VmSpecs[[#All],[VM Name]],VmSpecs[[#All],[Instance size]],"Failed",0,1),"Pass","Fail")</f>
        <v>Fail</v>
      </c>
      <c r="AZ18" t="str" cm="1">
        <f t="array" ref="AZ18">IF(LOWER(H18)=_xlfn.XLOOKUP($B18,VmSpecs[[#All],[VM Name]],VmSpecs[[#All],[Availability Set Name]],"Failed",0,1),"Pass","Fail")</f>
        <v>Fail</v>
      </c>
      <c r="BA18" t="str" cm="1">
        <f t="array" ref="BA18">IF(J18=_xlfn.XLOOKUP($B18,VmSpecs[[#All],[VM Name]],VmSpecs[[#All],[Virtual Network]],"Failed",0,1),"Pass","Fail")</f>
        <v>Fail</v>
      </c>
      <c r="BB18" t="str" cm="1">
        <f t="array" ref="BB18">IF(K18=_xlfn.XLOOKUP($B18,VmSpecs[[#All],[VM Name]],VmSpecs[[#All],[Subnet]],"Failed",0,1),"Pass","Fail")</f>
        <v>Fail</v>
      </c>
      <c r="BC18" t="str" cm="1">
        <f t="array" ref="BC18">IF(M18=_xlfn.XLOOKUP($B18,VmSpecs[[#All],[VM Name]],VmSpecs[[#All],[IP]],"Failed",0,1),"Pass","Fail")</f>
        <v>Fail</v>
      </c>
      <c r="BD18" t="str" cm="1">
        <f t="array" ref="BD18">IF(N18=_xlfn.XLOOKUP($B18,VmSpecs[[#All],[VM Name]],VmSpecs[[#All],[Network Security Group]],"Failed",0,1),"Pass","Fail")</f>
        <v>Fail</v>
      </c>
      <c r="BE18" t="str" cm="1">
        <f t="array" ref="BE18">IF(O18=_xlfn.XLOOKUP($B18,VmSpecs[[#All],[VM Name]],VmSpecs[[#All],[Route Table Name]],"Failed",0,1),"Pass","Fail")</f>
        <v>Fail</v>
      </c>
      <c r="BF18" t="str" cm="1">
        <f t="array" ref="BF18">IF(P18=_xlfn.XLOOKUP($B18,VmSpecs[[#All],[VM Name]],VmSpecs[[#All],[Operating System]],"Failed",0,1),"Pass","Fail")</f>
        <v>Fail</v>
      </c>
      <c r="BG18" t="str" cm="1">
        <f t="array" ref="BG18">IF(R18=_xlfn.XLOOKUP($B18,VmSpecs[[#All],[VM Name]],VmSpecs[[#All],[NIC name]],"Failed",0,1),"Pass","Fail")</f>
        <v>Fail</v>
      </c>
      <c r="BH18" t="str" cm="1">
        <f t="array" ref="BH18">IF(U18=_xlfn.XLOOKUP($B18,VmSpecs[[#All],[VM Name]],VmSpecs[[#All],[OS Disk Name]],"Failed",0,1),"Pass","Fail")</f>
        <v>Fail</v>
      </c>
      <c r="BI18" t="str" cm="1">
        <f t="array" ref="BI18">IF(W18=_xlfn.XLOOKUP($B18,VmSpecs[[#All],[VM Name]],VmSpecs[[#All],[OS Disk Size]],"Failed",0,1),"Pass","Fail")</f>
        <v>Fail</v>
      </c>
      <c r="BJ18" t="str" cm="1">
        <f t="array" ref="BJ18">IF(LEFT(X18,4)=LEFT(_xlfn.XLOOKUP($B18,VmSpecs[[#All],[VM Name]],VmSpecs[[#All],[OS Disk Type (Standard SSD etc)]],"Failed",0,1),4),"Pass","Fail")</f>
        <v>Fail</v>
      </c>
      <c r="BK18" t="str" cm="1">
        <f t="array" ref="BK18">IF(Z18=_xlfn.XLOOKUP($B18,VmSpecs[[#All],[VM Name]],VmSpecs[[#All],[Data Disk1 Name]],"Failed",0,1),"Pass","Fail")</f>
        <v>Fail</v>
      </c>
      <c r="BL18" t="str" cm="1">
        <f t="array" ref="BL18">IF(AA18=_xlfn.XLOOKUP($B18,VmSpecs[[#All],[VM Name]],VmSpecs[[#All],[Data Disk1 Size]],"Failed",0,1),"Pass","Fail")</f>
        <v>Fail</v>
      </c>
      <c r="BM18" t="str" cm="1">
        <f t="array" ref="BM18">IF(LEFT(AC18,4)=LEFT(_xlfn.XLOOKUP($B18,VmSpecs[[#All],[VM Name]],VmSpecs[[#All],[Data Disk1 Type]],"Failed",0,1),4),"Pass","Fail")</f>
        <v>Fail</v>
      </c>
      <c r="BO18" t="e">
        <f>VLOOKUP('VM Specs'!K18,'As Built'!B:B,1,FALSE)</f>
        <v>#N/A</v>
      </c>
      <c r="BP18" t="str">
        <f>IF(ISNA(Table613[[#This Row],[VM Build Sheet Check]]),'VM Specs'!K18,"")</f>
        <v>vmpfbpf2dcr02</v>
      </c>
    </row>
    <row r="19" spans="1:68" ht="33" customHeight="1" x14ac:dyDescent="0.35">
      <c r="A19" t="str">
        <f>IF(COUNTIF(AsBuilt[[#This Row],[VM Check]:[Data Disk 1 Type Check]],"Fail")&gt;0,"Fail","Pass")</f>
        <v>Fail</v>
      </c>
      <c r="B19" t="s">
        <v>885</v>
      </c>
      <c r="C19" t="s">
        <v>754</v>
      </c>
      <c r="D19" t="s">
        <v>755</v>
      </c>
      <c r="E19" t="s">
        <v>756</v>
      </c>
      <c r="F19" t="s">
        <v>801</v>
      </c>
      <c r="G19" t="s">
        <v>758</v>
      </c>
      <c r="H19" t="s">
        <v>871</v>
      </c>
      <c r="J19" t="s">
        <v>760</v>
      </c>
      <c r="K19" t="s">
        <v>761</v>
      </c>
      <c r="L19" t="s">
        <v>754</v>
      </c>
      <c r="M19" t="s">
        <v>886</v>
      </c>
      <c r="N19" t="s">
        <v>763</v>
      </c>
      <c r="O19" t="s">
        <v>764</v>
      </c>
      <c r="P19" t="s">
        <v>63</v>
      </c>
      <c r="R19" t="s">
        <v>887</v>
      </c>
      <c r="S19" t="s">
        <v>754</v>
      </c>
      <c r="U19" t="s">
        <v>888</v>
      </c>
      <c r="V19" t="s">
        <v>767</v>
      </c>
      <c r="W19">
        <v>64</v>
      </c>
      <c r="X19" t="s">
        <v>768</v>
      </c>
      <c r="Y19">
        <v>2</v>
      </c>
      <c r="Z19" t="s">
        <v>889</v>
      </c>
      <c r="AA19">
        <v>8</v>
      </c>
      <c r="AB19" t="s">
        <v>770</v>
      </c>
      <c r="AC19" t="s">
        <v>768</v>
      </c>
      <c r="AD19" t="s">
        <v>890</v>
      </c>
      <c r="AE19">
        <v>32</v>
      </c>
      <c r="AF19" t="s">
        <v>770</v>
      </c>
      <c r="AG19" t="s">
        <v>768</v>
      </c>
      <c r="AT19" t="s">
        <v>772</v>
      </c>
      <c r="AU19" t="s">
        <v>891</v>
      </c>
      <c r="AV19" t="str" cm="1">
        <f t="array" ref="AV19">IF(B19=_xlfn.XLOOKUP(B19,VmSpecs[[#All],[VM Name]],VmSpecs[[#All],[VM Name]],"Failed",0,1),"Pass","Fail")</f>
        <v>Fail</v>
      </c>
      <c r="AW19" t="str" cm="1">
        <f t="array" ref="AW19">IF(D19=_xlfn.XLOOKUP($B19,VmSpecs[[#All],[VM Name]],VmSpecs[[#All],[Virtual Machine Resource Groups]],"Failed",0,1),"Pass","Fail")</f>
        <v>Fail</v>
      </c>
      <c r="AX19" t="str" cm="1">
        <f t="array" ref="AX19">IF(_xlfn.IFS(E19="australiacentral","Australia Central 1",E19="australiaeast","Australia East",E19="australiasoutheast","Australia SouthEast")=_xlfn.XLOOKUP($B19,VmSpecs[[#All],[VM Name]],VmSpecs[[#All],[Region]],"Failed",0,1),"Pass","Fail")</f>
        <v>Fail</v>
      </c>
      <c r="AY19" t="str" cm="1">
        <f t="array" ref="AY19">IF(F19=_xlfn.XLOOKUP($B19,VmSpecs[[#All],[VM Name]],VmSpecs[[#All],[Instance size]],"Failed",0,1),"Pass","Fail")</f>
        <v>Fail</v>
      </c>
      <c r="AZ19" t="str" cm="1">
        <f t="array" ref="AZ19">IF(LOWER(H19)=_xlfn.XLOOKUP($B19,VmSpecs[[#All],[VM Name]],VmSpecs[[#All],[Availability Set Name]],"Failed",0,1),"Pass","Fail")</f>
        <v>Fail</v>
      </c>
      <c r="BA19" t="str" cm="1">
        <f t="array" ref="BA19">IF(J19=_xlfn.XLOOKUP($B19,VmSpecs[[#All],[VM Name]],VmSpecs[[#All],[Virtual Network]],"Failed",0,1),"Pass","Fail")</f>
        <v>Fail</v>
      </c>
      <c r="BB19" t="str" cm="1">
        <f t="array" ref="BB19">IF(K19=_xlfn.XLOOKUP($B19,VmSpecs[[#All],[VM Name]],VmSpecs[[#All],[Subnet]],"Failed",0,1),"Pass","Fail")</f>
        <v>Fail</v>
      </c>
      <c r="BC19" t="str" cm="1">
        <f t="array" ref="BC19">IF(M19=_xlfn.XLOOKUP($B19,VmSpecs[[#All],[VM Name]],VmSpecs[[#All],[IP]],"Failed",0,1),"Pass","Fail")</f>
        <v>Fail</v>
      </c>
      <c r="BD19" t="str" cm="1">
        <f t="array" ref="BD19">IF(N19=_xlfn.XLOOKUP($B19,VmSpecs[[#All],[VM Name]],VmSpecs[[#All],[Network Security Group]],"Failed",0,1),"Pass","Fail")</f>
        <v>Fail</v>
      </c>
      <c r="BE19" t="str" cm="1">
        <f t="array" ref="BE19">IF(O19=_xlfn.XLOOKUP($B19,VmSpecs[[#All],[VM Name]],VmSpecs[[#All],[Route Table Name]],"Failed",0,1),"Pass","Fail")</f>
        <v>Fail</v>
      </c>
      <c r="BF19" t="str" cm="1">
        <f t="array" ref="BF19">IF(P19=_xlfn.XLOOKUP($B19,VmSpecs[[#All],[VM Name]],VmSpecs[[#All],[Operating System]],"Failed",0,1),"Pass","Fail")</f>
        <v>Fail</v>
      </c>
      <c r="BG19" t="str" cm="1">
        <f t="array" ref="BG19">IF(R19=_xlfn.XLOOKUP($B19,VmSpecs[[#All],[VM Name]],VmSpecs[[#All],[NIC name]],"Failed",0,1),"Pass","Fail")</f>
        <v>Fail</v>
      </c>
      <c r="BH19" t="str" cm="1">
        <f t="array" ref="BH19">IF(U19=_xlfn.XLOOKUP($B19,VmSpecs[[#All],[VM Name]],VmSpecs[[#All],[OS Disk Name]],"Failed",0,1),"Pass","Fail")</f>
        <v>Fail</v>
      </c>
      <c r="BI19" t="str" cm="1">
        <f t="array" ref="BI19">IF(W19=_xlfn.XLOOKUP($B19,VmSpecs[[#All],[VM Name]],VmSpecs[[#All],[OS Disk Size]],"Failed",0,1),"Pass","Fail")</f>
        <v>Fail</v>
      </c>
      <c r="BJ19" t="str" cm="1">
        <f t="array" ref="BJ19">IF(LEFT(X19,4)=LEFT(_xlfn.XLOOKUP($B19,VmSpecs[[#All],[VM Name]],VmSpecs[[#All],[OS Disk Type (Standard SSD etc)]],"Failed",0,1),4),"Pass","Fail")</f>
        <v>Fail</v>
      </c>
      <c r="BK19" t="str" cm="1">
        <f t="array" ref="BK19">IF(Z19=_xlfn.XLOOKUP($B19,VmSpecs[[#All],[VM Name]],VmSpecs[[#All],[Data Disk1 Name]],"Failed",0,1),"Pass","Fail")</f>
        <v>Fail</v>
      </c>
      <c r="BL19" t="str" cm="1">
        <f t="array" ref="BL19">IF(AA19=_xlfn.XLOOKUP($B19,VmSpecs[[#All],[VM Name]],VmSpecs[[#All],[Data Disk1 Size]],"Failed",0,1),"Pass","Fail")</f>
        <v>Fail</v>
      </c>
      <c r="BM19" t="str" cm="1">
        <f t="array" ref="BM19">IF(LEFT(AC19,4)=LEFT(_xlfn.XLOOKUP($B19,VmSpecs[[#All],[VM Name]],VmSpecs[[#All],[Data Disk1 Type]],"Failed",0,1),4),"Pass","Fail")</f>
        <v>Fail</v>
      </c>
      <c r="BO19" t="e">
        <f>VLOOKUP('VM Specs'!K19,'As Built'!B:B,1,FALSE)</f>
        <v>#N/A</v>
      </c>
      <c r="BP19" t="str">
        <f>IF(ISNA(Table613[[#This Row],[VM Build Sheet Check]]),'VM Specs'!K19,"")</f>
        <v>vmpfbpf2dcr03</v>
      </c>
    </row>
    <row r="20" spans="1:68" ht="33" customHeight="1" x14ac:dyDescent="0.35">
      <c r="A20" t="str">
        <f>IF(COUNTIF(AsBuilt[[#This Row],[VM Check]:[Data Disk 1 Type Check]],"Fail")&gt;0,"Fail","Pass")</f>
        <v>Fail</v>
      </c>
      <c r="B20" t="s">
        <v>892</v>
      </c>
      <c r="C20" t="s">
        <v>754</v>
      </c>
      <c r="D20" t="s">
        <v>755</v>
      </c>
      <c r="E20" t="s">
        <v>756</v>
      </c>
      <c r="F20" t="s">
        <v>801</v>
      </c>
      <c r="G20" t="s">
        <v>758</v>
      </c>
      <c r="H20" t="s">
        <v>871</v>
      </c>
      <c r="J20" t="s">
        <v>760</v>
      </c>
      <c r="K20" t="s">
        <v>761</v>
      </c>
      <c r="L20" t="s">
        <v>754</v>
      </c>
      <c r="M20" t="s">
        <v>893</v>
      </c>
      <c r="N20" t="s">
        <v>763</v>
      </c>
      <c r="O20" t="s">
        <v>764</v>
      </c>
      <c r="P20" t="s">
        <v>63</v>
      </c>
      <c r="R20" t="s">
        <v>894</v>
      </c>
      <c r="S20" t="s">
        <v>754</v>
      </c>
      <c r="U20" t="s">
        <v>895</v>
      </c>
      <c r="V20" t="s">
        <v>767</v>
      </c>
      <c r="W20">
        <v>64</v>
      </c>
      <c r="X20" t="s">
        <v>768</v>
      </c>
      <c r="Y20">
        <v>2</v>
      </c>
      <c r="Z20" t="s">
        <v>896</v>
      </c>
      <c r="AA20">
        <v>8</v>
      </c>
      <c r="AB20" t="s">
        <v>770</v>
      </c>
      <c r="AC20" t="s">
        <v>768</v>
      </c>
      <c r="AD20" t="s">
        <v>897</v>
      </c>
      <c r="AE20">
        <v>32</v>
      </c>
      <c r="AF20" t="s">
        <v>770</v>
      </c>
      <c r="AG20" t="s">
        <v>768</v>
      </c>
      <c r="AT20" t="s">
        <v>772</v>
      </c>
      <c r="AU20" t="s">
        <v>898</v>
      </c>
      <c r="AV20" t="str" cm="1">
        <f t="array" ref="AV20">IF(B20=_xlfn.XLOOKUP(B20,VmSpecs[[#All],[VM Name]],VmSpecs[[#All],[VM Name]],"Failed",0,1),"Pass","Fail")</f>
        <v>Fail</v>
      </c>
      <c r="AW20" t="str" cm="1">
        <f t="array" ref="AW20">IF(D20=_xlfn.XLOOKUP($B20,VmSpecs[[#All],[VM Name]],VmSpecs[[#All],[Virtual Machine Resource Groups]],"Failed",0,1),"Pass","Fail")</f>
        <v>Fail</v>
      </c>
      <c r="AX20" t="str" cm="1">
        <f t="array" ref="AX20">IF(_xlfn.IFS(E20="australiacentral","Australia Central 1",E20="australiaeast","Australia East",E20="australiasoutheast","Australia SouthEast")=_xlfn.XLOOKUP($B20,VmSpecs[[#All],[VM Name]],VmSpecs[[#All],[Region]],"Failed",0,1),"Pass","Fail")</f>
        <v>Fail</v>
      </c>
      <c r="AY20" t="str" cm="1">
        <f t="array" ref="AY20">IF(F20=_xlfn.XLOOKUP($B20,VmSpecs[[#All],[VM Name]],VmSpecs[[#All],[Instance size]],"Failed",0,1),"Pass","Fail")</f>
        <v>Fail</v>
      </c>
      <c r="AZ20" t="str" cm="1">
        <f t="array" ref="AZ20">IF(LOWER(H20)=_xlfn.XLOOKUP($B20,VmSpecs[[#All],[VM Name]],VmSpecs[[#All],[Availability Set Name]],"Failed",0,1),"Pass","Fail")</f>
        <v>Fail</v>
      </c>
      <c r="BA20" t="str" cm="1">
        <f t="array" ref="BA20">IF(J20=_xlfn.XLOOKUP($B20,VmSpecs[[#All],[VM Name]],VmSpecs[[#All],[Virtual Network]],"Failed",0,1),"Pass","Fail")</f>
        <v>Fail</v>
      </c>
      <c r="BB20" t="str" cm="1">
        <f t="array" ref="BB20">IF(K20=_xlfn.XLOOKUP($B20,VmSpecs[[#All],[VM Name]],VmSpecs[[#All],[Subnet]],"Failed",0,1),"Pass","Fail")</f>
        <v>Fail</v>
      </c>
      <c r="BC20" t="str" cm="1">
        <f t="array" ref="BC20">IF(M20=_xlfn.XLOOKUP($B20,VmSpecs[[#All],[VM Name]],VmSpecs[[#All],[IP]],"Failed",0,1),"Pass","Fail")</f>
        <v>Fail</v>
      </c>
      <c r="BD20" t="str" cm="1">
        <f t="array" ref="BD20">IF(N20=_xlfn.XLOOKUP($B20,VmSpecs[[#All],[VM Name]],VmSpecs[[#All],[Network Security Group]],"Failed",0,1),"Pass","Fail")</f>
        <v>Fail</v>
      </c>
      <c r="BE20" t="str" cm="1">
        <f t="array" ref="BE20">IF(O20=_xlfn.XLOOKUP($B20,VmSpecs[[#All],[VM Name]],VmSpecs[[#All],[Route Table Name]],"Failed",0,1),"Pass","Fail")</f>
        <v>Fail</v>
      </c>
      <c r="BF20" t="str" cm="1">
        <f t="array" ref="BF20">IF(P20=_xlfn.XLOOKUP($B20,VmSpecs[[#All],[VM Name]],VmSpecs[[#All],[Operating System]],"Failed",0,1),"Pass","Fail")</f>
        <v>Fail</v>
      </c>
      <c r="BG20" t="str" cm="1">
        <f t="array" ref="BG20">IF(R20=_xlfn.XLOOKUP($B20,VmSpecs[[#All],[VM Name]],VmSpecs[[#All],[NIC name]],"Failed",0,1),"Pass","Fail")</f>
        <v>Fail</v>
      </c>
      <c r="BH20" t="str" cm="1">
        <f t="array" ref="BH20">IF(U20=_xlfn.XLOOKUP($B20,VmSpecs[[#All],[VM Name]],VmSpecs[[#All],[OS Disk Name]],"Failed",0,1),"Pass","Fail")</f>
        <v>Fail</v>
      </c>
      <c r="BI20" t="str" cm="1">
        <f t="array" ref="BI20">IF(W20=_xlfn.XLOOKUP($B20,VmSpecs[[#All],[VM Name]],VmSpecs[[#All],[OS Disk Size]],"Failed",0,1),"Pass","Fail")</f>
        <v>Fail</v>
      </c>
      <c r="BJ20" t="str" cm="1">
        <f t="array" ref="BJ20">IF(LEFT(X20,4)=LEFT(_xlfn.XLOOKUP($B20,VmSpecs[[#All],[VM Name]],VmSpecs[[#All],[OS Disk Type (Standard SSD etc)]],"Failed",0,1),4),"Pass","Fail")</f>
        <v>Fail</v>
      </c>
      <c r="BK20" t="str" cm="1">
        <f t="array" ref="BK20">IF(Z20=_xlfn.XLOOKUP($B20,VmSpecs[[#All],[VM Name]],VmSpecs[[#All],[Data Disk1 Name]],"Failed",0,1),"Pass","Fail")</f>
        <v>Fail</v>
      </c>
      <c r="BL20" t="str" cm="1">
        <f t="array" ref="BL20">IF(AA20=_xlfn.XLOOKUP($B20,VmSpecs[[#All],[VM Name]],VmSpecs[[#All],[Data Disk1 Size]],"Failed",0,1),"Pass","Fail")</f>
        <v>Fail</v>
      </c>
      <c r="BM20" t="str" cm="1">
        <f t="array" ref="BM20">IF(LEFT(AC20,4)=LEFT(_xlfn.XLOOKUP($B20,VmSpecs[[#All],[VM Name]],VmSpecs[[#All],[Data Disk1 Type]],"Failed",0,1),4),"Pass","Fail")</f>
        <v>Fail</v>
      </c>
      <c r="BO20" t="e">
        <f>VLOOKUP('VM Specs'!K20,'As Built'!B:B,1,FALSE)</f>
        <v>#N/A</v>
      </c>
      <c r="BP20" t="str">
        <f>IF(ISNA(Table613[[#This Row],[VM Build Sheet Check]]),'VM Specs'!K20,"")</f>
        <v>vmpfbpf2dcr04</v>
      </c>
    </row>
    <row r="21" spans="1:68" ht="33" customHeight="1" x14ac:dyDescent="0.35">
      <c r="A21" t="str">
        <f>IF(COUNTIF(AsBuilt[[#This Row],[VM Check]:[Data Disk 1 Type Check]],"Fail")&gt;0,"Fail","Pass")</f>
        <v>Fail</v>
      </c>
      <c r="B21" t="s">
        <v>899</v>
      </c>
      <c r="C21" t="s">
        <v>754</v>
      </c>
      <c r="D21" t="s">
        <v>755</v>
      </c>
      <c r="E21" t="s">
        <v>756</v>
      </c>
      <c r="F21" t="s">
        <v>801</v>
      </c>
      <c r="G21" t="s">
        <v>758</v>
      </c>
      <c r="H21" t="s">
        <v>900</v>
      </c>
      <c r="J21" t="s">
        <v>760</v>
      </c>
      <c r="K21" t="s">
        <v>761</v>
      </c>
      <c r="L21" t="s">
        <v>754</v>
      </c>
      <c r="M21" t="s">
        <v>901</v>
      </c>
      <c r="N21" t="s">
        <v>763</v>
      </c>
      <c r="O21" t="s">
        <v>764</v>
      </c>
      <c r="P21" t="s">
        <v>63</v>
      </c>
      <c r="R21" t="s">
        <v>902</v>
      </c>
      <c r="S21" t="s">
        <v>754</v>
      </c>
      <c r="U21" t="s">
        <v>903</v>
      </c>
      <c r="V21" t="s">
        <v>767</v>
      </c>
      <c r="W21">
        <v>64</v>
      </c>
      <c r="X21" t="s">
        <v>768</v>
      </c>
      <c r="Y21">
        <v>2</v>
      </c>
      <c r="Z21" t="s">
        <v>904</v>
      </c>
      <c r="AA21">
        <v>8</v>
      </c>
      <c r="AB21" t="s">
        <v>770</v>
      </c>
      <c r="AC21" t="s">
        <v>768</v>
      </c>
      <c r="AD21" t="s">
        <v>905</v>
      </c>
      <c r="AE21">
        <v>32</v>
      </c>
      <c r="AF21" t="s">
        <v>770</v>
      </c>
      <c r="AG21" t="s">
        <v>768</v>
      </c>
      <c r="AT21" t="s">
        <v>772</v>
      </c>
      <c r="AU21" t="s">
        <v>906</v>
      </c>
      <c r="AV21" t="str" cm="1">
        <f t="array" ref="AV21">IF(B21=_xlfn.XLOOKUP(B21,VmSpecs[[#All],[VM Name]],VmSpecs[[#All],[VM Name]],"Failed",0,1),"Pass","Fail")</f>
        <v>Fail</v>
      </c>
      <c r="AW21" t="str" cm="1">
        <f t="array" ref="AW21">IF(D21=_xlfn.XLOOKUP($B21,VmSpecs[[#All],[VM Name]],VmSpecs[[#All],[Virtual Machine Resource Groups]],"Failed",0,1),"Pass","Fail")</f>
        <v>Fail</v>
      </c>
      <c r="AX21" t="str" cm="1">
        <f t="array" ref="AX21">IF(_xlfn.IFS(E21="australiacentral","Australia Central 1",E21="australiaeast","Australia East",E21="australiasoutheast","Australia SouthEast")=_xlfn.XLOOKUP($B21,VmSpecs[[#All],[VM Name]],VmSpecs[[#All],[Region]],"Failed",0,1),"Pass","Fail")</f>
        <v>Fail</v>
      </c>
      <c r="AY21" t="str" cm="1">
        <f t="array" ref="AY21">IF(F21=_xlfn.XLOOKUP($B21,VmSpecs[[#All],[VM Name]],VmSpecs[[#All],[Instance size]],"Failed",0,1),"Pass","Fail")</f>
        <v>Fail</v>
      </c>
      <c r="AZ21" t="str" cm="1">
        <f t="array" ref="AZ21">IF(LOWER(H21)=_xlfn.XLOOKUP($B21,VmSpecs[[#All],[VM Name]],VmSpecs[[#All],[Availability Set Name]],"Failed",0,1),"Pass","Fail")</f>
        <v>Fail</v>
      </c>
      <c r="BA21" t="str" cm="1">
        <f t="array" ref="BA21">IF(J21=_xlfn.XLOOKUP($B21,VmSpecs[[#All],[VM Name]],VmSpecs[[#All],[Virtual Network]],"Failed",0,1),"Pass","Fail")</f>
        <v>Fail</v>
      </c>
      <c r="BB21" t="str" cm="1">
        <f t="array" ref="BB21">IF(K21=_xlfn.XLOOKUP($B21,VmSpecs[[#All],[VM Name]],VmSpecs[[#All],[Subnet]],"Failed",0,1),"Pass","Fail")</f>
        <v>Fail</v>
      </c>
      <c r="BC21" t="str" cm="1">
        <f t="array" ref="BC21">IF(M21=_xlfn.XLOOKUP($B21,VmSpecs[[#All],[VM Name]],VmSpecs[[#All],[IP]],"Failed",0,1),"Pass","Fail")</f>
        <v>Fail</v>
      </c>
      <c r="BD21" t="str" cm="1">
        <f t="array" ref="BD21">IF(N21=_xlfn.XLOOKUP($B21,VmSpecs[[#All],[VM Name]],VmSpecs[[#All],[Network Security Group]],"Failed",0,1),"Pass","Fail")</f>
        <v>Fail</v>
      </c>
      <c r="BE21" t="str" cm="1">
        <f t="array" ref="BE21">IF(O21=_xlfn.XLOOKUP($B21,VmSpecs[[#All],[VM Name]],VmSpecs[[#All],[Route Table Name]],"Failed",0,1),"Pass","Fail")</f>
        <v>Fail</v>
      </c>
      <c r="BF21" t="str" cm="1">
        <f t="array" ref="BF21">IF(P21=_xlfn.XLOOKUP($B21,VmSpecs[[#All],[VM Name]],VmSpecs[[#All],[Operating System]],"Failed",0,1),"Pass","Fail")</f>
        <v>Fail</v>
      </c>
      <c r="BG21" t="str" cm="1">
        <f t="array" ref="BG21">IF(R21=_xlfn.XLOOKUP($B21,VmSpecs[[#All],[VM Name]],VmSpecs[[#All],[NIC name]],"Failed",0,1),"Pass","Fail")</f>
        <v>Fail</v>
      </c>
      <c r="BH21" t="str" cm="1">
        <f t="array" ref="BH21">IF(U21=_xlfn.XLOOKUP($B21,VmSpecs[[#All],[VM Name]],VmSpecs[[#All],[OS Disk Name]],"Failed",0,1),"Pass","Fail")</f>
        <v>Fail</v>
      </c>
      <c r="BI21" t="str" cm="1">
        <f t="array" ref="BI21">IF(W21=_xlfn.XLOOKUP($B21,VmSpecs[[#All],[VM Name]],VmSpecs[[#All],[OS Disk Size]],"Failed",0,1),"Pass","Fail")</f>
        <v>Fail</v>
      </c>
      <c r="BJ21" t="str" cm="1">
        <f t="array" ref="BJ21">IF(LEFT(X21,4)=LEFT(_xlfn.XLOOKUP($B21,VmSpecs[[#All],[VM Name]],VmSpecs[[#All],[OS Disk Type (Standard SSD etc)]],"Failed",0,1),4),"Pass","Fail")</f>
        <v>Fail</v>
      </c>
      <c r="BK21" t="str" cm="1">
        <f t="array" ref="BK21">IF(Z21=_xlfn.XLOOKUP($B21,VmSpecs[[#All],[VM Name]],VmSpecs[[#All],[Data Disk1 Name]],"Failed",0,1),"Pass","Fail")</f>
        <v>Fail</v>
      </c>
      <c r="BL21" t="str" cm="1">
        <f t="array" ref="BL21">IF(AA21=_xlfn.XLOOKUP($B21,VmSpecs[[#All],[VM Name]],VmSpecs[[#All],[Data Disk1 Size]],"Failed",0,1),"Pass","Fail")</f>
        <v>Fail</v>
      </c>
      <c r="BM21" t="str" cm="1">
        <f t="array" ref="BM21">IF(LEFT(AC21,4)=LEFT(_xlfn.XLOOKUP($B21,VmSpecs[[#All],[VM Name]],VmSpecs[[#All],[Data Disk1 Type]],"Failed",0,1),4),"Pass","Fail")</f>
        <v>Fail</v>
      </c>
      <c r="BO21" t="e">
        <f>VLOOKUP('VM Specs'!K21,'As Built'!B:B,1,FALSE)</f>
        <v>#N/A</v>
      </c>
      <c r="BP21" t="str">
        <f>IF(ISNA(Table613[[#This Row],[VM Build Sheet Check]]),'VM Specs'!K21,"")</f>
        <v>vmpfbpf2dcx01</v>
      </c>
    </row>
    <row r="22" spans="1:68" ht="33" customHeight="1" x14ac:dyDescent="0.35">
      <c r="A22" t="str">
        <f>IF(COUNTIF(AsBuilt[[#This Row],[VM Check]:[Data Disk 1 Type Check]],"Fail")&gt;0,"Fail","Pass")</f>
        <v>Fail</v>
      </c>
      <c r="B22" t="s">
        <v>907</v>
      </c>
      <c r="C22" t="s">
        <v>754</v>
      </c>
      <c r="D22" t="s">
        <v>755</v>
      </c>
      <c r="E22" t="s">
        <v>756</v>
      </c>
      <c r="F22" t="s">
        <v>801</v>
      </c>
      <c r="G22" t="s">
        <v>758</v>
      </c>
      <c r="H22" t="s">
        <v>900</v>
      </c>
      <c r="J22" t="s">
        <v>760</v>
      </c>
      <c r="K22" t="s">
        <v>761</v>
      </c>
      <c r="L22" t="s">
        <v>754</v>
      </c>
      <c r="M22" t="s">
        <v>908</v>
      </c>
      <c r="N22" t="s">
        <v>763</v>
      </c>
      <c r="O22" t="s">
        <v>764</v>
      </c>
      <c r="P22" t="s">
        <v>63</v>
      </c>
      <c r="R22" t="s">
        <v>909</v>
      </c>
      <c r="S22" t="s">
        <v>754</v>
      </c>
      <c r="U22" t="s">
        <v>910</v>
      </c>
      <c r="V22" t="s">
        <v>767</v>
      </c>
      <c r="W22">
        <v>64</v>
      </c>
      <c r="X22" t="s">
        <v>768</v>
      </c>
      <c r="Y22">
        <v>2</v>
      </c>
      <c r="Z22" t="s">
        <v>911</v>
      </c>
      <c r="AA22">
        <v>8</v>
      </c>
      <c r="AB22" t="s">
        <v>770</v>
      </c>
      <c r="AC22" t="s">
        <v>768</v>
      </c>
      <c r="AD22" t="s">
        <v>912</v>
      </c>
      <c r="AE22">
        <v>32</v>
      </c>
      <c r="AF22" t="s">
        <v>770</v>
      </c>
      <c r="AG22" t="s">
        <v>768</v>
      </c>
      <c r="AT22" t="s">
        <v>772</v>
      </c>
      <c r="AU22" t="s">
        <v>913</v>
      </c>
      <c r="AV22" t="str" cm="1">
        <f t="array" ref="AV22">IF(B22=_xlfn.XLOOKUP(B22,VmSpecs[[#All],[VM Name]],VmSpecs[[#All],[VM Name]],"Failed",0,1),"Pass","Fail")</f>
        <v>Fail</v>
      </c>
      <c r="AW22" t="str" cm="1">
        <f t="array" ref="AW22">IF(D22=_xlfn.XLOOKUP($B22,VmSpecs[[#All],[VM Name]],VmSpecs[[#All],[Virtual Machine Resource Groups]],"Failed",0,1),"Pass","Fail")</f>
        <v>Fail</v>
      </c>
      <c r="AX22" t="str" cm="1">
        <f t="array" ref="AX22">IF(_xlfn.IFS(E22="australiacentral","Australia Central 1",E22="australiaeast","Australia East",E22="australiasoutheast","Australia SouthEast")=_xlfn.XLOOKUP($B22,VmSpecs[[#All],[VM Name]],VmSpecs[[#All],[Region]],"Failed",0,1),"Pass","Fail")</f>
        <v>Fail</v>
      </c>
      <c r="AY22" t="str" cm="1">
        <f t="array" ref="AY22">IF(F22=_xlfn.XLOOKUP($B22,VmSpecs[[#All],[VM Name]],VmSpecs[[#All],[Instance size]],"Failed",0,1),"Pass","Fail")</f>
        <v>Fail</v>
      </c>
      <c r="AZ22" t="str" cm="1">
        <f t="array" ref="AZ22">IF(LOWER(H22)=_xlfn.XLOOKUP($B22,VmSpecs[[#All],[VM Name]],VmSpecs[[#All],[Availability Set Name]],"Failed",0,1),"Pass","Fail")</f>
        <v>Fail</v>
      </c>
      <c r="BA22" t="str" cm="1">
        <f t="array" ref="BA22">IF(J22=_xlfn.XLOOKUP($B22,VmSpecs[[#All],[VM Name]],VmSpecs[[#All],[Virtual Network]],"Failed",0,1),"Pass","Fail")</f>
        <v>Fail</v>
      </c>
      <c r="BB22" t="str" cm="1">
        <f t="array" ref="BB22">IF(K22=_xlfn.XLOOKUP($B22,VmSpecs[[#All],[VM Name]],VmSpecs[[#All],[Subnet]],"Failed",0,1),"Pass","Fail")</f>
        <v>Fail</v>
      </c>
      <c r="BC22" t="str" cm="1">
        <f t="array" ref="BC22">IF(M22=_xlfn.XLOOKUP($B22,VmSpecs[[#All],[VM Name]],VmSpecs[[#All],[IP]],"Failed",0,1),"Pass","Fail")</f>
        <v>Fail</v>
      </c>
      <c r="BD22" t="str" cm="1">
        <f t="array" ref="BD22">IF(N22=_xlfn.XLOOKUP($B22,VmSpecs[[#All],[VM Name]],VmSpecs[[#All],[Network Security Group]],"Failed",0,1),"Pass","Fail")</f>
        <v>Fail</v>
      </c>
      <c r="BE22" t="str" cm="1">
        <f t="array" ref="BE22">IF(O22=_xlfn.XLOOKUP($B22,VmSpecs[[#All],[VM Name]],VmSpecs[[#All],[Route Table Name]],"Failed",0,1),"Pass","Fail")</f>
        <v>Fail</v>
      </c>
      <c r="BF22" t="str" cm="1">
        <f t="array" ref="BF22">IF(P22=_xlfn.XLOOKUP($B22,VmSpecs[[#All],[VM Name]],VmSpecs[[#All],[Operating System]],"Failed",0,1),"Pass","Fail")</f>
        <v>Fail</v>
      </c>
      <c r="BG22" t="str" cm="1">
        <f t="array" ref="BG22">IF(R22=_xlfn.XLOOKUP($B22,VmSpecs[[#All],[VM Name]],VmSpecs[[#All],[NIC name]],"Failed",0,1),"Pass","Fail")</f>
        <v>Fail</v>
      </c>
      <c r="BH22" t="str" cm="1">
        <f t="array" ref="BH22">IF(U22=_xlfn.XLOOKUP($B22,VmSpecs[[#All],[VM Name]],VmSpecs[[#All],[OS Disk Name]],"Failed",0,1),"Pass","Fail")</f>
        <v>Fail</v>
      </c>
      <c r="BI22" t="str" cm="1">
        <f t="array" ref="BI22">IF(W22=_xlfn.XLOOKUP($B22,VmSpecs[[#All],[VM Name]],VmSpecs[[#All],[OS Disk Size]],"Failed",0,1),"Pass","Fail")</f>
        <v>Fail</v>
      </c>
      <c r="BJ22" t="str" cm="1">
        <f t="array" ref="BJ22">IF(LEFT(X22,4)=LEFT(_xlfn.XLOOKUP($B22,VmSpecs[[#All],[VM Name]],VmSpecs[[#All],[OS Disk Type (Standard SSD etc)]],"Failed",0,1),4),"Pass","Fail")</f>
        <v>Fail</v>
      </c>
      <c r="BK22" t="str" cm="1">
        <f t="array" ref="BK22">IF(Z22=_xlfn.XLOOKUP($B22,VmSpecs[[#All],[VM Name]],VmSpecs[[#All],[Data Disk1 Name]],"Failed",0,1),"Pass","Fail")</f>
        <v>Fail</v>
      </c>
      <c r="BL22" t="str" cm="1">
        <f t="array" ref="BL22">IF(AA22=_xlfn.XLOOKUP($B22,VmSpecs[[#All],[VM Name]],VmSpecs[[#All],[Data Disk1 Size]],"Failed",0,1),"Pass","Fail")</f>
        <v>Fail</v>
      </c>
      <c r="BM22" t="str" cm="1">
        <f t="array" ref="BM22">IF(LEFT(AC22,4)=LEFT(_xlfn.XLOOKUP($B22,VmSpecs[[#All],[VM Name]],VmSpecs[[#All],[Data Disk1 Type]],"Failed",0,1),4),"Pass","Fail")</f>
        <v>Fail</v>
      </c>
      <c r="BO22" t="e">
        <f>VLOOKUP('VM Specs'!K22,'As Built'!B:B,1,FALSE)</f>
        <v>#N/A</v>
      </c>
      <c r="BP22" t="str">
        <f>IF(ISNA(Table613[[#This Row],[VM Build Sheet Check]]),'VM Specs'!K22,"")</f>
        <v>vmpfbpf2dcx02</v>
      </c>
    </row>
    <row r="23" spans="1:68" ht="33" customHeight="1" x14ac:dyDescent="0.35">
      <c r="A23" t="str">
        <f>IF(COUNTIF(AsBuilt[[#This Row],[VM Check]:[Data Disk 1 Type Check]],"Fail")&gt;0,"Fail","Pass")</f>
        <v>Fail</v>
      </c>
      <c r="B23" t="s">
        <v>914</v>
      </c>
      <c r="C23" t="s">
        <v>754</v>
      </c>
      <c r="D23" t="s">
        <v>755</v>
      </c>
      <c r="E23" t="s">
        <v>756</v>
      </c>
      <c r="F23" t="s">
        <v>801</v>
      </c>
      <c r="G23" t="s">
        <v>758</v>
      </c>
      <c r="H23" t="s">
        <v>900</v>
      </c>
      <c r="J23" t="s">
        <v>760</v>
      </c>
      <c r="K23" t="s">
        <v>761</v>
      </c>
      <c r="L23" t="s">
        <v>754</v>
      </c>
      <c r="M23" t="s">
        <v>915</v>
      </c>
      <c r="N23" t="s">
        <v>763</v>
      </c>
      <c r="O23" t="s">
        <v>764</v>
      </c>
      <c r="P23" t="s">
        <v>63</v>
      </c>
      <c r="R23" t="s">
        <v>916</v>
      </c>
      <c r="S23" t="s">
        <v>754</v>
      </c>
      <c r="U23" t="s">
        <v>917</v>
      </c>
      <c r="V23" t="s">
        <v>767</v>
      </c>
      <c r="W23">
        <v>64</v>
      </c>
      <c r="X23" t="s">
        <v>768</v>
      </c>
      <c r="Y23">
        <v>2</v>
      </c>
      <c r="Z23" t="s">
        <v>918</v>
      </c>
      <c r="AA23">
        <v>8</v>
      </c>
      <c r="AB23" t="s">
        <v>770</v>
      </c>
      <c r="AC23" t="s">
        <v>768</v>
      </c>
      <c r="AD23" t="s">
        <v>919</v>
      </c>
      <c r="AE23">
        <v>32</v>
      </c>
      <c r="AF23" t="s">
        <v>770</v>
      </c>
      <c r="AG23" t="s">
        <v>768</v>
      </c>
      <c r="AT23" t="s">
        <v>772</v>
      </c>
      <c r="AU23" t="s">
        <v>920</v>
      </c>
      <c r="AV23" t="str" cm="1">
        <f t="array" ref="AV23">IF(B23=_xlfn.XLOOKUP(B23,VmSpecs[[#All],[VM Name]],VmSpecs[[#All],[VM Name]],"Failed",0,1),"Pass","Fail")</f>
        <v>Fail</v>
      </c>
      <c r="AW23" t="str" cm="1">
        <f t="array" ref="AW23">IF(D23=_xlfn.XLOOKUP($B23,VmSpecs[[#All],[VM Name]],VmSpecs[[#All],[Virtual Machine Resource Groups]],"Failed",0,1),"Pass","Fail")</f>
        <v>Fail</v>
      </c>
      <c r="AX23" t="str" cm="1">
        <f t="array" ref="AX23">IF(_xlfn.IFS(E23="australiacentral","Australia Central 1",E23="australiaeast","Australia East",E23="australiasoutheast","Australia SouthEast")=_xlfn.XLOOKUP($B23,VmSpecs[[#All],[VM Name]],VmSpecs[[#All],[Region]],"Failed",0,1),"Pass","Fail")</f>
        <v>Fail</v>
      </c>
      <c r="AY23" t="str" cm="1">
        <f t="array" ref="AY23">IF(F23=_xlfn.XLOOKUP($B23,VmSpecs[[#All],[VM Name]],VmSpecs[[#All],[Instance size]],"Failed",0,1),"Pass","Fail")</f>
        <v>Fail</v>
      </c>
      <c r="AZ23" t="str" cm="1">
        <f t="array" ref="AZ23">IF(LOWER(H23)=_xlfn.XLOOKUP($B23,VmSpecs[[#All],[VM Name]],VmSpecs[[#All],[Availability Set Name]],"Failed",0,1),"Pass","Fail")</f>
        <v>Fail</v>
      </c>
      <c r="BA23" t="str" cm="1">
        <f t="array" ref="BA23">IF(J23=_xlfn.XLOOKUP($B23,VmSpecs[[#All],[VM Name]],VmSpecs[[#All],[Virtual Network]],"Failed",0,1),"Pass","Fail")</f>
        <v>Fail</v>
      </c>
      <c r="BB23" t="str" cm="1">
        <f t="array" ref="BB23">IF(K23=_xlfn.XLOOKUP($B23,VmSpecs[[#All],[VM Name]],VmSpecs[[#All],[Subnet]],"Failed",0,1),"Pass","Fail")</f>
        <v>Fail</v>
      </c>
      <c r="BC23" t="str" cm="1">
        <f t="array" ref="BC23">IF(M23=_xlfn.XLOOKUP($B23,VmSpecs[[#All],[VM Name]],VmSpecs[[#All],[IP]],"Failed",0,1),"Pass","Fail")</f>
        <v>Fail</v>
      </c>
      <c r="BD23" t="str" cm="1">
        <f t="array" ref="BD23">IF(N23=_xlfn.XLOOKUP($B23,VmSpecs[[#All],[VM Name]],VmSpecs[[#All],[Network Security Group]],"Failed",0,1),"Pass","Fail")</f>
        <v>Fail</v>
      </c>
      <c r="BE23" t="str" cm="1">
        <f t="array" ref="BE23">IF(O23=_xlfn.XLOOKUP($B23,VmSpecs[[#All],[VM Name]],VmSpecs[[#All],[Route Table Name]],"Failed",0,1),"Pass","Fail")</f>
        <v>Fail</v>
      </c>
      <c r="BF23" t="str" cm="1">
        <f t="array" ref="BF23">IF(P23=_xlfn.XLOOKUP($B23,VmSpecs[[#All],[VM Name]],VmSpecs[[#All],[Operating System]],"Failed",0,1),"Pass","Fail")</f>
        <v>Fail</v>
      </c>
      <c r="BG23" t="str" cm="1">
        <f t="array" ref="BG23">IF(R23=_xlfn.XLOOKUP($B23,VmSpecs[[#All],[VM Name]],VmSpecs[[#All],[NIC name]],"Failed",0,1),"Pass","Fail")</f>
        <v>Fail</v>
      </c>
      <c r="BH23" t="str" cm="1">
        <f t="array" ref="BH23">IF(U23=_xlfn.XLOOKUP($B23,VmSpecs[[#All],[VM Name]],VmSpecs[[#All],[OS Disk Name]],"Failed",0,1),"Pass","Fail")</f>
        <v>Fail</v>
      </c>
      <c r="BI23" t="str" cm="1">
        <f t="array" ref="BI23">IF(W23=_xlfn.XLOOKUP($B23,VmSpecs[[#All],[VM Name]],VmSpecs[[#All],[OS Disk Size]],"Failed",0,1),"Pass","Fail")</f>
        <v>Fail</v>
      </c>
      <c r="BJ23" t="str" cm="1">
        <f t="array" ref="BJ23">IF(LEFT(X23,4)=LEFT(_xlfn.XLOOKUP($B23,VmSpecs[[#All],[VM Name]],VmSpecs[[#All],[OS Disk Type (Standard SSD etc)]],"Failed",0,1),4),"Pass","Fail")</f>
        <v>Fail</v>
      </c>
      <c r="BK23" t="str" cm="1">
        <f t="array" ref="BK23">IF(Z23=_xlfn.XLOOKUP($B23,VmSpecs[[#All],[VM Name]],VmSpecs[[#All],[Data Disk1 Name]],"Failed",0,1),"Pass","Fail")</f>
        <v>Fail</v>
      </c>
      <c r="BL23" t="str" cm="1">
        <f t="array" ref="BL23">IF(AA23=_xlfn.XLOOKUP($B23,VmSpecs[[#All],[VM Name]],VmSpecs[[#All],[Data Disk1 Size]],"Failed",0,1),"Pass","Fail")</f>
        <v>Fail</v>
      </c>
      <c r="BM23" t="str" cm="1">
        <f t="array" ref="BM23">IF(LEFT(AC23,4)=LEFT(_xlfn.XLOOKUP($B23,VmSpecs[[#All],[VM Name]],VmSpecs[[#All],[Data Disk1 Type]],"Failed",0,1),4),"Pass","Fail")</f>
        <v>Fail</v>
      </c>
      <c r="BO23" t="e">
        <f>VLOOKUP('VM Specs'!K23,'As Built'!B:B,1,FALSE)</f>
        <v>#N/A</v>
      </c>
      <c r="BP23" t="str">
        <f>IF(ISNA(Table613[[#This Row],[VM Build Sheet Check]]),'VM Specs'!K23,"")</f>
        <v>vmpfbpf2dcx03</v>
      </c>
    </row>
    <row r="24" spans="1:68" ht="33" customHeight="1" x14ac:dyDescent="0.35">
      <c r="A24" t="str">
        <f>IF(COUNTIF(AsBuilt[[#This Row],[VM Check]:[Data Disk 1 Type Check]],"Fail")&gt;0,"Fail","Pass")</f>
        <v>Fail</v>
      </c>
      <c r="B24" t="s">
        <v>921</v>
      </c>
      <c r="C24" t="s">
        <v>754</v>
      </c>
      <c r="D24" t="s">
        <v>755</v>
      </c>
      <c r="E24" t="s">
        <v>756</v>
      </c>
      <c r="F24" t="s">
        <v>801</v>
      </c>
      <c r="G24" t="s">
        <v>758</v>
      </c>
      <c r="H24" t="s">
        <v>900</v>
      </c>
      <c r="J24" t="s">
        <v>760</v>
      </c>
      <c r="K24" t="s">
        <v>761</v>
      </c>
      <c r="L24" t="s">
        <v>754</v>
      </c>
      <c r="M24" t="s">
        <v>922</v>
      </c>
      <c r="N24" t="s">
        <v>763</v>
      </c>
      <c r="O24" t="s">
        <v>764</v>
      </c>
      <c r="P24" t="s">
        <v>63</v>
      </c>
      <c r="R24" t="s">
        <v>923</v>
      </c>
      <c r="S24" t="s">
        <v>754</v>
      </c>
      <c r="U24" t="s">
        <v>924</v>
      </c>
      <c r="V24" t="s">
        <v>767</v>
      </c>
      <c r="W24">
        <v>64</v>
      </c>
      <c r="X24" t="s">
        <v>768</v>
      </c>
      <c r="Y24">
        <v>2</v>
      </c>
      <c r="Z24" t="s">
        <v>925</v>
      </c>
      <c r="AA24">
        <v>8</v>
      </c>
      <c r="AB24" t="s">
        <v>770</v>
      </c>
      <c r="AC24" t="s">
        <v>768</v>
      </c>
      <c r="AD24" t="s">
        <v>926</v>
      </c>
      <c r="AE24">
        <v>32</v>
      </c>
      <c r="AF24" t="s">
        <v>770</v>
      </c>
      <c r="AG24" t="s">
        <v>768</v>
      </c>
      <c r="AT24" t="s">
        <v>772</v>
      </c>
      <c r="AU24" t="s">
        <v>927</v>
      </c>
      <c r="AV24" t="str" cm="1">
        <f t="array" ref="AV24">IF(B24=_xlfn.XLOOKUP(B24,VmSpecs[[#All],[VM Name]],VmSpecs[[#All],[VM Name]],"Failed",0,1),"Pass","Fail")</f>
        <v>Fail</v>
      </c>
      <c r="AW24" t="str" cm="1">
        <f t="array" ref="AW24">IF(D24=_xlfn.XLOOKUP($B24,VmSpecs[[#All],[VM Name]],VmSpecs[[#All],[Virtual Machine Resource Groups]],"Failed",0,1),"Pass","Fail")</f>
        <v>Fail</v>
      </c>
      <c r="AX24" t="str" cm="1">
        <f t="array" ref="AX24">IF(_xlfn.IFS(E24="australiacentral","Australia Central 1",E24="australiaeast","Australia East",E24="australiasoutheast","Australia SouthEast")=_xlfn.XLOOKUP($B24,VmSpecs[[#All],[VM Name]],VmSpecs[[#All],[Region]],"Failed",0,1),"Pass","Fail")</f>
        <v>Fail</v>
      </c>
      <c r="AY24" t="str" cm="1">
        <f t="array" ref="AY24">IF(F24=_xlfn.XLOOKUP($B24,VmSpecs[[#All],[VM Name]],VmSpecs[[#All],[Instance size]],"Failed",0,1),"Pass","Fail")</f>
        <v>Fail</v>
      </c>
      <c r="AZ24" t="str" cm="1">
        <f t="array" ref="AZ24">IF(LOWER(H24)=_xlfn.XLOOKUP($B24,VmSpecs[[#All],[VM Name]],VmSpecs[[#All],[Availability Set Name]],"Failed",0,1),"Pass","Fail")</f>
        <v>Fail</v>
      </c>
      <c r="BA24" t="str" cm="1">
        <f t="array" ref="BA24">IF(J24=_xlfn.XLOOKUP($B24,VmSpecs[[#All],[VM Name]],VmSpecs[[#All],[Virtual Network]],"Failed",0,1),"Pass","Fail")</f>
        <v>Fail</v>
      </c>
      <c r="BB24" t="str" cm="1">
        <f t="array" ref="BB24">IF(K24=_xlfn.XLOOKUP($B24,VmSpecs[[#All],[VM Name]],VmSpecs[[#All],[Subnet]],"Failed",0,1),"Pass","Fail")</f>
        <v>Fail</v>
      </c>
      <c r="BC24" t="str" cm="1">
        <f t="array" ref="BC24">IF(M24=_xlfn.XLOOKUP($B24,VmSpecs[[#All],[VM Name]],VmSpecs[[#All],[IP]],"Failed",0,1),"Pass","Fail")</f>
        <v>Fail</v>
      </c>
      <c r="BD24" t="str" cm="1">
        <f t="array" ref="BD24">IF(N24=_xlfn.XLOOKUP($B24,VmSpecs[[#All],[VM Name]],VmSpecs[[#All],[Network Security Group]],"Failed",0,1),"Pass","Fail")</f>
        <v>Fail</v>
      </c>
      <c r="BE24" t="str" cm="1">
        <f t="array" ref="BE24">IF(O24=_xlfn.XLOOKUP($B24,VmSpecs[[#All],[VM Name]],VmSpecs[[#All],[Route Table Name]],"Failed",0,1),"Pass","Fail")</f>
        <v>Fail</v>
      </c>
      <c r="BF24" t="str" cm="1">
        <f t="array" ref="BF24">IF(P24=_xlfn.XLOOKUP($B24,VmSpecs[[#All],[VM Name]],VmSpecs[[#All],[Operating System]],"Failed",0,1),"Pass","Fail")</f>
        <v>Fail</v>
      </c>
      <c r="BG24" t="str" cm="1">
        <f t="array" ref="BG24">IF(R24=_xlfn.XLOOKUP($B24,VmSpecs[[#All],[VM Name]],VmSpecs[[#All],[NIC name]],"Failed",0,1),"Pass","Fail")</f>
        <v>Fail</v>
      </c>
      <c r="BH24" t="str" cm="1">
        <f t="array" ref="BH24">IF(U24=_xlfn.XLOOKUP($B24,VmSpecs[[#All],[VM Name]],VmSpecs[[#All],[OS Disk Name]],"Failed",0,1),"Pass","Fail")</f>
        <v>Fail</v>
      </c>
      <c r="BI24" t="str" cm="1">
        <f t="array" ref="BI24">IF(W24=_xlfn.XLOOKUP($B24,VmSpecs[[#All],[VM Name]],VmSpecs[[#All],[OS Disk Size]],"Failed",0,1),"Pass","Fail")</f>
        <v>Fail</v>
      </c>
      <c r="BJ24" t="str" cm="1">
        <f t="array" ref="BJ24">IF(LEFT(X24,4)=LEFT(_xlfn.XLOOKUP($B24,VmSpecs[[#All],[VM Name]],VmSpecs[[#All],[OS Disk Type (Standard SSD etc)]],"Failed",0,1),4),"Pass","Fail")</f>
        <v>Fail</v>
      </c>
      <c r="BK24" t="str" cm="1">
        <f t="array" ref="BK24">IF(Z24=_xlfn.XLOOKUP($B24,VmSpecs[[#All],[VM Name]],VmSpecs[[#All],[Data Disk1 Name]],"Failed",0,1),"Pass","Fail")</f>
        <v>Fail</v>
      </c>
      <c r="BL24" t="str" cm="1">
        <f t="array" ref="BL24">IF(AA24=_xlfn.XLOOKUP($B24,VmSpecs[[#All],[VM Name]],VmSpecs[[#All],[Data Disk1 Size]],"Failed",0,1),"Pass","Fail")</f>
        <v>Fail</v>
      </c>
      <c r="BM24" t="str" cm="1">
        <f t="array" ref="BM24">IF(LEFT(AC24,4)=LEFT(_xlfn.XLOOKUP($B24,VmSpecs[[#All],[VM Name]],VmSpecs[[#All],[Data Disk1 Type]],"Failed",0,1),4),"Pass","Fail")</f>
        <v>Fail</v>
      </c>
      <c r="BO24" t="e">
        <f>VLOOKUP('VM Specs'!K24,'As Built'!B:B,1,FALSE)</f>
        <v>#N/A</v>
      </c>
      <c r="BP24" t="str">
        <f>IF(ISNA(Table613[[#This Row],[VM Build Sheet Check]]),'VM Specs'!K24,"")</f>
        <v>vmpfbpf2dcx04</v>
      </c>
    </row>
    <row r="25" spans="1:68" ht="33" customHeight="1" x14ac:dyDescent="0.35">
      <c r="A25" t="str">
        <f>IF(COUNTIF(AsBuilt[[#This Row],[VM Check]:[Data Disk 1 Type Check]],"Fail")&gt;0,"Fail","Pass")</f>
        <v>Fail</v>
      </c>
      <c r="B25" t="s">
        <v>928</v>
      </c>
      <c r="C25" t="s">
        <v>754</v>
      </c>
      <c r="D25" t="s">
        <v>755</v>
      </c>
      <c r="E25" t="s">
        <v>756</v>
      </c>
      <c r="F25" t="s">
        <v>801</v>
      </c>
      <c r="G25" t="s">
        <v>758</v>
      </c>
      <c r="H25" t="s">
        <v>900</v>
      </c>
      <c r="J25" t="s">
        <v>760</v>
      </c>
      <c r="K25" t="s">
        <v>761</v>
      </c>
      <c r="L25" t="s">
        <v>754</v>
      </c>
      <c r="M25" t="s">
        <v>929</v>
      </c>
      <c r="N25" t="s">
        <v>763</v>
      </c>
      <c r="O25" t="s">
        <v>764</v>
      </c>
      <c r="P25" t="s">
        <v>63</v>
      </c>
      <c r="R25" t="s">
        <v>930</v>
      </c>
      <c r="S25" t="s">
        <v>754</v>
      </c>
      <c r="U25" t="s">
        <v>931</v>
      </c>
      <c r="V25" t="s">
        <v>767</v>
      </c>
      <c r="W25">
        <v>64</v>
      </c>
      <c r="X25" t="s">
        <v>768</v>
      </c>
      <c r="Y25">
        <v>2</v>
      </c>
      <c r="Z25" t="s">
        <v>932</v>
      </c>
      <c r="AA25">
        <v>8</v>
      </c>
      <c r="AB25" t="s">
        <v>770</v>
      </c>
      <c r="AC25" t="s">
        <v>768</v>
      </c>
      <c r="AD25" t="s">
        <v>933</v>
      </c>
      <c r="AE25">
        <v>32</v>
      </c>
      <c r="AF25" t="s">
        <v>770</v>
      </c>
      <c r="AG25" t="s">
        <v>768</v>
      </c>
      <c r="AT25" t="s">
        <v>772</v>
      </c>
      <c r="AU25" t="s">
        <v>934</v>
      </c>
      <c r="AV25" t="str" cm="1">
        <f t="array" ref="AV25">IF(B25=_xlfn.XLOOKUP(B25,VmSpecs[[#All],[VM Name]],VmSpecs[[#All],[VM Name]],"Failed",0,1),"Pass","Fail")</f>
        <v>Fail</v>
      </c>
      <c r="AW25" t="str" cm="1">
        <f t="array" ref="AW25">IF(D25=_xlfn.XLOOKUP($B25,VmSpecs[[#All],[VM Name]],VmSpecs[[#All],[Virtual Machine Resource Groups]],"Failed",0,1),"Pass","Fail")</f>
        <v>Fail</v>
      </c>
      <c r="AX25" t="str" cm="1">
        <f t="array" ref="AX25">IF(_xlfn.IFS(E25="australiacentral","Australia Central 1",E25="australiaeast","Australia East",E25="australiasoutheast","Australia SouthEast")=_xlfn.XLOOKUP($B25,VmSpecs[[#All],[VM Name]],VmSpecs[[#All],[Region]],"Failed",0,1),"Pass","Fail")</f>
        <v>Fail</v>
      </c>
      <c r="AY25" t="str" cm="1">
        <f t="array" ref="AY25">IF(F25=_xlfn.XLOOKUP($B25,VmSpecs[[#All],[VM Name]],VmSpecs[[#All],[Instance size]],"Failed",0,1),"Pass","Fail")</f>
        <v>Fail</v>
      </c>
      <c r="AZ25" t="str" cm="1">
        <f t="array" ref="AZ25">IF(LOWER(H25)=_xlfn.XLOOKUP($B25,VmSpecs[[#All],[VM Name]],VmSpecs[[#All],[Availability Set Name]],"Failed",0,1),"Pass","Fail")</f>
        <v>Fail</v>
      </c>
      <c r="BA25" t="str" cm="1">
        <f t="array" ref="BA25">IF(J25=_xlfn.XLOOKUP($B25,VmSpecs[[#All],[VM Name]],VmSpecs[[#All],[Virtual Network]],"Failed",0,1),"Pass","Fail")</f>
        <v>Fail</v>
      </c>
      <c r="BB25" t="str" cm="1">
        <f t="array" ref="BB25">IF(K25=_xlfn.XLOOKUP($B25,VmSpecs[[#All],[VM Name]],VmSpecs[[#All],[Subnet]],"Failed",0,1),"Pass","Fail")</f>
        <v>Fail</v>
      </c>
      <c r="BC25" t="str" cm="1">
        <f t="array" ref="BC25">IF(M25=_xlfn.XLOOKUP($B25,VmSpecs[[#All],[VM Name]],VmSpecs[[#All],[IP]],"Failed",0,1),"Pass","Fail")</f>
        <v>Fail</v>
      </c>
      <c r="BD25" t="str" cm="1">
        <f t="array" ref="BD25">IF(N25=_xlfn.XLOOKUP($B25,VmSpecs[[#All],[VM Name]],VmSpecs[[#All],[Network Security Group]],"Failed",0,1),"Pass","Fail")</f>
        <v>Fail</v>
      </c>
      <c r="BE25" t="str" cm="1">
        <f t="array" ref="BE25">IF(O25=_xlfn.XLOOKUP($B25,VmSpecs[[#All],[VM Name]],VmSpecs[[#All],[Route Table Name]],"Failed",0,1),"Pass","Fail")</f>
        <v>Fail</v>
      </c>
      <c r="BF25" t="str" cm="1">
        <f t="array" ref="BF25">IF(P25=_xlfn.XLOOKUP($B25,VmSpecs[[#All],[VM Name]],VmSpecs[[#All],[Operating System]],"Failed",0,1),"Pass","Fail")</f>
        <v>Fail</v>
      </c>
      <c r="BG25" t="str" cm="1">
        <f t="array" ref="BG25">IF(R25=_xlfn.XLOOKUP($B25,VmSpecs[[#All],[VM Name]],VmSpecs[[#All],[NIC name]],"Failed",0,1),"Pass","Fail")</f>
        <v>Fail</v>
      </c>
      <c r="BH25" t="str" cm="1">
        <f t="array" ref="BH25">IF(U25=_xlfn.XLOOKUP($B25,VmSpecs[[#All],[VM Name]],VmSpecs[[#All],[OS Disk Name]],"Failed",0,1),"Pass","Fail")</f>
        <v>Fail</v>
      </c>
      <c r="BI25" t="str" cm="1">
        <f t="array" ref="BI25">IF(W25=_xlfn.XLOOKUP($B25,VmSpecs[[#All],[VM Name]],VmSpecs[[#All],[OS Disk Size]],"Failed",0,1),"Pass","Fail")</f>
        <v>Fail</v>
      </c>
      <c r="BJ25" t="str" cm="1">
        <f t="array" ref="BJ25">IF(LEFT(X25,4)=LEFT(_xlfn.XLOOKUP($B25,VmSpecs[[#All],[VM Name]],VmSpecs[[#All],[OS Disk Type (Standard SSD etc)]],"Failed",0,1),4),"Pass","Fail")</f>
        <v>Fail</v>
      </c>
      <c r="BK25" t="str" cm="1">
        <f t="array" ref="BK25">IF(Z25=_xlfn.XLOOKUP($B25,VmSpecs[[#All],[VM Name]],VmSpecs[[#All],[Data Disk1 Name]],"Failed",0,1),"Pass","Fail")</f>
        <v>Fail</v>
      </c>
      <c r="BL25" t="str" cm="1">
        <f t="array" ref="BL25">IF(AA25=_xlfn.XLOOKUP($B25,VmSpecs[[#All],[VM Name]],VmSpecs[[#All],[Data Disk1 Size]],"Failed",0,1),"Pass","Fail")</f>
        <v>Fail</v>
      </c>
      <c r="BM25" t="str" cm="1">
        <f t="array" ref="BM25">IF(LEFT(AC25,4)=LEFT(_xlfn.XLOOKUP($B25,VmSpecs[[#All],[VM Name]],VmSpecs[[#All],[Data Disk1 Type]],"Failed",0,1),4),"Pass","Fail")</f>
        <v>Fail</v>
      </c>
      <c r="BO25" t="e">
        <f>VLOOKUP('VM Specs'!K25,'As Built'!B:B,1,FALSE)</f>
        <v>#N/A</v>
      </c>
      <c r="BP25" t="str">
        <f>IF(ISNA(Table613[[#This Row],[VM Build Sheet Check]]),'VM Specs'!K25,"")</f>
        <v>vmpfbpf2dcx05</v>
      </c>
    </row>
    <row r="26" spans="1:68" ht="33" customHeight="1" x14ac:dyDescent="0.35">
      <c r="A26" t="str">
        <f>IF(COUNTIF(AsBuilt[[#This Row],[VM Check]:[Data Disk 1 Type Check]],"Fail")&gt;0,"Fail","Pass")</f>
        <v>Fail</v>
      </c>
      <c r="B26" t="s">
        <v>935</v>
      </c>
      <c r="C26" t="s">
        <v>754</v>
      </c>
      <c r="D26" t="s">
        <v>755</v>
      </c>
      <c r="E26" t="s">
        <v>756</v>
      </c>
      <c r="F26" t="s">
        <v>801</v>
      </c>
      <c r="G26" t="s">
        <v>758</v>
      </c>
      <c r="H26" t="s">
        <v>900</v>
      </c>
      <c r="J26" t="s">
        <v>760</v>
      </c>
      <c r="K26" t="s">
        <v>761</v>
      </c>
      <c r="L26" t="s">
        <v>754</v>
      </c>
      <c r="M26" t="s">
        <v>936</v>
      </c>
      <c r="N26" t="s">
        <v>763</v>
      </c>
      <c r="O26" t="s">
        <v>764</v>
      </c>
      <c r="P26" t="s">
        <v>63</v>
      </c>
      <c r="R26" t="s">
        <v>937</v>
      </c>
      <c r="S26" t="s">
        <v>754</v>
      </c>
      <c r="U26" t="s">
        <v>938</v>
      </c>
      <c r="V26" t="s">
        <v>767</v>
      </c>
      <c r="W26">
        <v>64</v>
      </c>
      <c r="X26" t="s">
        <v>768</v>
      </c>
      <c r="Y26">
        <v>2</v>
      </c>
      <c r="Z26" t="s">
        <v>939</v>
      </c>
      <c r="AA26">
        <v>8</v>
      </c>
      <c r="AB26" t="s">
        <v>770</v>
      </c>
      <c r="AC26" t="s">
        <v>768</v>
      </c>
      <c r="AD26" t="s">
        <v>940</v>
      </c>
      <c r="AE26">
        <v>32</v>
      </c>
      <c r="AF26" t="s">
        <v>770</v>
      </c>
      <c r="AG26" t="s">
        <v>768</v>
      </c>
      <c r="AT26" t="s">
        <v>772</v>
      </c>
      <c r="AU26" t="s">
        <v>927</v>
      </c>
      <c r="AV26" t="str" cm="1">
        <f t="array" ref="AV26">IF(B26=_xlfn.XLOOKUP(B26,VmSpecs[[#All],[VM Name]],VmSpecs[[#All],[VM Name]],"Failed",0,1),"Pass","Fail")</f>
        <v>Fail</v>
      </c>
      <c r="AW26" t="str" cm="1">
        <f t="array" ref="AW26">IF(D26=_xlfn.XLOOKUP($B26,VmSpecs[[#All],[VM Name]],VmSpecs[[#All],[Virtual Machine Resource Groups]],"Failed",0,1),"Pass","Fail")</f>
        <v>Fail</v>
      </c>
      <c r="AX26" t="str" cm="1">
        <f t="array" ref="AX26">IF(_xlfn.IFS(E26="australiacentral","Australia Central 1",E26="australiaeast","Australia East",E26="australiasoutheast","Australia SouthEast")=_xlfn.XLOOKUP($B26,VmSpecs[[#All],[VM Name]],VmSpecs[[#All],[Region]],"Failed",0,1),"Pass","Fail")</f>
        <v>Fail</v>
      </c>
      <c r="AY26" t="str" cm="1">
        <f t="array" ref="AY26">IF(F26=_xlfn.XLOOKUP($B26,VmSpecs[[#All],[VM Name]],VmSpecs[[#All],[Instance size]],"Failed",0,1),"Pass","Fail")</f>
        <v>Fail</v>
      </c>
      <c r="AZ26" t="str" cm="1">
        <f t="array" ref="AZ26">IF(LOWER(H26)=_xlfn.XLOOKUP($B26,VmSpecs[[#All],[VM Name]],VmSpecs[[#All],[Availability Set Name]],"Failed",0,1),"Pass","Fail")</f>
        <v>Fail</v>
      </c>
      <c r="BA26" t="str" cm="1">
        <f t="array" ref="BA26">IF(J26=_xlfn.XLOOKUP($B26,VmSpecs[[#All],[VM Name]],VmSpecs[[#All],[Virtual Network]],"Failed",0,1),"Pass","Fail")</f>
        <v>Fail</v>
      </c>
      <c r="BB26" t="str" cm="1">
        <f t="array" ref="BB26">IF(K26=_xlfn.XLOOKUP($B26,VmSpecs[[#All],[VM Name]],VmSpecs[[#All],[Subnet]],"Failed",0,1),"Pass","Fail")</f>
        <v>Fail</v>
      </c>
      <c r="BC26" t="str" cm="1">
        <f t="array" ref="BC26">IF(M26=_xlfn.XLOOKUP($B26,VmSpecs[[#All],[VM Name]],VmSpecs[[#All],[IP]],"Failed",0,1),"Pass","Fail")</f>
        <v>Fail</v>
      </c>
      <c r="BD26" t="str" cm="1">
        <f t="array" ref="BD26">IF(N26=_xlfn.XLOOKUP($B26,VmSpecs[[#All],[VM Name]],VmSpecs[[#All],[Network Security Group]],"Failed",0,1),"Pass","Fail")</f>
        <v>Fail</v>
      </c>
      <c r="BE26" t="str" cm="1">
        <f t="array" ref="BE26">IF(O26=_xlfn.XLOOKUP($B26,VmSpecs[[#All],[VM Name]],VmSpecs[[#All],[Route Table Name]],"Failed",0,1),"Pass","Fail")</f>
        <v>Fail</v>
      </c>
      <c r="BF26" t="str" cm="1">
        <f t="array" ref="BF26">IF(P26=_xlfn.XLOOKUP($B26,VmSpecs[[#All],[VM Name]],VmSpecs[[#All],[Operating System]],"Failed",0,1),"Pass","Fail")</f>
        <v>Fail</v>
      </c>
      <c r="BG26" t="str" cm="1">
        <f t="array" ref="BG26">IF(R26=_xlfn.XLOOKUP($B26,VmSpecs[[#All],[VM Name]],VmSpecs[[#All],[NIC name]],"Failed",0,1),"Pass","Fail")</f>
        <v>Fail</v>
      </c>
      <c r="BH26" t="str" cm="1">
        <f t="array" ref="BH26">IF(U26=_xlfn.XLOOKUP($B26,VmSpecs[[#All],[VM Name]],VmSpecs[[#All],[OS Disk Name]],"Failed",0,1),"Pass","Fail")</f>
        <v>Fail</v>
      </c>
      <c r="BI26" t="str" cm="1">
        <f t="array" ref="BI26">IF(W26=_xlfn.XLOOKUP($B26,VmSpecs[[#All],[VM Name]],VmSpecs[[#All],[OS Disk Size]],"Failed",0,1),"Pass","Fail")</f>
        <v>Fail</v>
      </c>
      <c r="BJ26" t="str" cm="1">
        <f t="array" ref="BJ26">IF(LEFT(X26,4)=LEFT(_xlfn.XLOOKUP($B26,VmSpecs[[#All],[VM Name]],VmSpecs[[#All],[OS Disk Type (Standard SSD etc)]],"Failed",0,1),4),"Pass","Fail")</f>
        <v>Fail</v>
      </c>
      <c r="BK26" t="str" cm="1">
        <f t="array" ref="BK26">IF(Z26=_xlfn.XLOOKUP($B26,VmSpecs[[#All],[VM Name]],VmSpecs[[#All],[Data Disk1 Name]],"Failed",0,1),"Pass","Fail")</f>
        <v>Fail</v>
      </c>
      <c r="BL26" t="str" cm="1">
        <f t="array" ref="BL26">IF(AA26=_xlfn.XLOOKUP($B26,VmSpecs[[#All],[VM Name]],VmSpecs[[#All],[Data Disk1 Size]],"Failed",0,1),"Pass","Fail")</f>
        <v>Fail</v>
      </c>
      <c r="BM26" t="str" cm="1">
        <f t="array" ref="BM26">IF(LEFT(AC26,4)=LEFT(_xlfn.XLOOKUP($B26,VmSpecs[[#All],[VM Name]],VmSpecs[[#All],[Data Disk1 Type]],"Failed",0,1),4),"Pass","Fail")</f>
        <v>Fail</v>
      </c>
      <c r="BO26" t="e">
        <f>VLOOKUP('VM Specs'!K26,'As Built'!B:B,1,FALSE)</f>
        <v>#N/A</v>
      </c>
      <c r="BP26" t="str">
        <f>IF(ISNA(Table613[[#This Row],[VM Build Sheet Check]]),'VM Specs'!K26,"")</f>
        <v>vmpfbpf2dcx06</v>
      </c>
    </row>
    <row r="27" spans="1:68" ht="33" customHeight="1" x14ac:dyDescent="0.35">
      <c r="A27" t="str">
        <f>IF(COUNTIF(AsBuilt[[#This Row],[VM Check]:[Data Disk 1 Type Check]],"Fail")&gt;0,"Fail","Pass")</f>
        <v>Fail</v>
      </c>
      <c r="B27" t="s">
        <v>941</v>
      </c>
      <c r="C27" t="s">
        <v>754</v>
      </c>
      <c r="D27" t="s">
        <v>755</v>
      </c>
      <c r="E27" t="s">
        <v>756</v>
      </c>
      <c r="F27" t="s">
        <v>801</v>
      </c>
      <c r="G27" t="s">
        <v>758</v>
      </c>
      <c r="H27" t="s">
        <v>900</v>
      </c>
      <c r="J27" t="s">
        <v>760</v>
      </c>
      <c r="K27" t="s">
        <v>761</v>
      </c>
      <c r="L27" t="s">
        <v>754</v>
      </c>
      <c r="M27" t="s">
        <v>942</v>
      </c>
      <c r="N27" t="s">
        <v>763</v>
      </c>
      <c r="O27" t="s">
        <v>764</v>
      </c>
      <c r="P27" t="s">
        <v>63</v>
      </c>
      <c r="R27" t="s">
        <v>943</v>
      </c>
      <c r="S27" t="s">
        <v>754</v>
      </c>
      <c r="U27" t="s">
        <v>944</v>
      </c>
      <c r="V27" t="s">
        <v>767</v>
      </c>
      <c r="W27">
        <v>64</v>
      </c>
      <c r="X27" t="s">
        <v>768</v>
      </c>
      <c r="Y27">
        <v>2</v>
      </c>
      <c r="Z27" t="s">
        <v>945</v>
      </c>
      <c r="AA27">
        <v>8</v>
      </c>
      <c r="AB27" t="s">
        <v>770</v>
      </c>
      <c r="AC27" t="s">
        <v>768</v>
      </c>
      <c r="AD27" t="s">
        <v>946</v>
      </c>
      <c r="AE27">
        <v>32</v>
      </c>
      <c r="AF27" t="s">
        <v>770</v>
      </c>
      <c r="AG27" t="s">
        <v>768</v>
      </c>
      <c r="AT27" t="s">
        <v>772</v>
      </c>
      <c r="AU27" t="s">
        <v>934</v>
      </c>
      <c r="AV27" t="str" cm="1">
        <f t="array" ref="AV27">IF(B27=_xlfn.XLOOKUP(B27,VmSpecs[[#All],[VM Name]],VmSpecs[[#All],[VM Name]],"Failed",0,1),"Pass","Fail")</f>
        <v>Fail</v>
      </c>
      <c r="AW27" t="str" cm="1">
        <f t="array" ref="AW27">IF(D27=_xlfn.XLOOKUP($B27,VmSpecs[[#All],[VM Name]],VmSpecs[[#All],[Virtual Machine Resource Groups]],"Failed",0,1),"Pass","Fail")</f>
        <v>Fail</v>
      </c>
      <c r="AX27" t="str" cm="1">
        <f t="array" ref="AX27">IF(_xlfn.IFS(E27="australiacentral","Australia Central 1",E27="australiaeast","Australia East",E27="australiasoutheast","Australia SouthEast")=_xlfn.XLOOKUP($B27,VmSpecs[[#All],[VM Name]],VmSpecs[[#All],[Region]],"Failed",0,1),"Pass","Fail")</f>
        <v>Fail</v>
      </c>
      <c r="AY27" t="str" cm="1">
        <f t="array" ref="AY27">IF(F27=_xlfn.XLOOKUP($B27,VmSpecs[[#All],[VM Name]],VmSpecs[[#All],[Instance size]],"Failed",0,1),"Pass","Fail")</f>
        <v>Fail</v>
      </c>
      <c r="AZ27" t="str" cm="1">
        <f t="array" ref="AZ27">IF(LOWER(H27)=_xlfn.XLOOKUP($B27,VmSpecs[[#All],[VM Name]],VmSpecs[[#All],[Availability Set Name]],"Failed",0,1),"Pass","Fail")</f>
        <v>Fail</v>
      </c>
      <c r="BA27" t="str" cm="1">
        <f t="array" ref="BA27">IF(J27=_xlfn.XLOOKUP($B27,VmSpecs[[#All],[VM Name]],VmSpecs[[#All],[Virtual Network]],"Failed",0,1),"Pass","Fail")</f>
        <v>Fail</v>
      </c>
      <c r="BB27" t="str" cm="1">
        <f t="array" ref="BB27">IF(K27=_xlfn.XLOOKUP($B27,VmSpecs[[#All],[VM Name]],VmSpecs[[#All],[Subnet]],"Failed",0,1),"Pass","Fail")</f>
        <v>Fail</v>
      </c>
      <c r="BC27" t="str" cm="1">
        <f t="array" ref="BC27">IF(M27=_xlfn.XLOOKUP($B27,VmSpecs[[#All],[VM Name]],VmSpecs[[#All],[IP]],"Failed",0,1),"Pass","Fail")</f>
        <v>Fail</v>
      </c>
      <c r="BD27" t="str" cm="1">
        <f t="array" ref="BD27">IF(N27=_xlfn.XLOOKUP($B27,VmSpecs[[#All],[VM Name]],VmSpecs[[#All],[Network Security Group]],"Failed",0,1),"Pass","Fail")</f>
        <v>Fail</v>
      </c>
      <c r="BE27" t="str" cm="1">
        <f t="array" ref="BE27">IF(O27=_xlfn.XLOOKUP($B27,VmSpecs[[#All],[VM Name]],VmSpecs[[#All],[Route Table Name]],"Failed",0,1),"Pass","Fail")</f>
        <v>Fail</v>
      </c>
      <c r="BF27" t="str" cm="1">
        <f t="array" ref="BF27">IF(P27=_xlfn.XLOOKUP($B27,VmSpecs[[#All],[VM Name]],VmSpecs[[#All],[Operating System]],"Failed",0,1),"Pass","Fail")</f>
        <v>Fail</v>
      </c>
      <c r="BG27" t="str" cm="1">
        <f t="array" ref="BG27">IF(R27=_xlfn.XLOOKUP($B27,VmSpecs[[#All],[VM Name]],VmSpecs[[#All],[NIC name]],"Failed",0,1),"Pass","Fail")</f>
        <v>Fail</v>
      </c>
      <c r="BH27" t="str" cm="1">
        <f t="array" ref="BH27">IF(U27=_xlfn.XLOOKUP($B27,VmSpecs[[#All],[VM Name]],VmSpecs[[#All],[OS Disk Name]],"Failed",0,1),"Pass","Fail")</f>
        <v>Fail</v>
      </c>
      <c r="BI27" t="str" cm="1">
        <f t="array" ref="BI27">IF(W27=_xlfn.XLOOKUP($B27,VmSpecs[[#All],[VM Name]],VmSpecs[[#All],[OS Disk Size]],"Failed",0,1),"Pass","Fail")</f>
        <v>Fail</v>
      </c>
      <c r="BJ27" t="str" cm="1">
        <f t="array" ref="BJ27">IF(LEFT(X27,4)=LEFT(_xlfn.XLOOKUP($B27,VmSpecs[[#All],[VM Name]],VmSpecs[[#All],[OS Disk Type (Standard SSD etc)]],"Failed",0,1),4),"Pass","Fail")</f>
        <v>Fail</v>
      </c>
      <c r="BK27" t="str" cm="1">
        <f t="array" ref="BK27">IF(Z27=_xlfn.XLOOKUP($B27,VmSpecs[[#All],[VM Name]],VmSpecs[[#All],[Data Disk1 Name]],"Failed",0,1),"Pass","Fail")</f>
        <v>Fail</v>
      </c>
      <c r="BL27" t="str" cm="1">
        <f t="array" ref="BL27">IF(AA27=_xlfn.XLOOKUP($B27,VmSpecs[[#All],[VM Name]],VmSpecs[[#All],[Data Disk1 Size]],"Failed",0,1),"Pass","Fail")</f>
        <v>Fail</v>
      </c>
      <c r="BM27" t="str" cm="1">
        <f t="array" ref="BM27">IF(LEFT(AC27,4)=LEFT(_xlfn.XLOOKUP($B27,VmSpecs[[#All],[VM Name]],VmSpecs[[#All],[Data Disk1 Type]],"Failed",0,1),4),"Pass","Fail")</f>
        <v>Fail</v>
      </c>
      <c r="BO27" t="e">
        <f>VLOOKUP('VM Specs'!K27,'As Built'!B:B,1,FALSE)</f>
        <v>#N/A</v>
      </c>
      <c r="BP27" t="str">
        <f>IF(ISNA(Table613[[#This Row],[VM Build Sheet Check]]),'VM Specs'!K27,"")</f>
        <v>vmpfbpf2dcx07</v>
      </c>
    </row>
    <row r="28" spans="1:68" ht="33" customHeight="1" x14ac:dyDescent="0.35">
      <c r="A28" t="str">
        <f>IF(COUNTIF(AsBuilt[[#This Row],[VM Check]:[Data Disk 1 Type Check]],"Fail")&gt;0,"Fail","Pass")</f>
        <v>Fail</v>
      </c>
      <c r="B28" t="s">
        <v>947</v>
      </c>
      <c r="C28" t="s">
        <v>754</v>
      </c>
      <c r="D28" t="s">
        <v>755</v>
      </c>
      <c r="E28" t="s">
        <v>756</v>
      </c>
      <c r="F28" t="s">
        <v>801</v>
      </c>
      <c r="G28" t="s">
        <v>758</v>
      </c>
      <c r="H28" t="s">
        <v>900</v>
      </c>
      <c r="J28" t="s">
        <v>760</v>
      </c>
      <c r="K28" t="s">
        <v>761</v>
      </c>
      <c r="L28" t="s">
        <v>754</v>
      </c>
      <c r="M28" t="s">
        <v>948</v>
      </c>
      <c r="N28" t="s">
        <v>763</v>
      </c>
      <c r="O28" t="s">
        <v>764</v>
      </c>
      <c r="P28" t="s">
        <v>63</v>
      </c>
      <c r="R28" t="s">
        <v>949</v>
      </c>
      <c r="S28" t="s">
        <v>754</v>
      </c>
      <c r="U28" t="s">
        <v>950</v>
      </c>
      <c r="V28" t="s">
        <v>767</v>
      </c>
      <c r="W28">
        <v>64</v>
      </c>
      <c r="X28" t="s">
        <v>768</v>
      </c>
      <c r="Y28">
        <v>2</v>
      </c>
      <c r="Z28" t="s">
        <v>951</v>
      </c>
      <c r="AA28">
        <v>8</v>
      </c>
      <c r="AB28" t="s">
        <v>770</v>
      </c>
      <c r="AC28" t="s">
        <v>768</v>
      </c>
      <c r="AD28" t="s">
        <v>952</v>
      </c>
      <c r="AE28">
        <v>32</v>
      </c>
      <c r="AF28" t="s">
        <v>770</v>
      </c>
      <c r="AG28" t="s">
        <v>768</v>
      </c>
      <c r="AT28" t="s">
        <v>772</v>
      </c>
      <c r="AU28" t="s">
        <v>953</v>
      </c>
      <c r="AV28" t="str" cm="1">
        <f t="array" ref="AV28">IF(B28=_xlfn.XLOOKUP(B28,VmSpecs[[#All],[VM Name]],VmSpecs[[#All],[VM Name]],"Failed",0,1),"Pass","Fail")</f>
        <v>Fail</v>
      </c>
      <c r="AW28" t="str" cm="1">
        <f t="array" ref="AW28">IF(D28=_xlfn.XLOOKUP($B28,VmSpecs[[#All],[VM Name]],VmSpecs[[#All],[Virtual Machine Resource Groups]],"Failed",0,1),"Pass","Fail")</f>
        <v>Fail</v>
      </c>
      <c r="AX28" t="str" cm="1">
        <f t="array" ref="AX28">IF(_xlfn.IFS(E28="australiacentral","Australia Central 1",E28="australiaeast","Australia East",E28="australiasoutheast","Australia SouthEast")=_xlfn.XLOOKUP($B28,VmSpecs[[#All],[VM Name]],VmSpecs[[#All],[Region]],"Failed",0,1),"Pass","Fail")</f>
        <v>Fail</v>
      </c>
      <c r="AY28" t="str" cm="1">
        <f t="array" ref="AY28">IF(F28=_xlfn.XLOOKUP($B28,VmSpecs[[#All],[VM Name]],VmSpecs[[#All],[Instance size]],"Failed",0,1),"Pass","Fail")</f>
        <v>Fail</v>
      </c>
      <c r="AZ28" t="str" cm="1">
        <f t="array" ref="AZ28">IF(LOWER(H28)=_xlfn.XLOOKUP($B28,VmSpecs[[#All],[VM Name]],VmSpecs[[#All],[Availability Set Name]],"Failed",0,1),"Pass","Fail")</f>
        <v>Fail</v>
      </c>
      <c r="BA28" t="str" cm="1">
        <f t="array" ref="BA28">IF(J28=_xlfn.XLOOKUP($B28,VmSpecs[[#All],[VM Name]],VmSpecs[[#All],[Virtual Network]],"Failed",0,1),"Pass","Fail")</f>
        <v>Fail</v>
      </c>
      <c r="BB28" t="str" cm="1">
        <f t="array" ref="BB28">IF(K28=_xlfn.XLOOKUP($B28,VmSpecs[[#All],[VM Name]],VmSpecs[[#All],[Subnet]],"Failed",0,1),"Pass","Fail")</f>
        <v>Fail</v>
      </c>
      <c r="BC28" t="str" cm="1">
        <f t="array" ref="BC28">IF(M28=_xlfn.XLOOKUP($B28,VmSpecs[[#All],[VM Name]],VmSpecs[[#All],[IP]],"Failed",0,1),"Pass","Fail")</f>
        <v>Fail</v>
      </c>
      <c r="BD28" t="str" cm="1">
        <f t="array" ref="BD28">IF(N28=_xlfn.XLOOKUP($B28,VmSpecs[[#All],[VM Name]],VmSpecs[[#All],[Network Security Group]],"Failed",0,1),"Pass","Fail")</f>
        <v>Fail</v>
      </c>
      <c r="BE28" t="str" cm="1">
        <f t="array" ref="BE28">IF(O28=_xlfn.XLOOKUP($B28,VmSpecs[[#All],[VM Name]],VmSpecs[[#All],[Route Table Name]],"Failed",0,1),"Pass","Fail")</f>
        <v>Fail</v>
      </c>
      <c r="BF28" t="str" cm="1">
        <f t="array" ref="BF28">IF(P28=_xlfn.XLOOKUP($B28,VmSpecs[[#All],[VM Name]],VmSpecs[[#All],[Operating System]],"Failed",0,1),"Pass","Fail")</f>
        <v>Fail</v>
      </c>
      <c r="BG28" t="str" cm="1">
        <f t="array" ref="BG28">IF(R28=_xlfn.XLOOKUP($B28,VmSpecs[[#All],[VM Name]],VmSpecs[[#All],[NIC name]],"Failed",0,1),"Pass","Fail")</f>
        <v>Fail</v>
      </c>
      <c r="BH28" t="str" cm="1">
        <f t="array" ref="BH28">IF(U28=_xlfn.XLOOKUP($B28,VmSpecs[[#All],[VM Name]],VmSpecs[[#All],[OS Disk Name]],"Failed",0,1),"Pass","Fail")</f>
        <v>Fail</v>
      </c>
      <c r="BI28" t="str" cm="1">
        <f t="array" ref="BI28">IF(W28=_xlfn.XLOOKUP($B28,VmSpecs[[#All],[VM Name]],VmSpecs[[#All],[OS Disk Size]],"Failed",0,1),"Pass","Fail")</f>
        <v>Fail</v>
      </c>
      <c r="BJ28" t="str" cm="1">
        <f t="array" ref="BJ28">IF(LEFT(X28,4)=LEFT(_xlfn.XLOOKUP($B28,VmSpecs[[#All],[VM Name]],VmSpecs[[#All],[OS Disk Type (Standard SSD etc)]],"Failed",0,1),4),"Pass","Fail")</f>
        <v>Fail</v>
      </c>
      <c r="BK28" t="str" cm="1">
        <f t="array" ref="BK28">IF(Z28=_xlfn.XLOOKUP($B28,VmSpecs[[#All],[VM Name]],VmSpecs[[#All],[Data Disk1 Name]],"Failed",0,1),"Pass","Fail")</f>
        <v>Fail</v>
      </c>
      <c r="BL28" t="str" cm="1">
        <f t="array" ref="BL28">IF(AA28=_xlfn.XLOOKUP($B28,VmSpecs[[#All],[VM Name]],VmSpecs[[#All],[Data Disk1 Size]],"Failed",0,1),"Pass","Fail")</f>
        <v>Fail</v>
      </c>
      <c r="BM28" t="str" cm="1">
        <f t="array" ref="BM28">IF(LEFT(AC28,4)=LEFT(_xlfn.XLOOKUP($B28,VmSpecs[[#All],[VM Name]],VmSpecs[[#All],[Data Disk1 Type]],"Failed",0,1),4),"Pass","Fail")</f>
        <v>Fail</v>
      </c>
      <c r="BO28" t="e">
        <f>VLOOKUP('VM Specs'!K28,'As Built'!B:B,1,FALSE)</f>
        <v>#N/A</v>
      </c>
      <c r="BP28" t="str">
        <f>IF(ISNA(Table613[[#This Row],[VM Build Sheet Check]]),'VM Specs'!K28,"")</f>
        <v>vmpfbpf2dcx08</v>
      </c>
    </row>
    <row r="29" spans="1:68" ht="33" customHeight="1" x14ac:dyDescent="0.35">
      <c r="A29" t="str">
        <f>IF(COUNTIF(AsBuilt[[#This Row],[VM Check]:[Data Disk 1 Type Check]],"Fail")&gt;0,"Fail","Pass")</f>
        <v>Fail</v>
      </c>
      <c r="B29" t="s">
        <v>954</v>
      </c>
      <c r="C29" t="s">
        <v>754</v>
      </c>
      <c r="D29" t="s">
        <v>755</v>
      </c>
      <c r="E29" t="s">
        <v>756</v>
      </c>
      <c r="F29" t="s">
        <v>801</v>
      </c>
      <c r="G29" t="s">
        <v>758</v>
      </c>
      <c r="H29" t="s">
        <v>900</v>
      </c>
      <c r="J29" t="s">
        <v>760</v>
      </c>
      <c r="K29" t="s">
        <v>761</v>
      </c>
      <c r="L29" t="s">
        <v>754</v>
      </c>
      <c r="M29" t="s">
        <v>955</v>
      </c>
      <c r="N29" t="s">
        <v>763</v>
      </c>
      <c r="O29" t="s">
        <v>764</v>
      </c>
      <c r="P29" t="s">
        <v>63</v>
      </c>
      <c r="R29" t="s">
        <v>956</v>
      </c>
      <c r="S29" t="s">
        <v>754</v>
      </c>
      <c r="U29" t="s">
        <v>957</v>
      </c>
      <c r="V29" t="s">
        <v>767</v>
      </c>
      <c r="W29">
        <v>64</v>
      </c>
      <c r="X29" t="s">
        <v>768</v>
      </c>
      <c r="Y29">
        <v>2</v>
      </c>
      <c r="Z29" t="s">
        <v>958</v>
      </c>
      <c r="AA29">
        <v>8</v>
      </c>
      <c r="AB29" t="s">
        <v>770</v>
      </c>
      <c r="AC29" t="s">
        <v>768</v>
      </c>
      <c r="AD29" t="s">
        <v>959</v>
      </c>
      <c r="AE29">
        <v>32</v>
      </c>
      <c r="AF29" t="s">
        <v>770</v>
      </c>
      <c r="AG29" t="s">
        <v>768</v>
      </c>
      <c r="AT29" t="s">
        <v>772</v>
      </c>
      <c r="AU29" t="s">
        <v>960</v>
      </c>
      <c r="AV29" t="str" cm="1">
        <f t="array" ref="AV29">IF(B29=_xlfn.XLOOKUP(B29,VmSpecs[[#All],[VM Name]],VmSpecs[[#All],[VM Name]],"Failed",0,1),"Pass","Fail")</f>
        <v>Fail</v>
      </c>
      <c r="AW29" t="str" cm="1">
        <f t="array" ref="AW29">IF(D29=_xlfn.XLOOKUP($B29,VmSpecs[[#All],[VM Name]],VmSpecs[[#All],[Virtual Machine Resource Groups]],"Failed",0,1),"Pass","Fail")</f>
        <v>Fail</v>
      </c>
      <c r="AX29" t="str" cm="1">
        <f t="array" ref="AX29">IF(_xlfn.IFS(E29="australiacentral","Australia Central 1",E29="australiaeast","Australia East",E29="australiasoutheast","Australia SouthEast")=_xlfn.XLOOKUP($B29,VmSpecs[[#All],[VM Name]],VmSpecs[[#All],[Region]],"Failed",0,1),"Pass","Fail")</f>
        <v>Fail</v>
      </c>
      <c r="AY29" t="str" cm="1">
        <f t="array" ref="AY29">IF(F29=_xlfn.XLOOKUP($B29,VmSpecs[[#All],[VM Name]],VmSpecs[[#All],[Instance size]],"Failed",0,1),"Pass","Fail")</f>
        <v>Fail</v>
      </c>
      <c r="AZ29" t="str" cm="1">
        <f t="array" ref="AZ29">IF(LOWER(H29)=_xlfn.XLOOKUP($B29,VmSpecs[[#All],[VM Name]],VmSpecs[[#All],[Availability Set Name]],"Failed",0,1),"Pass","Fail")</f>
        <v>Fail</v>
      </c>
      <c r="BA29" t="str" cm="1">
        <f t="array" ref="BA29">IF(J29=_xlfn.XLOOKUP($B29,VmSpecs[[#All],[VM Name]],VmSpecs[[#All],[Virtual Network]],"Failed",0,1),"Pass","Fail")</f>
        <v>Fail</v>
      </c>
      <c r="BB29" t="str" cm="1">
        <f t="array" ref="BB29">IF(K29=_xlfn.XLOOKUP($B29,VmSpecs[[#All],[VM Name]],VmSpecs[[#All],[Subnet]],"Failed",0,1),"Pass","Fail")</f>
        <v>Fail</v>
      </c>
      <c r="BC29" t="str" cm="1">
        <f t="array" ref="BC29">IF(M29=_xlfn.XLOOKUP($B29,VmSpecs[[#All],[VM Name]],VmSpecs[[#All],[IP]],"Failed",0,1),"Pass","Fail")</f>
        <v>Fail</v>
      </c>
      <c r="BD29" t="str" cm="1">
        <f t="array" ref="BD29">IF(N29=_xlfn.XLOOKUP($B29,VmSpecs[[#All],[VM Name]],VmSpecs[[#All],[Network Security Group]],"Failed",0,1),"Pass","Fail")</f>
        <v>Fail</v>
      </c>
      <c r="BE29" t="str" cm="1">
        <f t="array" ref="BE29">IF(O29=_xlfn.XLOOKUP($B29,VmSpecs[[#All],[VM Name]],VmSpecs[[#All],[Route Table Name]],"Failed",0,1),"Pass","Fail")</f>
        <v>Fail</v>
      </c>
      <c r="BF29" t="str" cm="1">
        <f t="array" ref="BF29">IF(P29=_xlfn.XLOOKUP($B29,VmSpecs[[#All],[VM Name]],VmSpecs[[#All],[Operating System]],"Failed",0,1),"Pass","Fail")</f>
        <v>Fail</v>
      </c>
      <c r="BG29" t="str" cm="1">
        <f t="array" ref="BG29">IF(R29=_xlfn.XLOOKUP($B29,VmSpecs[[#All],[VM Name]],VmSpecs[[#All],[NIC name]],"Failed",0,1),"Pass","Fail")</f>
        <v>Fail</v>
      </c>
      <c r="BH29" t="str" cm="1">
        <f t="array" ref="BH29">IF(U29=_xlfn.XLOOKUP($B29,VmSpecs[[#All],[VM Name]],VmSpecs[[#All],[OS Disk Name]],"Failed",0,1),"Pass","Fail")</f>
        <v>Fail</v>
      </c>
      <c r="BI29" t="str" cm="1">
        <f t="array" ref="BI29">IF(W29=_xlfn.XLOOKUP($B29,VmSpecs[[#All],[VM Name]],VmSpecs[[#All],[OS Disk Size]],"Failed",0,1),"Pass","Fail")</f>
        <v>Fail</v>
      </c>
      <c r="BJ29" t="str" cm="1">
        <f t="array" ref="BJ29">IF(LEFT(X29,4)=LEFT(_xlfn.XLOOKUP($B29,VmSpecs[[#All],[VM Name]],VmSpecs[[#All],[OS Disk Type (Standard SSD etc)]],"Failed",0,1),4),"Pass","Fail")</f>
        <v>Fail</v>
      </c>
      <c r="BK29" t="str" cm="1">
        <f t="array" ref="BK29">IF(Z29=_xlfn.XLOOKUP($B29,VmSpecs[[#All],[VM Name]],VmSpecs[[#All],[Data Disk1 Name]],"Failed",0,1),"Pass","Fail")</f>
        <v>Fail</v>
      </c>
      <c r="BL29" t="str" cm="1">
        <f t="array" ref="BL29">IF(AA29=_xlfn.XLOOKUP($B29,VmSpecs[[#All],[VM Name]],VmSpecs[[#All],[Data Disk1 Size]],"Failed",0,1),"Pass","Fail")</f>
        <v>Fail</v>
      </c>
      <c r="BM29" t="str" cm="1">
        <f t="array" ref="BM29">IF(LEFT(AC29,4)=LEFT(_xlfn.XLOOKUP($B29,VmSpecs[[#All],[VM Name]],VmSpecs[[#All],[Data Disk1 Type]],"Failed",0,1),4),"Pass","Fail")</f>
        <v>Fail</v>
      </c>
      <c r="BO29" t="e">
        <f>VLOOKUP('VM Specs'!K29,'As Built'!B:B,1,FALSE)</f>
        <v>#N/A</v>
      </c>
      <c r="BP29" t="str">
        <f>IF(ISNA(Table613[[#This Row],[VM Build Sheet Check]]),'VM Specs'!K29,"")</f>
        <v>vmpfbpf2dcx09</v>
      </c>
    </row>
    <row r="30" spans="1:68" ht="33" customHeight="1" x14ac:dyDescent="0.35">
      <c r="A30" t="str">
        <f>IF(COUNTIF(AsBuilt[[#This Row],[VM Check]:[Data Disk 1 Type Check]],"Fail")&gt;0,"Fail","Pass")</f>
        <v>Fail</v>
      </c>
      <c r="B30" t="s">
        <v>961</v>
      </c>
      <c r="C30" t="s">
        <v>754</v>
      </c>
      <c r="D30" t="s">
        <v>755</v>
      </c>
      <c r="E30" t="s">
        <v>756</v>
      </c>
      <c r="F30" t="s">
        <v>801</v>
      </c>
      <c r="G30" t="s">
        <v>758</v>
      </c>
      <c r="H30" t="s">
        <v>900</v>
      </c>
      <c r="J30" t="s">
        <v>760</v>
      </c>
      <c r="K30" t="s">
        <v>761</v>
      </c>
      <c r="L30" t="s">
        <v>754</v>
      </c>
      <c r="M30" t="s">
        <v>962</v>
      </c>
      <c r="N30" t="s">
        <v>763</v>
      </c>
      <c r="O30" t="s">
        <v>764</v>
      </c>
      <c r="P30" t="s">
        <v>63</v>
      </c>
      <c r="R30" t="s">
        <v>963</v>
      </c>
      <c r="S30" t="s">
        <v>754</v>
      </c>
      <c r="U30" t="s">
        <v>964</v>
      </c>
      <c r="V30" t="s">
        <v>767</v>
      </c>
      <c r="W30">
        <v>64</v>
      </c>
      <c r="X30" t="s">
        <v>768</v>
      </c>
      <c r="Y30">
        <v>2</v>
      </c>
      <c r="Z30" t="s">
        <v>965</v>
      </c>
      <c r="AA30">
        <v>8</v>
      </c>
      <c r="AB30" t="s">
        <v>770</v>
      </c>
      <c r="AC30" t="s">
        <v>768</v>
      </c>
      <c r="AD30" t="s">
        <v>966</v>
      </c>
      <c r="AE30">
        <v>32</v>
      </c>
      <c r="AF30" t="s">
        <v>770</v>
      </c>
      <c r="AG30" t="s">
        <v>768</v>
      </c>
      <c r="AT30" t="s">
        <v>772</v>
      </c>
      <c r="AU30" t="s">
        <v>967</v>
      </c>
      <c r="AV30" t="str" cm="1">
        <f t="array" ref="AV30">IF(B30=_xlfn.XLOOKUP(B30,VmSpecs[[#All],[VM Name]],VmSpecs[[#All],[VM Name]],"Failed",0,1),"Pass","Fail")</f>
        <v>Fail</v>
      </c>
      <c r="AW30" t="str" cm="1">
        <f t="array" ref="AW30">IF(D30=_xlfn.XLOOKUP($B30,VmSpecs[[#All],[VM Name]],VmSpecs[[#All],[Virtual Machine Resource Groups]],"Failed",0,1),"Pass","Fail")</f>
        <v>Fail</v>
      </c>
      <c r="AX30" t="str" cm="1">
        <f t="array" ref="AX30">IF(_xlfn.IFS(E30="australiacentral","Australia Central 1",E30="australiaeast","Australia East",E30="australiasoutheast","Australia SouthEast")=_xlfn.XLOOKUP($B30,VmSpecs[[#All],[VM Name]],VmSpecs[[#All],[Region]],"Failed",0,1),"Pass","Fail")</f>
        <v>Fail</v>
      </c>
      <c r="AY30" t="str" cm="1">
        <f t="array" ref="AY30">IF(F30=_xlfn.XLOOKUP($B30,VmSpecs[[#All],[VM Name]],VmSpecs[[#All],[Instance size]],"Failed",0,1),"Pass","Fail")</f>
        <v>Fail</v>
      </c>
      <c r="AZ30" t="str" cm="1">
        <f t="array" ref="AZ30">IF(LOWER(H30)=_xlfn.XLOOKUP($B30,VmSpecs[[#All],[VM Name]],VmSpecs[[#All],[Availability Set Name]],"Failed",0,1),"Pass","Fail")</f>
        <v>Fail</v>
      </c>
      <c r="BA30" t="str" cm="1">
        <f t="array" ref="BA30">IF(J30=_xlfn.XLOOKUP($B30,VmSpecs[[#All],[VM Name]],VmSpecs[[#All],[Virtual Network]],"Failed",0,1),"Pass","Fail")</f>
        <v>Fail</v>
      </c>
      <c r="BB30" t="str" cm="1">
        <f t="array" ref="BB30">IF(K30=_xlfn.XLOOKUP($B30,VmSpecs[[#All],[VM Name]],VmSpecs[[#All],[Subnet]],"Failed",0,1),"Pass","Fail")</f>
        <v>Fail</v>
      </c>
      <c r="BC30" t="str" cm="1">
        <f t="array" ref="BC30">IF(M30=_xlfn.XLOOKUP($B30,VmSpecs[[#All],[VM Name]],VmSpecs[[#All],[IP]],"Failed",0,1),"Pass","Fail")</f>
        <v>Fail</v>
      </c>
      <c r="BD30" t="str" cm="1">
        <f t="array" ref="BD30">IF(N30=_xlfn.XLOOKUP($B30,VmSpecs[[#All],[VM Name]],VmSpecs[[#All],[Network Security Group]],"Failed",0,1),"Pass","Fail")</f>
        <v>Fail</v>
      </c>
      <c r="BE30" t="str" cm="1">
        <f t="array" ref="BE30">IF(O30=_xlfn.XLOOKUP($B30,VmSpecs[[#All],[VM Name]],VmSpecs[[#All],[Route Table Name]],"Failed",0,1),"Pass","Fail")</f>
        <v>Fail</v>
      </c>
      <c r="BF30" t="str" cm="1">
        <f t="array" ref="BF30">IF(P30=_xlfn.XLOOKUP($B30,VmSpecs[[#All],[VM Name]],VmSpecs[[#All],[Operating System]],"Failed",0,1),"Pass","Fail")</f>
        <v>Fail</v>
      </c>
      <c r="BG30" t="str" cm="1">
        <f t="array" ref="BG30">IF(R30=_xlfn.XLOOKUP($B30,VmSpecs[[#All],[VM Name]],VmSpecs[[#All],[NIC name]],"Failed",0,1),"Pass","Fail")</f>
        <v>Fail</v>
      </c>
      <c r="BH30" t="str" cm="1">
        <f t="array" ref="BH30">IF(U30=_xlfn.XLOOKUP($B30,VmSpecs[[#All],[VM Name]],VmSpecs[[#All],[OS Disk Name]],"Failed",0,1),"Pass","Fail")</f>
        <v>Fail</v>
      </c>
      <c r="BI30" t="str" cm="1">
        <f t="array" ref="BI30">IF(W30=_xlfn.XLOOKUP($B30,VmSpecs[[#All],[VM Name]],VmSpecs[[#All],[OS Disk Size]],"Failed",0,1),"Pass","Fail")</f>
        <v>Fail</v>
      </c>
      <c r="BJ30" t="str" cm="1">
        <f t="array" ref="BJ30">IF(LEFT(X30,4)=LEFT(_xlfn.XLOOKUP($B30,VmSpecs[[#All],[VM Name]],VmSpecs[[#All],[OS Disk Type (Standard SSD etc)]],"Failed",0,1),4),"Pass","Fail")</f>
        <v>Fail</v>
      </c>
      <c r="BK30" t="str" cm="1">
        <f t="array" ref="BK30">IF(Z30=_xlfn.XLOOKUP($B30,VmSpecs[[#All],[VM Name]],VmSpecs[[#All],[Data Disk1 Name]],"Failed",0,1),"Pass","Fail")</f>
        <v>Fail</v>
      </c>
      <c r="BL30" t="str" cm="1">
        <f t="array" ref="BL30">IF(AA30=_xlfn.XLOOKUP($B30,VmSpecs[[#All],[VM Name]],VmSpecs[[#All],[Data Disk1 Size]],"Failed",0,1),"Pass","Fail")</f>
        <v>Fail</v>
      </c>
      <c r="BM30" t="str" cm="1">
        <f t="array" ref="BM30">IF(LEFT(AC30,4)=LEFT(_xlfn.XLOOKUP($B30,VmSpecs[[#All],[VM Name]],VmSpecs[[#All],[Data Disk1 Type]],"Failed",0,1),4),"Pass","Fail")</f>
        <v>Fail</v>
      </c>
      <c r="BO30" t="e">
        <f>VLOOKUP('VM Specs'!K30,'As Built'!B:B,1,FALSE)</f>
        <v>#N/A</v>
      </c>
      <c r="BP30" t="str">
        <f>IF(ISNA(Table613[[#This Row],[VM Build Sheet Check]]),'VM Specs'!K30,"")</f>
        <v>vmpfbpf2dcx10</v>
      </c>
    </row>
    <row r="31" spans="1:68" ht="33" customHeight="1" x14ac:dyDescent="0.35">
      <c r="A31" t="str">
        <f>IF(COUNTIF(AsBuilt[[#This Row],[VM Check]:[Data Disk 1 Type Check]],"Fail")&gt;0,"Fail","Pass")</f>
        <v>Fail</v>
      </c>
      <c r="B31" t="s">
        <v>968</v>
      </c>
      <c r="C31" t="s">
        <v>754</v>
      </c>
      <c r="D31" t="s">
        <v>755</v>
      </c>
      <c r="E31" t="s">
        <v>756</v>
      </c>
      <c r="F31" t="s">
        <v>801</v>
      </c>
      <c r="G31" t="s">
        <v>758</v>
      </c>
      <c r="H31" t="s">
        <v>900</v>
      </c>
      <c r="J31" t="s">
        <v>760</v>
      </c>
      <c r="K31" t="s">
        <v>761</v>
      </c>
      <c r="L31" t="s">
        <v>754</v>
      </c>
      <c r="M31" t="s">
        <v>969</v>
      </c>
      <c r="N31" t="s">
        <v>763</v>
      </c>
      <c r="O31" t="s">
        <v>764</v>
      </c>
      <c r="P31" t="s">
        <v>63</v>
      </c>
      <c r="R31" t="s">
        <v>970</v>
      </c>
      <c r="S31" t="s">
        <v>754</v>
      </c>
      <c r="U31" t="s">
        <v>971</v>
      </c>
      <c r="V31" t="s">
        <v>767</v>
      </c>
      <c r="W31">
        <v>64</v>
      </c>
      <c r="X31" t="s">
        <v>768</v>
      </c>
      <c r="Y31">
        <v>2</v>
      </c>
      <c r="Z31" t="s">
        <v>972</v>
      </c>
      <c r="AA31">
        <v>8</v>
      </c>
      <c r="AB31" t="s">
        <v>770</v>
      </c>
      <c r="AC31" t="s">
        <v>768</v>
      </c>
      <c r="AD31" t="s">
        <v>973</v>
      </c>
      <c r="AE31">
        <v>32</v>
      </c>
      <c r="AF31" t="s">
        <v>770</v>
      </c>
      <c r="AG31" t="s">
        <v>768</v>
      </c>
      <c r="AT31" t="s">
        <v>772</v>
      </c>
      <c r="AU31" t="s">
        <v>974</v>
      </c>
      <c r="AV31" t="str" cm="1">
        <f t="array" ref="AV31">IF(B31=_xlfn.XLOOKUP(B31,VmSpecs[[#All],[VM Name]],VmSpecs[[#All],[VM Name]],"Failed",0,1),"Pass","Fail")</f>
        <v>Fail</v>
      </c>
      <c r="AW31" t="str" cm="1">
        <f t="array" ref="AW31">IF(D31=_xlfn.XLOOKUP($B31,VmSpecs[[#All],[VM Name]],VmSpecs[[#All],[Virtual Machine Resource Groups]],"Failed",0,1),"Pass","Fail")</f>
        <v>Fail</v>
      </c>
      <c r="AX31" t="str" cm="1">
        <f t="array" ref="AX31">IF(_xlfn.IFS(E31="australiacentral","Australia Central 1",E31="australiaeast","Australia East",E31="australiasoutheast","Australia SouthEast")=_xlfn.XLOOKUP($B31,VmSpecs[[#All],[VM Name]],VmSpecs[[#All],[Region]],"Failed",0,1),"Pass","Fail")</f>
        <v>Fail</v>
      </c>
      <c r="AY31" t="str" cm="1">
        <f t="array" ref="AY31">IF(F31=_xlfn.XLOOKUP($B31,VmSpecs[[#All],[VM Name]],VmSpecs[[#All],[Instance size]],"Failed",0,1),"Pass","Fail")</f>
        <v>Fail</v>
      </c>
      <c r="AZ31" t="str" cm="1">
        <f t="array" ref="AZ31">IF(LOWER(H31)=_xlfn.XLOOKUP($B31,VmSpecs[[#All],[VM Name]],VmSpecs[[#All],[Availability Set Name]],"Failed",0,1),"Pass","Fail")</f>
        <v>Fail</v>
      </c>
      <c r="BA31" t="str" cm="1">
        <f t="array" ref="BA31">IF(J31=_xlfn.XLOOKUP($B31,VmSpecs[[#All],[VM Name]],VmSpecs[[#All],[Virtual Network]],"Failed",0,1),"Pass","Fail")</f>
        <v>Fail</v>
      </c>
      <c r="BB31" t="str" cm="1">
        <f t="array" ref="BB31">IF(K31=_xlfn.XLOOKUP($B31,VmSpecs[[#All],[VM Name]],VmSpecs[[#All],[Subnet]],"Failed",0,1),"Pass","Fail")</f>
        <v>Fail</v>
      </c>
      <c r="BC31" t="str" cm="1">
        <f t="array" ref="BC31">IF(M31=_xlfn.XLOOKUP($B31,VmSpecs[[#All],[VM Name]],VmSpecs[[#All],[IP]],"Failed",0,1),"Pass","Fail")</f>
        <v>Fail</v>
      </c>
      <c r="BD31" t="str" cm="1">
        <f t="array" ref="BD31">IF(N31=_xlfn.XLOOKUP($B31,VmSpecs[[#All],[VM Name]],VmSpecs[[#All],[Network Security Group]],"Failed",0,1),"Pass","Fail")</f>
        <v>Fail</v>
      </c>
      <c r="BE31" t="str" cm="1">
        <f t="array" ref="BE31">IF(O31=_xlfn.XLOOKUP($B31,VmSpecs[[#All],[VM Name]],VmSpecs[[#All],[Route Table Name]],"Failed",0,1),"Pass","Fail")</f>
        <v>Fail</v>
      </c>
      <c r="BF31" t="str" cm="1">
        <f t="array" ref="BF31">IF(P31=_xlfn.XLOOKUP($B31,VmSpecs[[#All],[VM Name]],VmSpecs[[#All],[Operating System]],"Failed",0,1),"Pass","Fail")</f>
        <v>Fail</v>
      </c>
      <c r="BG31" t="str" cm="1">
        <f t="array" ref="BG31">IF(R31=_xlfn.XLOOKUP($B31,VmSpecs[[#All],[VM Name]],VmSpecs[[#All],[NIC name]],"Failed",0,1),"Pass","Fail")</f>
        <v>Fail</v>
      </c>
      <c r="BH31" t="str" cm="1">
        <f t="array" ref="BH31">IF(U31=_xlfn.XLOOKUP($B31,VmSpecs[[#All],[VM Name]],VmSpecs[[#All],[OS Disk Name]],"Failed",0,1),"Pass","Fail")</f>
        <v>Fail</v>
      </c>
      <c r="BI31" t="str" cm="1">
        <f t="array" ref="BI31">IF(W31=_xlfn.XLOOKUP($B31,VmSpecs[[#All],[VM Name]],VmSpecs[[#All],[OS Disk Size]],"Failed",0,1),"Pass","Fail")</f>
        <v>Fail</v>
      </c>
      <c r="BJ31" t="str" cm="1">
        <f t="array" ref="BJ31">IF(LEFT(X31,4)=LEFT(_xlfn.XLOOKUP($B31,VmSpecs[[#All],[VM Name]],VmSpecs[[#All],[OS Disk Type (Standard SSD etc)]],"Failed",0,1),4),"Pass","Fail")</f>
        <v>Fail</v>
      </c>
      <c r="BK31" t="str" cm="1">
        <f t="array" ref="BK31">IF(Z31=_xlfn.XLOOKUP($B31,VmSpecs[[#All],[VM Name]],VmSpecs[[#All],[Data Disk1 Name]],"Failed",0,1),"Pass","Fail")</f>
        <v>Fail</v>
      </c>
      <c r="BL31" t="str" cm="1">
        <f t="array" ref="BL31">IF(AA31=_xlfn.XLOOKUP($B31,VmSpecs[[#All],[VM Name]],VmSpecs[[#All],[Data Disk1 Size]],"Failed",0,1),"Pass","Fail")</f>
        <v>Fail</v>
      </c>
      <c r="BM31" t="str" cm="1">
        <f t="array" ref="BM31">IF(LEFT(AC31,4)=LEFT(_xlfn.XLOOKUP($B31,VmSpecs[[#All],[VM Name]],VmSpecs[[#All],[Data Disk1 Type]],"Failed",0,1),4),"Pass","Fail")</f>
        <v>Fail</v>
      </c>
      <c r="BO31" t="e">
        <f>VLOOKUP('VM Specs'!K31,'As Built'!B:B,1,FALSE)</f>
        <v>#N/A</v>
      </c>
      <c r="BP31" t="str">
        <f>IF(ISNA(Table613[[#This Row],[VM Build Sheet Check]]),'VM Specs'!K31,"")</f>
        <v>vmpfbpf2dcx11</v>
      </c>
    </row>
    <row r="32" spans="1:68" ht="33" customHeight="1" x14ac:dyDescent="0.35">
      <c r="A32" t="str">
        <f>IF(COUNTIF(AsBuilt[[#This Row],[VM Check]:[Data Disk 1 Type Check]],"Fail")&gt;0,"Fail","Pass")</f>
        <v>Fail</v>
      </c>
      <c r="B32" t="s">
        <v>975</v>
      </c>
      <c r="C32" t="s">
        <v>754</v>
      </c>
      <c r="D32" t="s">
        <v>755</v>
      </c>
      <c r="E32" t="s">
        <v>756</v>
      </c>
      <c r="F32" t="s">
        <v>801</v>
      </c>
      <c r="G32" t="s">
        <v>758</v>
      </c>
      <c r="H32" t="s">
        <v>900</v>
      </c>
      <c r="J32" t="s">
        <v>760</v>
      </c>
      <c r="K32" t="s">
        <v>761</v>
      </c>
      <c r="L32" t="s">
        <v>754</v>
      </c>
      <c r="M32" t="s">
        <v>976</v>
      </c>
      <c r="N32" t="s">
        <v>763</v>
      </c>
      <c r="O32" t="s">
        <v>764</v>
      </c>
      <c r="P32" t="s">
        <v>63</v>
      </c>
      <c r="R32" t="s">
        <v>977</v>
      </c>
      <c r="S32" t="s">
        <v>754</v>
      </c>
      <c r="U32" t="s">
        <v>978</v>
      </c>
      <c r="V32" t="s">
        <v>767</v>
      </c>
      <c r="W32">
        <v>64</v>
      </c>
      <c r="X32" t="s">
        <v>768</v>
      </c>
      <c r="Y32">
        <v>2</v>
      </c>
      <c r="Z32" t="s">
        <v>979</v>
      </c>
      <c r="AA32">
        <v>8</v>
      </c>
      <c r="AB32" t="s">
        <v>770</v>
      </c>
      <c r="AC32" t="s">
        <v>768</v>
      </c>
      <c r="AD32" t="s">
        <v>980</v>
      </c>
      <c r="AE32">
        <v>32</v>
      </c>
      <c r="AF32" t="s">
        <v>770</v>
      </c>
      <c r="AG32" t="s">
        <v>768</v>
      </c>
      <c r="AT32" t="s">
        <v>772</v>
      </c>
      <c r="AU32" t="s">
        <v>981</v>
      </c>
      <c r="AV32" t="str" cm="1">
        <f t="array" ref="AV32">IF(B32=_xlfn.XLOOKUP(B32,VmSpecs[[#All],[VM Name]],VmSpecs[[#All],[VM Name]],"Failed",0,1),"Pass","Fail")</f>
        <v>Fail</v>
      </c>
      <c r="AW32" t="str" cm="1">
        <f t="array" ref="AW32">IF(D32=_xlfn.XLOOKUP($B32,VmSpecs[[#All],[VM Name]],VmSpecs[[#All],[Virtual Machine Resource Groups]],"Failed",0,1),"Pass","Fail")</f>
        <v>Fail</v>
      </c>
      <c r="AX32" t="str" cm="1">
        <f t="array" ref="AX32">IF(_xlfn.IFS(E32="australiacentral","Australia Central 1",E32="australiaeast","Australia East",E32="australiasoutheast","Australia SouthEast")=_xlfn.XLOOKUP($B32,VmSpecs[[#All],[VM Name]],VmSpecs[[#All],[Region]],"Failed",0,1),"Pass","Fail")</f>
        <v>Fail</v>
      </c>
      <c r="AY32" t="str" cm="1">
        <f t="array" ref="AY32">IF(F32=_xlfn.XLOOKUP($B32,VmSpecs[[#All],[VM Name]],VmSpecs[[#All],[Instance size]],"Failed",0,1),"Pass","Fail")</f>
        <v>Fail</v>
      </c>
      <c r="AZ32" t="str" cm="1">
        <f t="array" ref="AZ32">IF(LOWER(H32)=_xlfn.XLOOKUP($B32,VmSpecs[[#All],[VM Name]],VmSpecs[[#All],[Availability Set Name]],"Failed",0,1),"Pass","Fail")</f>
        <v>Fail</v>
      </c>
      <c r="BA32" t="str" cm="1">
        <f t="array" ref="BA32">IF(J32=_xlfn.XLOOKUP($B32,VmSpecs[[#All],[VM Name]],VmSpecs[[#All],[Virtual Network]],"Failed",0,1),"Pass","Fail")</f>
        <v>Fail</v>
      </c>
      <c r="BB32" t="str" cm="1">
        <f t="array" ref="BB32">IF(K32=_xlfn.XLOOKUP($B32,VmSpecs[[#All],[VM Name]],VmSpecs[[#All],[Subnet]],"Failed",0,1),"Pass","Fail")</f>
        <v>Fail</v>
      </c>
      <c r="BC32" t="str" cm="1">
        <f t="array" ref="BC32">IF(M32=_xlfn.XLOOKUP($B32,VmSpecs[[#All],[VM Name]],VmSpecs[[#All],[IP]],"Failed",0,1),"Pass","Fail")</f>
        <v>Fail</v>
      </c>
      <c r="BD32" t="str" cm="1">
        <f t="array" ref="BD32">IF(N32=_xlfn.XLOOKUP($B32,VmSpecs[[#All],[VM Name]],VmSpecs[[#All],[Network Security Group]],"Failed",0,1),"Pass","Fail")</f>
        <v>Fail</v>
      </c>
      <c r="BE32" t="str" cm="1">
        <f t="array" ref="BE32">IF(O32=_xlfn.XLOOKUP($B32,VmSpecs[[#All],[VM Name]],VmSpecs[[#All],[Route Table Name]],"Failed",0,1),"Pass","Fail")</f>
        <v>Fail</v>
      </c>
      <c r="BF32" t="str" cm="1">
        <f t="array" ref="BF32">IF(P32=_xlfn.XLOOKUP($B32,VmSpecs[[#All],[VM Name]],VmSpecs[[#All],[Operating System]],"Failed",0,1),"Pass","Fail")</f>
        <v>Fail</v>
      </c>
      <c r="BG32" t="str" cm="1">
        <f t="array" ref="BG32">IF(R32=_xlfn.XLOOKUP($B32,VmSpecs[[#All],[VM Name]],VmSpecs[[#All],[NIC name]],"Failed",0,1),"Pass","Fail")</f>
        <v>Fail</v>
      </c>
      <c r="BH32" t="str" cm="1">
        <f t="array" ref="BH32">IF(U32=_xlfn.XLOOKUP($B32,VmSpecs[[#All],[VM Name]],VmSpecs[[#All],[OS Disk Name]],"Failed",0,1),"Pass","Fail")</f>
        <v>Fail</v>
      </c>
      <c r="BI32" t="str" cm="1">
        <f t="array" ref="BI32">IF(W32=_xlfn.XLOOKUP($B32,VmSpecs[[#All],[VM Name]],VmSpecs[[#All],[OS Disk Size]],"Failed",0,1),"Pass","Fail")</f>
        <v>Fail</v>
      </c>
      <c r="BJ32" t="str" cm="1">
        <f t="array" ref="BJ32">IF(LEFT(X32,4)=LEFT(_xlfn.XLOOKUP($B32,VmSpecs[[#All],[VM Name]],VmSpecs[[#All],[OS Disk Type (Standard SSD etc)]],"Failed",0,1),4),"Pass","Fail")</f>
        <v>Fail</v>
      </c>
      <c r="BK32" t="str" cm="1">
        <f t="array" ref="BK32">IF(Z32=_xlfn.XLOOKUP($B32,VmSpecs[[#All],[VM Name]],VmSpecs[[#All],[Data Disk1 Name]],"Failed",0,1),"Pass","Fail")</f>
        <v>Fail</v>
      </c>
      <c r="BL32" t="str" cm="1">
        <f t="array" ref="BL32">IF(AA32=_xlfn.XLOOKUP($B32,VmSpecs[[#All],[VM Name]],VmSpecs[[#All],[Data Disk1 Size]],"Failed",0,1),"Pass","Fail")</f>
        <v>Fail</v>
      </c>
      <c r="BM32" t="str" cm="1">
        <f t="array" ref="BM32">IF(LEFT(AC32,4)=LEFT(_xlfn.XLOOKUP($B32,VmSpecs[[#All],[VM Name]],VmSpecs[[#All],[Data Disk1 Type]],"Failed",0,1),4),"Pass","Fail")</f>
        <v>Fail</v>
      </c>
      <c r="BO32" t="e">
        <f>VLOOKUP('VM Specs'!K32,'As Built'!B:B,1,FALSE)</f>
        <v>#N/A</v>
      </c>
      <c r="BP32" t="str">
        <f>IF(ISNA(Table613[[#This Row],[VM Build Sheet Check]]),'VM Specs'!K32,"")</f>
        <v>vmpfbpf2dcx12</v>
      </c>
    </row>
    <row r="33" spans="1:68" ht="33" customHeight="1" x14ac:dyDescent="0.35">
      <c r="A33" t="str">
        <f>IF(COUNTIF(AsBuilt[[#This Row],[VM Check]:[Data Disk 1 Type Check]],"Fail")&gt;0,"Fail","Pass")</f>
        <v>Fail</v>
      </c>
      <c r="B33" t="s">
        <v>982</v>
      </c>
      <c r="C33" t="s">
        <v>754</v>
      </c>
      <c r="D33" t="s">
        <v>755</v>
      </c>
      <c r="E33" t="s">
        <v>756</v>
      </c>
      <c r="F33" t="s">
        <v>801</v>
      </c>
      <c r="G33" t="s">
        <v>758</v>
      </c>
      <c r="H33" t="s">
        <v>900</v>
      </c>
      <c r="J33" t="s">
        <v>760</v>
      </c>
      <c r="K33" t="s">
        <v>761</v>
      </c>
      <c r="L33" t="s">
        <v>754</v>
      </c>
      <c r="M33" t="s">
        <v>983</v>
      </c>
      <c r="N33" t="s">
        <v>763</v>
      </c>
      <c r="O33" t="s">
        <v>764</v>
      </c>
      <c r="P33" t="s">
        <v>63</v>
      </c>
      <c r="R33" t="s">
        <v>984</v>
      </c>
      <c r="S33" t="s">
        <v>754</v>
      </c>
      <c r="U33" t="s">
        <v>985</v>
      </c>
      <c r="V33" t="s">
        <v>767</v>
      </c>
      <c r="W33">
        <v>64</v>
      </c>
      <c r="X33" t="s">
        <v>768</v>
      </c>
      <c r="Y33">
        <v>2</v>
      </c>
      <c r="Z33" t="s">
        <v>986</v>
      </c>
      <c r="AA33">
        <v>8</v>
      </c>
      <c r="AB33" t="s">
        <v>770</v>
      </c>
      <c r="AC33" t="s">
        <v>768</v>
      </c>
      <c r="AD33" t="s">
        <v>987</v>
      </c>
      <c r="AE33">
        <v>32</v>
      </c>
      <c r="AF33" t="s">
        <v>770</v>
      </c>
      <c r="AG33" t="s">
        <v>768</v>
      </c>
      <c r="AT33" t="s">
        <v>772</v>
      </c>
      <c r="AU33" t="s">
        <v>988</v>
      </c>
      <c r="AV33" t="str" cm="1">
        <f t="array" ref="AV33">IF(B33=_xlfn.XLOOKUP(B33,VmSpecs[[#All],[VM Name]],VmSpecs[[#All],[VM Name]],"Failed",0,1),"Pass","Fail")</f>
        <v>Fail</v>
      </c>
      <c r="AW33" t="str" cm="1">
        <f t="array" ref="AW33">IF(D33=_xlfn.XLOOKUP($B33,VmSpecs[[#All],[VM Name]],VmSpecs[[#All],[Virtual Machine Resource Groups]],"Failed",0,1),"Pass","Fail")</f>
        <v>Fail</v>
      </c>
      <c r="AX33" t="str" cm="1">
        <f t="array" ref="AX33">IF(_xlfn.IFS(E33="australiacentral","Australia Central 1",E33="australiaeast","Australia East",E33="australiasoutheast","Australia SouthEast")=_xlfn.XLOOKUP($B33,VmSpecs[[#All],[VM Name]],VmSpecs[[#All],[Region]],"Failed",0,1),"Pass","Fail")</f>
        <v>Fail</v>
      </c>
      <c r="AY33" t="str" cm="1">
        <f t="array" ref="AY33">IF(F33=_xlfn.XLOOKUP($B33,VmSpecs[[#All],[VM Name]],VmSpecs[[#All],[Instance size]],"Failed",0,1),"Pass","Fail")</f>
        <v>Fail</v>
      </c>
      <c r="AZ33" t="str" cm="1">
        <f t="array" ref="AZ33">IF(LOWER(H33)=_xlfn.XLOOKUP($B33,VmSpecs[[#All],[VM Name]],VmSpecs[[#All],[Availability Set Name]],"Failed",0,1),"Pass","Fail")</f>
        <v>Fail</v>
      </c>
      <c r="BA33" t="str" cm="1">
        <f t="array" ref="BA33">IF(J33=_xlfn.XLOOKUP($B33,VmSpecs[[#All],[VM Name]],VmSpecs[[#All],[Virtual Network]],"Failed",0,1),"Pass","Fail")</f>
        <v>Fail</v>
      </c>
      <c r="BB33" t="str" cm="1">
        <f t="array" ref="BB33">IF(K33=_xlfn.XLOOKUP($B33,VmSpecs[[#All],[VM Name]],VmSpecs[[#All],[Subnet]],"Failed",0,1),"Pass","Fail")</f>
        <v>Fail</v>
      </c>
      <c r="BC33" t="str" cm="1">
        <f t="array" ref="BC33">IF(M33=_xlfn.XLOOKUP($B33,VmSpecs[[#All],[VM Name]],VmSpecs[[#All],[IP]],"Failed",0,1),"Pass","Fail")</f>
        <v>Fail</v>
      </c>
      <c r="BD33" t="str" cm="1">
        <f t="array" ref="BD33">IF(N33=_xlfn.XLOOKUP($B33,VmSpecs[[#All],[VM Name]],VmSpecs[[#All],[Network Security Group]],"Failed",0,1),"Pass","Fail")</f>
        <v>Fail</v>
      </c>
      <c r="BE33" t="str" cm="1">
        <f t="array" ref="BE33">IF(O33=_xlfn.XLOOKUP($B33,VmSpecs[[#All],[VM Name]],VmSpecs[[#All],[Route Table Name]],"Failed",0,1),"Pass","Fail")</f>
        <v>Fail</v>
      </c>
      <c r="BF33" t="str" cm="1">
        <f t="array" ref="BF33">IF(P33=_xlfn.XLOOKUP($B33,VmSpecs[[#All],[VM Name]],VmSpecs[[#All],[Operating System]],"Failed",0,1),"Pass","Fail")</f>
        <v>Fail</v>
      </c>
      <c r="BG33" t="str" cm="1">
        <f t="array" ref="BG33">IF(R33=_xlfn.XLOOKUP($B33,VmSpecs[[#All],[VM Name]],VmSpecs[[#All],[NIC name]],"Failed",0,1),"Pass","Fail")</f>
        <v>Fail</v>
      </c>
      <c r="BH33" t="str" cm="1">
        <f t="array" ref="BH33">IF(U33=_xlfn.XLOOKUP($B33,VmSpecs[[#All],[VM Name]],VmSpecs[[#All],[OS Disk Name]],"Failed",0,1),"Pass","Fail")</f>
        <v>Fail</v>
      </c>
      <c r="BI33" t="str" cm="1">
        <f t="array" ref="BI33">IF(W33=_xlfn.XLOOKUP($B33,VmSpecs[[#All],[VM Name]],VmSpecs[[#All],[OS Disk Size]],"Failed",0,1),"Pass","Fail")</f>
        <v>Fail</v>
      </c>
      <c r="BJ33" t="str" cm="1">
        <f t="array" ref="BJ33">IF(LEFT(X33,4)=LEFT(_xlfn.XLOOKUP($B33,VmSpecs[[#All],[VM Name]],VmSpecs[[#All],[OS Disk Type (Standard SSD etc)]],"Failed",0,1),4),"Pass","Fail")</f>
        <v>Fail</v>
      </c>
      <c r="BK33" t="str" cm="1">
        <f t="array" ref="BK33">IF(Z33=_xlfn.XLOOKUP($B33,VmSpecs[[#All],[VM Name]],VmSpecs[[#All],[Data Disk1 Name]],"Failed",0,1),"Pass","Fail")</f>
        <v>Fail</v>
      </c>
      <c r="BL33" t="str" cm="1">
        <f t="array" ref="BL33">IF(AA33=_xlfn.XLOOKUP($B33,VmSpecs[[#All],[VM Name]],VmSpecs[[#All],[Data Disk1 Size]],"Failed",0,1),"Pass","Fail")</f>
        <v>Fail</v>
      </c>
      <c r="BM33" t="str" cm="1">
        <f t="array" ref="BM33">IF(LEFT(AC33,4)=LEFT(_xlfn.XLOOKUP($B33,VmSpecs[[#All],[VM Name]],VmSpecs[[#All],[Data Disk1 Type]],"Failed",0,1),4),"Pass","Fail")</f>
        <v>Fail</v>
      </c>
      <c r="BO33" t="e">
        <f>VLOOKUP('VM Specs'!K33,'As Built'!B:B,1,FALSE)</f>
        <v>#N/A</v>
      </c>
      <c r="BP33" t="str">
        <f>IF(ISNA(Table613[[#This Row],[VM Build Sheet Check]]),'VM Specs'!K33,"")</f>
        <v>vmpfbpf2dcx13</v>
      </c>
    </row>
    <row r="34" spans="1:68" ht="33" customHeight="1" x14ac:dyDescent="0.35">
      <c r="A34" t="str">
        <f>IF(COUNTIF(AsBuilt[[#This Row],[VM Check]:[Data Disk 1 Type Check]],"Fail")&gt;0,"Fail","Pass")</f>
        <v>Fail</v>
      </c>
      <c r="B34" t="s">
        <v>989</v>
      </c>
      <c r="C34" t="s">
        <v>754</v>
      </c>
      <c r="D34" t="s">
        <v>755</v>
      </c>
      <c r="E34" t="s">
        <v>756</v>
      </c>
      <c r="F34" t="s">
        <v>801</v>
      </c>
      <c r="G34" t="s">
        <v>758</v>
      </c>
      <c r="H34" t="s">
        <v>900</v>
      </c>
      <c r="J34" t="s">
        <v>760</v>
      </c>
      <c r="K34" t="s">
        <v>761</v>
      </c>
      <c r="L34" t="s">
        <v>754</v>
      </c>
      <c r="M34" t="s">
        <v>990</v>
      </c>
      <c r="N34" t="s">
        <v>763</v>
      </c>
      <c r="O34" t="s">
        <v>764</v>
      </c>
      <c r="P34" t="s">
        <v>63</v>
      </c>
      <c r="R34" t="s">
        <v>991</v>
      </c>
      <c r="S34" t="s">
        <v>754</v>
      </c>
      <c r="U34" t="s">
        <v>992</v>
      </c>
      <c r="V34" t="s">
        <v>767</v>
      </c>
      <c r="W34">
        <v>64</v>
      </c>
      <c r="X34" t="s">
        <v>768</v>
      </c>
      <c r="Y34">
        <v>2</v>
      </c>
      <c r="Z34" t="s">
        <v>993</v>
      </c>
      <c r="AA34">
        <v>8</v>
      </c>
      <c r="AB34" t="s">
        <v>770</v>
      </c>
      <c r="AC34" t="s">
        <v>768</v>
      </c>
      <c r="AD34" t="s">
        <v>994</v>
      </c>
      <c r="AE34">
        <v>32</v>
      </c>
      <c r="AF34" t="s">
        <v>770</v>
      </c>
      <c r="AG34" t="s">
        <v>768</v>
      </c>
      <c r="AT34" t="s">
        <v>772</v>
      </c>
      <c r="AU34" t="s">
        <v>995</v>
      </c>
      <c r="AV34" t="str" cm="1">
        <f t="array" ref="AV34">IF(B34=_xlfn.XLOOKUP(B34,VmSpecs[[#All],[VM Name]],VmSpecs[[#All],[VM Name]],"Failed",0,1),"Pass","Fail")</f>
        <v>Fail</v>
      </c>
      <c r="AW34" t="str" cm="1">
        <f t="array" ref="AW34">IF(D34=_xlfn.XLOOKUP($B34,VmSpecs[[#All],[VM Name]],VmSpecs[[#All],[Virtual Machine Resource Groups]],"Failed",0,1),"Pass","Fail")</f>
        <v>Fail</v>
      </c>
      <c r="AX34" t="str" cm="1">
        <f t="array" ref="AX34">IF(_xlfn.IFS(E34="australiacentral","Australia Central 1",E34="australiaeast","Australia East",E34="australiasoutheast","Australia SouthEast")=_xlfn.XLOOKUP($B34,VmSpecs[[#All],[VM Name]],VmSpecs[[#All],[Region]],"Failed",0,1),"Pass","Fail")</f>
        <v>Fail</v>
      </c>
      <c r="AY34" t="str" cm="1">
        <f t="array" ref="AY34">IF(F34=_xlfn.XLOOKUP($B34,VmSpecs[[#All],[VM Name]],VmSpecs[[#All],[Instance size]],"Failed",0,1),"Pass","Fail")</f>
        <v>Fail</v>
      </c>
      <c r="AZ34" t="str" cm="1">
        <f t="array" ref="AZ34">IF(LOWER(H34)=_xlfn.XLOOKUP($B34,VmSpecs[[#All],[VM Name]],VmSpecs[[#All],[Availability Set Name]],"Failed",0,1),"Pass","Fail")</f>
        <v>Fail</v>
      </c>
      <c r="BA34" t="str" cm="1">
        <f t="array" ref="BA34">IF(J34=_xlfn.XLOOKUP($B34,VmSpecs[[#All],[VM Name]],VmSpecs[[#All],[Virtual Network]],"Failed",0,1),"Pass","Fail")</f>
        <v>Fail</v>
      </c>
      <c r="BB34" t="str" cm="1">
        <f t="array" ref="BB34">IF(K34=_xlfn.XLOOKUP($B34,VmSpecs[[#All],[VM Name]],VmSpecs[[#All],[Subnet]],"Failed",0,1),"Pass","Fail")</f>
        <v>Fail</v>
      </c>
      <c r="BC34" t="str" cm="1">
        <f t="array" ref="BC34">IF(M34=_xlfn.XLOOKUP($B34,VmSpecs[[#All],[VM Name]],VmSpecs[[#All],[IP]],"Failed",0,1),"Pass","Fail")</f>
        <v>Fail</v>
      </c>
      <c r="BD34" t="str" cm="1">
        <f t="array" ref="BD34">IF(N34=_xlfn.XLOOKUP($B34,VmSpecs[[#All],[VM Name]],VmSpecs[[#All],[Network Security Group]],"Failed",0,1),"Pass","Fail")</f>
        <v>Fail</v>
      </c>
      <c r="BE34" t="str" cm="1">
        <f t="array" ref="BE34">IF(O34=_xlfn.XLOOKUP($B34,VmSpecs[[#All],[VM Name]],VmSpecs[[#All],[Route Table Name]],"Failed",0,1),"Pass","Fail")</f>
        <v>Fail</v>
      </c>
      <c r="BF34" t="str" cm="1">
        <f t="array" ref="BF34">IF(P34=_xlfn.XLOOKUP($B34,VmSpecs[[#All],[VM Name]],VmSpecs[[#All],[Operating System]],"Failed",0,1),"Pass","Fail")</f>
        <v>Fail</v>
      </c>
      <c r="BG34" t="str" cm="1">
        <f t="array" ref="BG34">IF(R34=_xlfn.XLOOKUP($B34,VmSpecs[[#All],[VM Name]],VmSpecs[[#All],[NIC name]],"Failed",0,1),"Pass","Fail")</f>
        <v>Fail</v>
      </c>
      <c r="BH34" t="str" cm="1">
        <f t="array" ref="BH34">IF(U34=_xlfn.XLOOKUP($B34,VmSpecs[[#All],[VM Name]],VmSpecs[[#All],[OS Disk Name]],"Failed",0,1),"Pass","Fail")</f>
        <v>Fail</v>
      </c>
      <c r="BI34" t="str" cm="1">
        <f t="array" ref="BI34">IF(W34=_xlfn.XLOOKUP($B34,VmSpecs[[#All],[VM Name]],VmSpecs[[#All],[OS Disk Size]],"Failed",0,1),"Pass","Fail")</f>
        <v>Fail</v>
      </c>
      <c r="BJ34" t="str" cm="1">
        <f t="array" ref="BJ34">IF(LEFT(X34,4)=LEFT(_xlfn.XLOOKUP($B34,VmSpecs[[#All],[VM Name]],VmSpecs[[#All],[OS Disk Type (Standard SSD etc)]],"Failed",0,1),4),"Pass","Fail")</f>
        <v>Fail</v>
      </c>
      <c r="BK34" t="str" cm="1">
        <f t="array" ref="BK34">IF(Z34=_xlfn.XLOOKUP($B34,VmSpecs[[#All],[VM Name]],VmSpecs[[#All],[Data Disk1 Name]],"Failed",0,1),"Pass","Fail")</f>
        <v>Fail</v>
      </c>
      <c r="BL34" t="str" cm="1">
        <f t="array" ref="BL34">IF(AA34=_xlfn.XLOOKUP($B34,VmSpecs[[#All],[VM Name]],VmSpecs[[#All],[Data Disk1 Size]],"Failed",0,1),"Pass","Fail")</f>
        <v>Fail</v>
      </c>
      <c r="BM34" t="str" cm="1">
        <f t="array" ref="BM34">IF(LEFT(AC34,4)=LEFT(_xlfn.XLOOKUP($B34,VmSpecs[[#All],[VM Name]],VmSpecs[[#All],[Data Disk1 Type]],"Failed",0,1),4),"Pass","Fail")</f>
        <v>Fail</v>
      </c>
      <c r="BO34" t="e">
        <f>VLOOKUP('VM Specs'!K34,'As Built'!B:B,1,FALSE)</f>
        <v>#N/A</v>
      </c>
      <c r="BP34" t="str">
        <f>IF(ISNA(Table613[[#This Row],[VM Build Sheet Check]]),'VM Specs'!K34,"")</f>
        <v>vmpfbpf2dcx14</v>
      </c>
    </row>
    <row r="35" spans="1:68" ht="33" customHeight="1" x14ac:dyDescent="0.35">
      <c r="A35" t="str">
        <f>IF(COUNTIF(AsBuilt[[#This Row],[VM Check]:[Data Disk 1 Type Check]],"Fail")&gt;0,"Fail","Pass")</f>
        <v>Fail</v>
      </c>
      <c r="B35" t="s">
        <v>996</v>
      </c>
      <c r="C35" t="s">
        <v>754</v>
      </c>
      <c r="D35" t="s">
        <v>755</v>
      </c>
      <c r="E35" t="s">
        <v>756</v>
      </c>
      <c r="F35" t="s">
        <v>801</v>
      </c>
      <c r="G35" t="s">
        <v>758</v>
      </c>
      <c r="H35" t="s">
        <v>900</v>
      </c>
      <c r="J35" t="s">
        <v>760</v>
      </c>
      <c r="K35" t="s">
        <v>761</v>
      </c>
      <c r="L35" t="s">
        <v>754</v>
      </c>
      <c r="M35" t="s">
        <v>997</v>
      </c>
      <c r="N35" t="s">
        <v>763</v>
      </c>
      <c r="O35" t="s">
        <v>764</v>
      </c>
      <c r="P35" t="s">
        <v>63</v>
      </c>
      <c r="R35" t="s">
        <v>998</v>
      </c>
      <c r="S35" t="s">
        <v>754</v>
      </c>
      <c r="U35" t="s">
        <v>999</v>
      </c>
      <c r="V35" t="s">
        <v>767</v>
      </c>
      <c r="W35">
        <v>64</v>
      </c>
      <c r="X35" t="s">
        <v>768</v>
      </c>
      <c r="Y35">
        <v>2</v>
      </c>
      <c r="Z35" t="s">
        <v>1000</v>
      </c>
      <c r="AA35">
        <v>8</v>
      </c>
      <c r="AB35" t="s">
        <v>770</v>
      </c>
      <c r="AC35" t="s">
        <v>768</v>
      </c>
      <c r="AD35" t="s">
        <v>1001</v>
      </c>
      <c r="AE35">
        <v>32</v>
      </c>
      <c r="AF35" t="s">
        <v>770</v>
      </c>
      <c r="AG35" t="s">
        <v>768</v>
      </c>
      <c r="AT35" t="s">
        <v>772</v>
      </c>
      <c r="AU35" t="s">
        <v>1002</v>
      </c>
      <c r="AV35" t="str" cm="1">
        <f t="array" ref="AV35">IF(B35=_xlfn.XLOOKUP(B35,VmSpecs[[#All],[VM Name]],VmSpecs[[#All],[VM Name]],"Failed",0,1),"Pass","Fail")</f>
        <v>Fail</v>
      </c>
      <c r="AW35" t="str" cm="1">
        <f t="array" ref="AW35">IF(D35=_xlfn.XLOOKUP($B35,VmSpecs[[#All],[VM Name]],VmSpecs[[#All],[Virtual Machine Resource Groups]],"Failed",0,1),"Pass","Fail")</f>
        <v>Fail</v>
      </c>
      <c r="AX35" t="str" cm="1">
        <f t="array" ref="AX35">IF(_xlfn.IFS(E35="australiacentral","Australia Central 1",E35="australiaeast","Australia East",E35="australiasoutheast","Australia SouthEast")=_xlfn.XLOOKUP($B35,VmSpecs[[#All],[VM Name]],VmSpecs[[#All],[Region]],"Failed",0,1),"Pass","Fail")</f>
        <v>Fail</v>
      </c>
      <c r="AY35" t="str" cm="1">
        <f t="array" ref="AY35">IF(F35=_xlfn.XLOOKUP($B35,VmSpecs[[#All],[VM Name]],VmSpecs[[#All],[Instance size]],"Failed",0,1),"Pass","Fail")</f>
        <v>Fail</v>
      </c>
      <c r="AZ35" t="str" cm="1">
        <f t="array" ref="AZ35">IF(LOWER(H35)=_xlfn.XLOOKUP($B35,VmSpecs[[#All],[VM Name]],VmSpecs[[#All],[Availability Set Name]],"Failed",0,1),"Pass","Fail")</f>
        <v>Fail</v>
      </c>
      <c r="BA35" t="str" cm="1">
        <f t="array" ref="BA35">IF(J35=_xlfn.XLOOKUP($B35,VmSpecs[[#All],[VM Name]],VmSpecs[[#All],[Virtual Network]],"Failed",0,1),"Pass","Fail")</f>
        <v>Fail</v>
      </c>
      <c r="BB35" t="str" cm="1">
        <f t="array" ref="BB35">IF(K35=_xlfn.XLOOKUP($B35,VmSpecs[[#All],[VM Name]],VmSpecs[[#All],[Subnet]],"Failed",0,1),"Pass","Fail")</f>
        <v>Fail</v>
      </c>
      <c r="BC35" t="str" cm="1">
        <f t="array" ref="BC35">IF(M35=_xlfn.XLOOKUP($B35,VmSpecs[[#All],[VM Name]],VmSpecs[[#All],[IP]],"Failed",0,1),"Pass","Fail")</f>
        <v>Fail</v>
      </c>
      <c r="BD35" t="str" cm="1">
        <f t="array" ref="BD35">IF(N35=_xlfn.XLOOKUP($B35,VmSpecs[[#All],[VM Name]],VmSpecs[[#All],[Network Security Group]],"Failed",0,1),"Pass","Fail")</f>
        <v>Fail</v>
      </c>
      <c r="BE35" t="str" cm="1">
        <f t="array" ref="BE35">IF(O35=_xlfn.XLOOKUP($B35,VmSpecs[[#All],[VM Name]],VmSpecs[[#All],[Route Table Name]],"Failed",0,1),"Pass","Fail")</f>
        <v>Fail</v>
      </c>
      <c r="BF35" t="str" cm="1">
        <f t="array" ref="BF35">IF(P35=_xlfn.XLOOKUP($B35,VmSpecs[[#All],[VM Name]],VmSpecs[[#All],[Operating System]],"Failed",0,1),"Pass","Fail")</f>
        <v>Fail</v>
      </c>
      <c r="BG35" t="str" cm="1">
        <f t="array" ref="BG35">IF(R35=_xlfn.XLOOKUP($B35,VmSpecs[[#All],[VM Name]],VmSpecs[[#All],[NIC name]],"Failed",0,1),"Pass","Fail")</f>
        <v>Fail</v>
      </c>
      <c r="BH35" t="str" cm="1">
        <f t="array" ref="BH35">IF(U35=_xlfn.XLOOKUP($B35,VmSpecs[[#All],[VM Name]],VmSpecs[[#All],[OS Disk Name]],"Failed",0,1),"Pass","Fail")</f>
        <v>Fail</v>
      </c>
      <c r="BI35" t="str" cm="1">
        <f t="array" ref="BI35">IF(W35=_xlfn.XLOOKUP($B35,VmSpecs[[#All],[VM Name]],VmSpecs[[#All],[OS Disk Size]],"Failed",0,1),"Pass","Fail")</f>
        <v>Fail</v>
      </c>
      <c r="BJ35" t="str" cm="1">
        <f t="array" ref="BJ35">IF(LEFT(X35,4)=LEFT(_xlfn.XLOOKUP($B35,VmSpecs[[#All],[VM Name]],VmSpecs[[#All],[OS Disk Type (Standard SSD etc)]],"Failed",0,1),4),"Pass","Fail")</f>
        <v>Fail</v>
      </c>
      <c r="BK35" t="str" cm="1">
        <f t="array" ref="BK35">IF(Z35=_xlfn.XLOOKUP($B35,VmSpecs[[#All],[VM Name]],VmSpecs[[#All],[Data Disk1 Name]],"Failed",0,1),"Pass","Fail")</f>
        <v>Fail</v>
      </c>
      <c r="BL35" t="str" cm="1">
        <f t="array" ref="BL35">IF(AA35=_xlfn.XLOOKUP($B35,VmSpecs[[#All],[VM Name]],VmSpecs[[#All],[Data Disk1 Size]],"Failed",0,1),"Pass","Fail")</f>
        <v>Fail</v>
      </c>
      <c r="BM35" t="str" cm="1">
        <f t="array" ref="BM35">IF(LEFT(AC35,4)=LEFT(_xlfn.XLOOKUP($B35,VmSpecs[[#All],[VM Name]],VmSpecs[[#All],[Data Disk1 Type]],"Failed",0,1),4),"Pass","Fail")</f>
        <v>Fail</v>
      </c>
      <c r="BO35" t="e">
        <f>VLOOKUP('VM Specs'!K35,'As Built'!B:B,1,FALSE)</f>
        <v>#N/A</v>
      </c>
      <c r="BP35" t="str">
        <f>IF(ISNA(Table613[[#This Row],[VM Build Sheet Check]]),'VM Specs'!K35,"")</f>
        <v>vmpfbpf2dcx15</v>
      </c>
    </row>
    <row r="36" spans="1:68" ht="33" customHeight="1" x14ac:dyDescent="0.35">
      <c r="A36" t="str">
        <f>IF(COUNTIF(AsBuilt[[#This Row],[VM Check]:[Data Disk 1 Type Check]],"Fail")&gt;0,"Fail","Pass")</f>
        <v>Fail</v>
      </c>
      <c r="B36" t="s">
        <v>1003</v>
      </c>
      <c r="C36" t="s">
        <v>754</v>
      </c>
      <c r="D36" t="s">
        <v>755</v>
      </c>
      <c r="E36" t="s">
        <v>756</v>
      </c>
      <c r="F36" t="s">
        <v>801</v>
      </c>
      <c r="G36" t="s">
        <v>758</v>
      </c>
      <c r="H36" t="s">
        <v>900</v>
      </c>
      <c r="J36" t="s">
        <v>760</v>
      </c>
      <c r="K36" t="s">
        <v>761</v>
      </c>
      <c r="L36" t="s">
        <v>754</v>
      </c>
      <c r="M36" t="s">
        <v>1004</v>
      </c>
      <c r="N36" t="s">
        <v>763</v>
      </c>
      <c r="O36" t="s">
        <v>764</v>
      </c>
      <c r="P36" t="s">
        <v>63</v>
      </c>
      <c r="R36" t="s">
        <v>1005</v>
      </c>
      <c r="S36" t="s">
        <v>754</v>
      </c>
      <c r="U36" t="s">
        <v>1006</v>
      </c>
      <c r="V36" t="s">
        <v>767</v>
      </c>
      <c r="W36">
        <v>64</v>
      </c>
      <c r="X36" t="s">
        <v>768</v>
      </c>
      <c r="Y36">
        <v>2</v>
      </c>
      <c r="Z36" t="s">
        <v>1007</v>
      </c>
      <c r="AA36">
        <v>8</v>
      </c>
      <c r="AB36" t="s">
        <v>770</v>
      </c>
      <c r="AC36" t="s">
        <v>768</v>
      </c>
      <c r="AD36" t="s">
        <v>1008</v>
      </c>
      <c r="AE36">
        <v>32</v>
      </c>
      <c r="AF36" t="s">
        <v>770</v>
      </c>
      <c r="AG36" t="s">
        <v>768</v>
      </c>
      <c r="AT36" t="s">
        <v>772</v>
      </c>
      <c r="AU36" t="s">
        <v>1009</v>
      </c>
      <c r="AV36" t="str" cm="1">
        <f t="array" ref="AV36">IF(B36=_xlfn.XLOOKUP(B36,VmSpecs[[#All],[VM Name]],VmSpecs[[#All],[VM Name]],"Failed",0,1),"Pass","Fail")</f>
        <v>Fail</v>
      </c>
      <c r="AW36" t="str" cm="1">
        <f t="array" ref="AW36">IF(D36=_xlfn.XLOOKUP($B36,VmSpecs[[#All],[VM Name]],VmSpecs[[#All],[Virtual Machine Resource Groups]],"Failed",0,1),"Pass","Fail")</f>
        <v>Fail</v>
      </c>
      <c r="AX36" t="str" cm="1">
        <f t="array" ref="AX36">IF(_xlfn.IFS(E36="australiacentral","Australia Central 1",E36="australiaeast","Australia East",E36="australiasoutheast","Australia SouthEast")=_xlfn.XLOOKUP($B36,VmSpecs[[#All],[VM Name]],VmSpecs[[#All],[Region]],"Failed",0,1),"Pass","Fail")</f>
        <v>Fail</v>
      </c>
      <c r="AY36" t="str" cm="1">
        <f t="array" ref="AY36">IF(F36=_xlfn.XLOOKUP($B36,VmSpecs[[#All],[VM Name]],VmSpecs[[#All],[Instance size]],"Failed",0,1),"Pass","Fail")</f>
        <v>Fail</v>
      </c>
      <c r="AZ36" t="str" cm="1">
        <f t="array" ref="AZ36">IF(LOWER(H36)=_xlfn.XLOOKUP($B36,VmSpecs[[#All],[VM Name]],VmSpecs[[#All],[Availability Set Name]],"Failed",0,1),"Pass","Fail")</f>
        <v>Fail</v>
      </c>
      <c r="BA36" t="str" cm="1">
        <f t="array" ref="BA36">IF(J36=_xlfn.XLOOKUP($B36,VmSpecs[[#All],[VM Name]],VmSpecs[[#All],[Virtual Network]],"Failed",0,1),"Pass","Fail")</f>
        <v>Fail</v>
      </c>
      <c r="BB36" t="str" cm="1">
        <f t="array" ref="BB36">IF(K36=_xlfn.XLOOKUP($B36,VmSpecs[[#All],[VM Name]],VmSpecs[[#All],[Subnet]],"Failed",0,1),"Pass","Fail")</f>
        <v>Fail</v>
      </c>
      <c r="BC36" t="str" cm="1">
        <f t="array" ref="BC36">IF(M36=_xlfn.XLOOKUP($B36,VmSpecs[[#All],[VM Name]],VmSpecs[[#All],[IP]],"Failed",0,1),"Pass","Fail")</f>
        <v>Fail</v>
      </c>
      <c r="BD36" t="str" cm="1">
        <f t="array" ref="BD36">IF(N36=_xlfn.XLOOKUP($B36,VmSpecs[[#All],[VM Name]],VmSpecs[[#All],[Network Security Group]],"Failed",0,1),"Pass","Fail")</f>
        <v>Fail</v>
      </c>
      <c r="BE36" t="str" cm="1">
        <f t="array" ref="BE36">IF(O36=_xlfn.XLOOKUP($B36,VmSpecs[[#All],[VM Name]],VmSpecs[[#All],[Route Table Name]],"Failed",0,1),"Pass","Fail")</f>
        <v>Fail</v>
      </c>
      <c r="BF36" t="str" cm="1">
        <f t="array" ref="BF36">IF(P36=_xlfn.XLOOKUP($B36,VmSpecs[[#All],[VM Name]],VmSpecs[[#All],[Operating System]],"Failed",0,1),"Pass","Fail")</f>
        <v>Fail</v>
      </c>
      <c r="BG36" t="str" cm="1">
        <f t="array" ref="BG36">IF(R36=_xlfn.XLOOKUP($B36,VmSpecs[[#All],[VM Name]],VmSpecs[[#All],[NIC name]],"Failed",0,1),"Pass","Fail")</f>
        <v>Fail</v>
      </c>
      <c r="BH36" t="str" cm="1">
        <f t="array" ref="BH36">IF(U36=_xlfn.XLOOKUP($B36,VmSpecs[[#All],[VM Name]],VmSpecs[[#All],[OS Disk Name]],"Failed",0,1),"Pass","Fail")</f>
        <v>Fail</v>
      </c>
      <c r="BI36" t="str" cm="1">
        <f t="array" ref="BI36">IF(W36=_xlfn.XLOOKUP($B36,VmSpecs[[#All],[VM Name]],VmSpecs[[#All],[OS Disk Size]],"Failed",0,1),"Pass","Fail")</f>
        <v>Fail</v>
      </c>
      <c r="BJ36" t="str" cm="1">
        <f t="array" ref="BJ36">IF(LEFT(X36,4)=LEFT(_xlfn.XLOOKUP($B36,VmSpecs[[#All],[VM Name]],VmSpecs[[#All],[OS Disk Type (Standard SSD etc)]],"Failed",0,1),4),"Pass","Fail")</f>
        <v>Fail</v>
      </c>
      <c r="BK36" t="str" cm="1">
        <f t="array" ref="BK36">IF(Z36=_xlfn.XLOOKUP($B36,VmSpecs[[#All],[VM Name]],VmSpecs[[#All],[Data Disk1 Name]],"Failed",0,1),"Pass","Fail")</f>
        <v>Fail</v>
      </c>
      <c r="BL36" t="str" cm="1">
        <f t="array" ref="BL36">IF(AA36=_xlfn.XLOOKUP($B36,VmSpecs[[#All],[VM Name]],VmSpecs[[#All],[Data Disk1 Size]],"Failed",0,1),"Pass","Fail")</f>
        <v>Fail</v>
      </c>
      <c r="BM36" t="str" cm="1">
        <f t="array" ref="BM36">IF(LEFT(AC36,4)=LEFT(_xlfn.XLOOKUP($B36,VmSpecs[[#All],[VM Name]],VmSpecs[[#All],[Data Disk1 Type]],"Failed",0,1),4),"Pass","Fail")</f>
        <v>Fail</v>
      </c>
      <c r="BO36" t="e">
        <f>VLOOKUP('VM Specs'!K36,'As Built'!B:B,1,FALSE)</f>
        <v>#N/A</v>
      </c>
      <c r="BP36" t="str">
        <f>IF(ISNA(Table613[[#This Row],[VM Build Sheet Check]]),'VM Specs'!K36,"")</f>
        <v>vmpfbpf2dcx16</v>
      </c>
    </row>
    <row r="37" spans="1:68" ht="33" customHeight="1" x14ac:dyDescent="0.35">
      <c r="A37" t="str">
        <f>IF(COUNTIF(AsBuilt[[#This Row],[VM Check]:[Data Disk 1 Type Check]],"Fail")&gt;0,"Fail","Pass")</f>
        <v>Fail</v>
      </c>
      <c r="B37" t="s">
        <v>1010</v>
      </c>
      <c r="C37" t="s">
        <v>754</v>
      </c>
      <c r="D37" t="s">
        <v>755</v>
      </c>
      <c r="E37" t="s">
        <v>756</v>
      </c>
      <c r="F37" t="s">
        <v>801</v>
      </c>
      <c r="G37" t="s">
        <v>758</v>
      </c>
      <c r="H37" t="s">
        <v>900</v>
      </c>
      <c r="J37" t="s">
        <v>760</v>
      </c>
      <c r="K37" t="s">
        <v>761</v>
      </c>
      <c r="L37" t="s">
        <v>754</v>
      </c>
      <c r="M37" t="s">
        <v>1011</v>
      </c>
      <c r="N37" t="s">
        <v>763</v>
      </c>
      <c r="O37" t="s">
        <v>764</v>
      </c>
      <c r="P37" t="s">
        <v>63</v>
      </c>
      <c r="R37" t="s">
        <v>1012</v>
      </c>
      <c r="S37" t="s">
        <v>754</v>
      </c>
      <c r="U37" t="s">
        <v>1013</v>
      </c>
      <c r="V37" t="s">
        <v>767</v>
      </c>
      <c r="W37">
        <v>64</v>
      </c>
      <c r="X37" t="s">
        <v>768</v>
      </c>
      <c r="Y37">
        <v>2</v>
      </c>
      <c r="Z37" t="s">
        <v>1014</v>
      </c>
      <c r="AA37">
        <v>8</v>
      </c>
      <c r="AB37" t="s">
        <v>770</v>
      </c>
      <c r="AC37" t="s">
        <v>768</v>
      </c>
      <c r="AD37" t="s">
        <v>1015</v>
      </c>
      <c r="AE37">
        <v>32</v>
      </c>
      <c r="AF37" t="s">
        <v>770</v>
      </c>
      <c r="AG37" t="s">
        <v>768</v>
      </c>
      <c r="AT37" t="s">
        <v>772</v>
      </c>
      <c r="AU37" t="s">
        <v>1016</v>
      </c>
      <c r="AV37" t="str" cm="1">
        <f t="array" ref="AV37">IF(B37=_xlfn.XLOOKUP(B37,VmSpecs[[#All],[VM Name]],VmSpecs[[#All],[VM Name]],"Failed",0,1),"Pass","Fail")</f>
        <v>Fail</v>
      </c>
      <c r="AW37" t="str" cm="1">
        <f t="array" ref="AW37">IF(D37=_xlfn.XLOOKUP($B37,VmSpecs[[#All],[VM Name]],VmSpecs[[#All],[Virtual Machine Resource Groups]],"Failed",0,1),"Pass","Fail")</f>
        <v>Fail</v>
      </c>
      <c r="AX37" t="str" cm="1">
        <f t="array" ref="AX37">IF(_xlfn.IFS(E37="australiacentral","Australia Central 1",E37="australiaeast","Australia East",E37="australiasoutheast","Australia SouthEast")=_xlfn.XLOOKUP($B37,VmSpecs[[#All],[VM Name]],VmSpecs[[#All],[Region]],"Failed",0,1),"Pass","Fail")</f>
        <v>Fail</v>
      </c>
      <c r="AY37" t="str" cm="1">
        <f t="array" ref="AY37">IF(F37=_xlfn.XLOOKUP($B37,VmSpecs[[#All],[VM Name]],VmSpecs[[#All],[Instance size]],"Failed",0,1),"Pass","Fail")</f>
        <v>Fail</v>
      </c>
      <c r="AZ37" t="str" cm="1">
        <f t="array" ref="AZ37">IF(LOWER(H37)=_xlfn.XLOOKUP($B37,VmSpecs[[#All],[VM Name]],VmSpecs[[#All],[Availability Set Name]],"Failed",0,1),"Pass","Fail")</f>
        <v>Fail</v>
      </c>
      <c r="BA37" t="str" cm="1">
        <f t="array" ref="BA37">IF(J37=_xlfn.XLOOKUP($B37,VmSpecs[[#All],[VM Name]],VmSpecs[[#All],[Virtual Network]],"Failed",0,1),"Pass","Fail")</f>
        <v>Fail</v>
      </c>
      <c r="BB37" t="str" cm="1">
        <f t="array" ref="BB37">IF(K37=_xlfn.XLOOKUP($B37,VmSpecs[[#All],[VM Name]],VmSpecs[[#All],[Subnet]],"Failed",0,1),"Pass","Fail")</f>
        <v>Fail</v>
      </c>
      <c r="BC37" t="str" cm="1">
        <f t="array" ref="BC37">IF(M37=_xlfn.XLOOKUP($B37,VmSpecs[[#All],[VM Name]],VmSpecs[[#All],[IP]],"Failed",0,1),"Pass","Fail")</f>
        <v>Fail</v>
      </c>
      <c r="BD37" t="str" cm="1">
        <f t="array" ref="BD37">IF(N37=_xlfn.XLOOKUP($B37,VmSpecs[[#All],[VM Name]],VmSpecs[[#All],[Network Security Group]],"Failed",0,1),"Pass","Fail")</f>
        <v>Fail</v>
      </c>
      <c r="BE37" t="str" cm="1">
        <f t="array" ref="BE37">IF(O37=_xlfn.XLOOKUP($B37,VmSpecs[[#All],[VM Name]],VmSpecs[[#All],[Route Table Name]],"Failed",0,1),"Pass","Fail")</f>
        <v>Fail</v>
      </c>
      <c r="BF37" t="str" cm="1">
        <f t="array" ref="BF37">IF(P37=_xlfn.XLOOKUP($B37,VmSpecs[[#All],[VM Name]],VmSpecs[[#All],[Operating System]],"Failed",0,1),"Pass","Fail")</f>
        <v>Fail</v>
      </c>
      <c r="BG37" t="str" cm="1">
        <f t="array" ref="BG37">IF(R37=_xlfn.XLOOKUP($B37,VmSpecs[[#All],[VM Name]],VmSpecs[[#All],[NIC name]],"Failed",0,1),"Pass","Fail")</f>
        <v>Fail</v>
      </c>
      <c r="BH37" t="str" cm="1">
        <f t="array" ref="BH37">IF(U37=_xlfn.XLOOKUP($B37,VmSpecs[[#All],[VM Name]],VmSpecs[[#All],[OS Disk Name]],"Failed",0,1),"Pass","Fail")</f>
        <v>Fail</v>
      </c>
      <c r="BI37" t="str" cm="1">
        <f t="array" ref="BI37">IF(W37=_xlfn.XLOOKUP($B37,VmSpecs[[#All],[VM Name]],VmSpecs[[#All],[OS Disk Size]],"Failed",0,1),"Pass","Fail")</f>
        <v>Fail</v>
      </c>
      <c r="BJ37" t="str" cm="1">
        <f t="array" ref="BJ37">IF(LEFT(X37,4)=LEFT(_xlfn.XLOOKUP($B37,VmSpecs[[#All],[VM Name]],VmSpecs[[#All],[OS Disk Type (Standard SSD etc)]],"Failed",0,1),4),"Pass","Fail")</f>
        <v>Fail</v>
      </c>
      <c r="BK37" t="str" cm="1">
        <f t="array" ref="BK37">IF(Z37=_xlfn.XLOOKUP($B37,VmSpecs[[#All],[VM Name]],VmSpecs[[#All],[Data Disk1 Name]],"Failed",0,1),"Pass","Fail")</f>
        <v>Fail</v>
      </c>
      <c r="BL37" t="str" cm="1">
        <f t="array" ref="BL37">IF(AA37=_xlfn.XLOOKUP($B37,VmSpecs[[#All],[VM Name]],VmSpecs[[#All],[Data Disk1 Size]],"Failed",0,1),"Pass","Fail")</f>
        <v>Fail</v>
      </c>
      <c r="BM37" t="str" cm="1">
        <f t="array" ref="BM37">IF(LEFT(AC37,4)=LEFT(_xlfn.XLOOKUP($B37,VmSpecs[[#All],[VM Name]],VmSpecs[[#All],[Data Disk1 Type]],"Failed",0,1),4),"Pass","Fail")</f>
        <v>Fail</v>
      </c>
      <c r="BO37" t="e">
        <f>VLOOKUP('VM Specs'!K37,'As Built'!B:B,1,FALSE)</f>
        <v>#N/A</v>
      </c>
      <c r="BP37" t="str">
        <f>IF(ISNA(Table613[[#This Row],[VM Build Sheet Check]]),'VM Specs'!K37,"")</f>
        <v>vmpfbpf2dcx17</v>
      </c>
    </row>
    <row r="38" spans="1:68" ht="33" customHeight="1" x14ac:dyDescent="0.35">
      <c r="A38" t="str">
        <f>IF(COUNTIF(AsBuilt[[#This Row],[VM Check]:[Data Disk 1 Type Check]],"Fail")&gt;0,"Fail","Pass")</f>
        <v>Fail</v>
      </c>
      <c r="B38" t="s">
        <v>1017</v>
      </c>
      <c r="C38" t="s">
        <v>754</v>
      </c>
      <c r="D38" t="s">
        <v>755</v>
      </c>
      <c r="E38" t="s">
        <v>756</v>
      </c>
      <c r="F38" t="s">
        <v>801</v>
      </c>
      <c r="G38" t="s">
        <v>758</v>
      </c>
      <c r="H38" t="s">
        <v>900</v>
      </c>
      <c r="J38" t="s">
        <v>760</v>
      </c>
      <c r="K38" t="s">
        <v>761</v>
      </c>
      <c r="L38" t="s">
        <v>754</v>
      </c>
      <c r="M38" t="s">
        <v>1018</v>
      </c>
      <c r="N38" t="s">
        <v>763</v>
      </c>
      <c r="O38" t="s">
        <v>764</v>
      </c>
      <c r="P38" t="s">
        <v>63</v>
      </c>
      <c r="R38" t="s">
        <v>1019</v>
      </c>
      <c r="S38" t="s">
        <v>754</v>
      </c>
      <c r="U38" t="s">
        <v>1020</v>
      </c>
      <c r="V38" t="s">
        <v>767</v>
      </c>
      <c r="W38">
        <v>64</v>
      </c>
      <c r="X38" t="s">
        <v>768</v>
      </c>
      <c r="Y38">
        <v>2</v>
      </c>
      <c r="Z38" t="s">
        <v>1021</v>
      </c>
      <c r="AA38">
        <v>8</v>
      </c>
      <c r="AB38" t="s">
        <v>770</v>
      </c>
      <c r="AC38" t="s">
        <v>768</v>
      </c>
      <c r="AD38" t="s">
        <v>1022</v>
      </c>
      <c r="AE38">
        <v>32</v>
      </c>
      <c r="AF38" t="s">
        <v>770</v>
      </c>
      <c r="AG38" t="s">
        <v>768</v>
      </c>
      <c r="AT38" t="s">
        <v>772</v>
      </c>
      <c r="AU38" t="s">
        <v>1023</v>
      </c>
      <c r="AV38" t="str" cm="1">
        <f t="array" ref="AV38">IF(B38=_xlfn.XLOOKUP(B38,VmSpecs[[#All],[VM Name]],VmSpecs[[#All],[VM Name]],"Failed",0,1),"Pass","Fail")</f>
        <v>Fail</v>
      </c>
      <c r="AW38" t="str" cm="1">
        <f t="array" ref="AW38">IF(D38=_xlfn.XLOOKUP($B38,VmSpecs[[#All],[VM Name]],VmSpecs[[#All],[Virtual Machine Resource Groups]],"Failed",0,1),"Pass","Fail")</f>
        <v>Fail</v>
      </c>
      <c r="AX38" t="str" cm="1">
        <f t="array" ref="AX38">IF(_xlfn.IFS(E38="australiacentral","Australia Central 1",E38="australiaeast","Australia East",E38="australiasoutheast","Australia SouthEast")=_xlfn.XLOOKUP($B38,VmSpecs[[#All],[VM Name]],VmSpecs[[#All],[Region]],"Failed",0,1),"Pass","Fail")</f>
        <v>Fail</v>
      </c>
      <c r="AY38" t="str" cm="1">
        <f t="array" ref="AY38">IF(F38=_xlfn.XLOOKUP($B38,VmSpecs[[#All],[VM Name]],VmSpecs[[#All],[Instance size]],"Failed",0,1),"Pass","Fail")</f>
        <v>Fail</v>
      </c>
      <c r="AZ38" t="str" cm="1">
        <f t="array" ref="AZ38">IF(LOWER(H38)=_xlfn.XLOOKUP($B38,VmSpecs[[#All],[VM Name]],VmSpecs[[#All],[Availability Set Name]],"Failed",0,1),"Pass","Fail")</f>
        <v>Fail</v>
      </c>
      <c r="BA38" t="str" cm="1">
        <f t="array" ref="BA38">IF(J38=_xlfn.XLOOKUP($B38,VmSpecs[[#All],[VM Name]],VmSpecs[[#All],[Virtual Network]],"Failed",0,1),"Pass","Fail")</f>
        <v>Fail</v>
      </c>
      <c r="BB38" t="str" cm="1">
        <f t="array" ref="BB38">IF(K38=_xlfn.XLOOKUP($B38,VmSpecs[[#All],[VM Name]],VmSpecs[[#All],[Subnet]],"Failed",0,1),"Pass","Fail")</f>
        <v>Fail</v>
      </c>
      <c r="BC38" t="str" cm="1">
        <f t="array" ref="BC38">IF(M38=_xlfn.XLOOKUP($B38,VmSpecs[[#All],[VM Name]],VmSpecs[[#All],[IP]],"Failed",0,1),"Pass","Fail")</f>
        <v>Fail</v>
      </c>
      <c r="BD38" t="str" cm="1">
        <f t="array" ref="BD38">IF(N38=_xlfn.XLOOKUP($B38,VmSpecs[[#All],[VM Name]],VmSpecs[[#All],[Network Security Group]],"Failed",0,1),"Pass","Fail")</f>
        <v>Fail</v>
      </c>
      <c r="BE38" t="str" cm="1">
        <f t="array" ref="BE38">IF(O38=_xlfn.XLOOKUP($B38,VmSpecs[[#All],[VM Name]],VmSpecs[[#All],[Route Table Name]],"Failed",0,1),"Pass","Fail")</f>
        <v>Fail</v>
      </c>
      <c r="BF38" t="str" cm="1">
        <f t="array" ref="BF38">IF(P38=_xlfn.XLOOKUP($B38,VmSpecs[[#All],[VM Name]],VmSpecs[[#All],[Operating System]],"Failed",0,1),"Pass","Fail")</f>
        <v>Fail</v>
      </c>
      <c r="BG38" t="str" cm="1">
        <f t="array" ref="BG38">IF(R38=_xlfn.XLOOKUP($B38,VmSpecs[[#All],[VM Name]],VmSpecs[[#All],[NIC name]],"Failed",0,1),"Pass","Fail")</f>
        <v>Fail</v>
      </c>
      <c r="BH38" t="str" cm="1">
        <f t="array" ref="BH38">IF(U38=_xlfn.XLOOKUP($B38,VmSpecs[[#All],[VM Name]],VmSpecs[[#All],[OS Disk Name]],"Failed",0,1),"Pass","Fail")</f>
        <v>Fail</v>
      </c>
      <c r="BI38" t="str" cm="1">
        <f t="array" ref="BI38">IF(W38=_xlfn.XLOOKUP($B38,VmSpecs[[#All],[VM Name]],VmSpecs[[#All],[OS Disk Size]],"Failed",0,1),"Pass","Fail")</f>
        <v>Fail</v>
      </c>
      <c r="BJ38" t="str" cm="1">
        <f t="array" ref="BJ38">IF(LEFT(X38,4)=LEFT(_xlfn.XLOOKUP($B38,VmSpecs[[#All],[VM Name]],VmSpecs[[#All],[OS Disk Type (Standard SSD etc)]],"Failed",0,1),4),"Pass","Fail")</f>
        <v>Fail</v>
      </c>
      <c r="BK38" t="str" cm="1">
        <f t="array" ref="BK38">IF(Z38=_xlfn.XLOOKUP($B38,VmSpecs[[#All],[VM Name]],VmSpecs[[#All],[Data Disk1 Name]],"Failed",0,1),"Pass","Fail")</f>
        <v>Fail</v>
      </c>
      <c r="BL38" t="str" cm="1">
        <f t="array" ref="BL38">IF(AA38=_xlfn.XLOOKUP($B38,VmSpecs[[#All],[VM Name]],VmSpecs[[#All],[Data Disk1 Size]],"Failed",0,1),"Pass","Fail")</f>
        <v>Fail</v>
      </c>
      <c r="BM38" t="str" cm="1">
        <f t="array" ref="BM38">IF(LEFT(AC38,4)=LEFT(_xlfn.XLOOKUP($B38,VmSpecs[[#All],[VM Name]],VmSpecs[[#All],[Data Disk1 Type]],"Failed",0,1),4),"Pass","Fail")</f>
        <v>Fail</v>
      </c>
      <c r="BO38" t="e">
        <f>VLOOKUP('VM Specs'!K38,'As Built'!B:B,1,FALSE)</f>
        <v>#N/A</v>
      </c>
      <c r="BP38" t="str">
        <f>IF(ISNA(Table613[[#This Row],[VM Build Sheet Check]]),'VM Specs'!K38,"")</f>
        <v>vmpfbpf2dcx18</v>
      </c>
    </row>
    <row r="39" spans="1:68" ht="33" customHeight="1" x14ac:dyDescent="0.35">
      <c r="A39" t="str">
        <f>IF(COUNTIF(AsBuilt[[#This Row],[VM Check]:[Data Disk 1 Type Check]],"Fail")&gt;0,"Fail","Pass")</f>
        <v>Fail</v>
      </c>
      <c r="B39" t="s">
        <v>1024</v>
      </c>
      <c r="C39" t="s">
        <v>754</v>
      </c>
      <c r="D39" t="s">
        <v>755</v>
      </c>
      <c r="E39" t="s">
        <v>756</v>
      </c>
      <c r="F39" t="s">
        <v>801</v>
      </c>
      <c r="G39" t="s">
        <v>758</v>
      </c>
      <c r="H39" t="s">
        <v>900</v>
      </c>
      <c r="J39" t="s">
        <v>760</v>
      </c>
      <c r="K39" t="s">
        <v>761</v>
      </c>
      <c r="L39" t="s">
        <v>754</v>
      </c>
      <c r="M39" t="s">
        <v>1025</v>
      </c>
      <c r="N39" t="s">
        <v>763</v>
      </c>
      <c r="O39" t="s">
        <v>764</v>
      </c>
      <c r="P39" t="s">
        <v>63</v>
      </c>
      <c r="R39" t="s">
        <v>1026</v>
      </c>
      <c r="S39" t="s">
        <v>754</v>
      </c>
      <c r="U39" t="s">
        <v>1027</v>
      </c>
      <c r="V39" t="s">
        <v>767</v>
      </c>
      <c r="W39">
        <v>64</v>
      </c>
      <c r="X39" t="s">
        <v>768</v>
      </c>
      <c r="Y39">
        <v>2</v>
      </c>
      <c r="Z39" t="s">
        <v>1028</v>
      </c>
      <c r="AA39">
        <v>8</v>
      </c>
      <c r="AB39" t="s">
        <v>770</v>
      </c>
      <c r="AC39" t="s">
        <v>768</v>
      </c>
      <c r="AD39" t="s">
        <v>1029</v>
      </c>
      <c r="AE39">
        <v>32</v>
      </c>
      <c r="AF39" t="s">
        <v>770</v>
      </c>
      <c r="AG39" t="s">
        <v>768</v>
      </c>
      <c r="AT39" t="s">
        <v>772</v>
      </c>
      <c r="AU39" t="s">
        <v>1030</v>
      </c>
      <c r="AV39" t="str" cm="1">
        <f t="array" ref="AV39">IF(B39=_xlfn.XLOOKUP(B39,VmSpecs[[#All],[VM Name]],VmSpecs[[#All],[VM Name]],"Failed",0,1),"Pass","Fail")</f>
        <v>Fail</v>
      </c>
      <c r="AW39" t="str" cm="1">
        <f t="array" ref="AW39">IF(D39=_xlfn.XLOOKUP($B39,VmSpecs[[#All],[VM Name]],VmSpecs[[#All],[Virtual Machine Resource Groups]],"Failed",0,1),"Pass","Fail")</f>
        <v>Fail</v>
      </c>
      <c r="AX39" t="str" cm="1">
        <f t="array" ref="AX39">IF(_xlfn.IFS(E39="australiacentral","Australia Central 1",E39="australiaeast","Australia East",E39="australiasoutheast","Australia SouthEast")=_xlfn.XLOOKUP($B39,VmSpecs[[#All],[VM Name]],VmSpecs[[#All],[Region]],"Failed",0,1),"Pass","Fail")</f>
        <v>Fail</v>
      </c>
      <c r="AY39" t="str" cm="1">
        <f t="array" ref="AY39">IF(F39=_xlfn.XLOOKUP($B39,VmSpecs[[#All],[VM Name]],VmSpecs[[#All],[Instance size]],"Failed",0,1),"Pass","Fail")</f>
        <v>Fail</v>
      </c>
      <c r="AZ39" t="str" cm="1">
        <f t="array" ref="AZ39">IF(LOWER(H39)=_xlfn.XLOOKUP($B39,VmSpecs[[#All],[VM Name]],VmSpecs[[#All],[Availability Set Name]],"Failed",0,1),"Pass","Fail")</f>
        <v>Fail</v>
      </c>
      <c r="BA39" t="str" cm="1">
        <f t="array" ref="BA39">IF(J39=_xlfn.XLOOKUP($B39,VmSpecs[[#All],[VM Name]],VmSpecs[[#All],[Virtual Network]],"Failed",0,1),"Pass","Fail")</f>
        <v>Fail</v>
      </c>
      <c r="BB39" t="str" cm="1">
        <f t="array" ref="BB39">IF(K39=_xlfn.XLOOKUP($B39,VmSpecs[[#All],[VM Name]],VmSpecs[[#All],[Subnet]],"Failed",0,1),"Pass","Fail")</f>
        <v>Fail</v>
      </c>
      <c r="BC39" t="str" cm="1">
        <f t="array" ref="BC39">IF(M39=_xlfn.XLOOKUP($B39,VmSpecs[[#All],[VM Name]],VmSpecs[[#All],[IP]],"Failed",0,1),"Pass","Fail")</f>
        <v>Fail</v>
      </c>
      <c r="BD39" t="str" cm="1">
        <f t="array" ref="BD39">IF(N39=_xlfn.XLOOKUP($B39,VmSpecs[[#All],[VM Name]],VmSpecs[[#All],[Network Security Group]],"Failed",0,1),"Pass","Fail")</f>
        <v>Fail</v>
      </c>
      <c r="BE39" t="str" cm="1">
        <f t="array" ref="BE39">IF(O39=_xlfn.XLOOKUP($B39,VmSpecs[[#All],[VM Name]],VmSpecs[[#All],[Route Table Name]],"Failed",0,1),"Pass","Fail")</f>
        <v>Fail</v>
      </c>
      <c r="BF39" t="str" cm="1">
        <f t="array" ref="BF39">IF(P39=_xlfn.XLOOKUP($B39,VmSpecs[[#All],[VM Name]],VmSpecs[[#All],[Operating System]],"Failed",0,1),"Pass","Fail")</f>
        <v>Fail</v>
      </c>
      <c r="BG39" t="str" cm="1">
        <f t="array" ref="BG39">IF(R39=_xlfn.XLOOKUP($B39,VmSpecs[[#All],[VM Name]],VmSpecs[[#All],[NIC name]],"Failed",0,1),"Pass","Fail")</f>
        <v>Fail</v>
      </c>
      <c r="BH39" t="str" cm="1">
        <f t="array" ref="BH39">IF(U39=_xlfn.XLOOKUP($B39,VmSpecs[[#All],[VM Name]],VmSpecs[[#All],[OS Disk Name]],"Failed",0,1),"Pass","Fail")</f>
        <v>Fail</v>
      </c>
      <c r="BI39" t="str" cm="1">
        <f t="array" ref="BI39">IF(W39=_xlfn.XLOOKUP($B39,VmSpecs[[#All],[VM Name]],VmSpecs[[#All],[OS Disk Size]],"Failed",0,1),"Pass","Fail")</f>
        <v>Fail</v>
      </c>
      <c r="BJ39" t="str" cm="1">
        <f t="array" ref="BJ39">IF(LEFT(X39,4)=LEFT(_xlfn.XLOOKUP($B39,VmSpecs[[#All],[VM Name]],VmSpecs[[#All],[OS Disk Type (Standard SSD etc)]],"Failed",0,1),4),"Pass","Fail")</f>
        <v>Fail</v>
      </c>
      <c r="BK39" t="str" cm="1">
        <f t="array" ref="BK39">IF(Z39=_xlfn.XLOOKUP($B39,VmSpecs[[#All],[VM Name]],VmSpecs[[#All],[Data Disk1 Name]],"Failed",0,1),"Pass","Fail")</f>
        <v>Fail</v>
      </c>
      <c r="BL39" t="str" cm="1">
        <f t="array" ref="BL39">IF(AA39=_xlfn.XLOOKUP($B39,VmSpecs[[#All],[VM Name]],VmSpecs[[#All],[Data Disk1 Size]],"Failed",0,1),"Pass","Fail")</f>
        <v>Fail</v>
      </c>
      <c r="BM39" t="str" cm="1">
        <f t="array" ref="BM39">IF(LEFT(AC39,4)=LEFT(_xlfn.XLOOKUP($B39,VmSpecs[[#All],[VM Name]],VmSpecs[[#All],[Data Disk1 Type]],"Failed",0,1),4),"Pass","Fail")</f>
        <v>Fail</v>
      </c>
      <c r="BO39" t="e">
        <f>VLOOKUP('VM Specs'!K39,'As Built'!B:B,1,FALSE)</f>
        <v>#N/A</v>
      </c>
      <c r="BP39" t="str">
        <f>IF(ISNA(Table613[[#This Row],[VM Build Sheet Check]]),'VM Specs'!K39,"")</f>
        <v>vmpfbpf2dcx19</v>
      </c>
    </row>
    <row r="40" spans="1:68" ht="33" customHeight="1" x14ac:dyDescent="0.35">
      <c r="A40" t="str">
        <f>IF(COUNTIF(AsBuilt[[#This Row],[VM Check]:[Data Disk 1 Type Check]],"Fail")&gt;0,"Fail","Pass")</f>
        <v>Fail</v>
      </c>
      <c r="B40" t="s">
        <v>1031</v>
      </c>
      <c r="C40" t="s">
        <v>754</v>
      </c>
      <c r="D40" t="s">
        <v>755</v>
      </c>
      <c r="E40" t="s">
        <v>756</v>
      </c>
      <c r="F40" t="s">
        <v>801</v>
      </c>
      <c r="G40" t="s">
        <v>758</v>
      </c>
      <c r="H40" t="s">
        <v>900</v>
      </c>
      <c r="J40" t="s">
        <v>760</v>
      </c>
      <c r="K40" t="s">
        <v>761</v>
      </c>
      <c r="L40" t="s">
        <v>754</v>
      </c>
      <c r="M40" t="s">
        <v>1032</v>
      </c>
      <c r="N40" t="s">
        <v>763</v>
      </c>
      <c r="O40" t="s">
        <v>764</v>
      </c>
      <c r="P40" t="s">
        <v>63</v>
      </c>
      <c r="R40" t="s">
        <v>1033</v>
      </c>
      <c r="S40" t="s">
        <v>754</v>
      </c>
      <c r="U40" t="s">
        <v>1034</v>
      </c>
      <c r="V40" t="s">
        <v>767</v>
      </c>
      <c r="W40">
        <v>64</v>
      </c>
      <c r="X40" t="s">
        <v>768</v>
      </c>
      <c r="Y40">
        <v>2</v>
      </c>
      <c r="Z40" t="s">
        <v>1035</v>
      </c>
      <c r="AA40">
        <v>8</v>
      </c>
      <c r="AB40" t="s">
        <v>770</v>
      </c>
      <c r="AC40" t="s">
        <v>768</v>
      </c>
      <c r="AD40" t="s">
        <v>1036</v>
      </c>
      <c r="AE40">
        <v>32</v>
      </c>
      <c r="AF40" t="s">
        <v>770</v>
      </c>
      <c r="AG40" t="s">
        <v>768</v>
      </c>
      <c r="AT40" t="s">
        <v>772</v>
      </c>
      <c r="AU40" t="s">
        <v>1037</v>
      </c>
      <c r="AV40" t="str" cm="1">
        <f t="array" ref="AV40">IF(B40=_xlfn.XLOOKUP(B40,VmSpecs[[#All],[VM Name]],VmSpecs[[#All],[VM Name]],"Failed",0,1),"Pass","Fail")</f>
        <v>Fail</v>
      </c>
      <c r="AW40" t="str" cm="1">
        <f t="array" ref="AW40">IF(D40=_xlfn.XLOOKUP($B40,VmSpecs[[#All],[VM Name]],VmSpecs[[#All],[Virtual Machine Resource Groups]],"Failed",0,1),"Pass","Fail")</f>
        <v>Fail</v>
      </c>
      <c r="AX40" t="str" cm="1">
        <f t="array" ref="AX40">IF(_xlfn.IFS(E40="australiacentral","Australia Central 1",E40="australiaeast","Australia East",E40="australiasoutheast","Australia SouthEast")=_xlfn.XLOOKUP($B40,VmSpecs[[#All],[VM Name]],VmSpecs[[#All],[Region]],"Failed",0,1),"Pass","Fail")</f>
        <v>Fail</v>
      </c>
      <c r="AY40" t="str" cm="1">
        <f t="array" ref="AY40">IF(F40=_xlfn.XLOOKUP($B40,VmSpecs[[#All],[VM Name]],VmSpecs[[#All],[Instance size]],"Failed",0,1),"Pass","Fail")</f>
        <v>Fail</v>
      </c>
      <c r="AZ40" t="str" cm="1">
        <f t="array" ref="AZ40">IF(LOWER(H40)=_xlfn.XLOOKUP($B40,VmSpecs[[#All],[VM Name]],VmSpecs[[#All],[Availability Set Name]],"Failed",0,1),"Pass","Fail")</f>
        <v>Fail</v>
      </c>
      <c r="BA40" t="str" cm="1">
        <f t="array" ref="BA40">IF(J40=_xlfn.XLOOKUP($B40,VmSpecs[[#All],[VM Name]],VmSpecs[[#All],[Virtual Network]],"Failed",0,1),"Pass","Fail")</f>
        <v>Fail</v>
      </c>
      <c r="BB40" t="str" cm="1">
        <f t="array" ref="BB40">IF(K40=_xlfn.XLOOKUP($B40,VmSpecs[[#All],[VM Name]],VmSpecs[[#All],[Subnet]],"Failed",0,1),"Pass","Fail")</f>
        <v>Fail</v>
      </c>
      <c r="BC40" t="str" cm="1">
        <f t="array" ref="BC40">IF(M40=_xlfn.XLOOKUP($B40,VmSpecs[[#All],[VM Name]],VmSpecs[[#All],[IP]],"Failed",0,1),"Pass","Fail")</f>
        <v>Fail</v>
      </c>
      <c r="BD40" t="str" cm="1">
        <f t="array" ref="BD40">IF(N40=_xlfn.XLOOKUP($B40,VmSpecs[[#All],[VM Name]],VmSpecs[[#All],[Network Security Group]],"Failed",0,1),"Pass","Fail")</f>
        <v>Fail</v>
      </c>
      <c r="BE40" t="str" cm="1">
        <f t="array" ref="BE40">IF(O40=_xlfn.XLOOKUP($B40,VmSpecs[[#All],[VM Name]],VmSpecs[[#All],[Route Table Name]],"Failed",0,1),"Pass","Fail")</f>
        <v>Fail</v>
      </c>
      <c r="BF40" t="str" cm="1">
        <f t="array" ref="BF40">IF(P40=_xlfn.XLOOKUP($B40,VmSpecs[[#All],[VM Name]],VmSpecs[[#All],[Operating System]],"Failed",0,1),"Pass","Fail")</f>
        <v>Fail</v>
      </c>
      <c r="BG40" t="str" cm="1">
        <f t="array" ref="BG40">IF(R40=_xlfn.XLOOKUP($B40,VmSpecs[[#All],[VM Name]],VmSpecs[[#All],[NIC name]],"Failed",0,1),"Pass","Fail")</f>
        <v>Fail</v>
      </c>
      <c r="BH40" t="str" cm="1">
        <f t="array" ref="BH40">IF(U40=_xlfn.XLOOKUP($B40,VmSpecs[[#All],[VM Name]],VmSpecs[[#All],[OS Disk Name]],"Failed",0,1),"Pass","Fail")</f>
        <v>Fail</v>
      </c>
      <c r="BI40" t="str" cm="1">
        <f t="array" ref="BI40">IF(W40=_xlfn.XLOOKUP($B40,VmSpecs[[#All],[VM Name]],VmSpecs[[#All],[OS Disk Size]],"Failed",0,1),"Pass","Fail")</f>
        <v>Fail</v>
      </c>
      <c r="BJ40" t="str" cm="1">
        <f t="array" ref="BJ40">IF(LEFT(X40,4)=LEFT(_xlfn.XLOOKUP($B40,VmSpecs[[#All],[VM Name]],VmSpecs[[#All],[OS Disk Type (Standard SSD etc)]],"Failed",0,1),4),"Pass","Fail")</f>
        <v>Fail</v>
      </c>
      <c r="BK40" t="str" cm="1">
        <f t="array" ref="BK40">IF(Z40=_xlfn.XLOOKUP($B40,VmSpecs[[#All],[VM Name]],VmSpecs[[#All],[Data Disk1 Name]],"Failed",0,1),"Pass","Fail")</f>
        <v>Fail</v>
      </c>
      <c r="BL40" t="str" cm="1">
        <f t="array" ref="BL40">IF(AA40=_xlfn.XLOOKUP($B40,VmSpecs[[#All],[VM Name]],VmSpecs[[#All],[Data Disk1 Size]],"Failed",0,1),"Pass","Fail")</f>
        <v>Fail</v>
      </c>
      <c r="BM40" t="str" cm="1">
        <f t="array" ref="BM40">IF(LEFT(AC40,4)=LEFT(_xlfn.XLOOKUP($B40,VmSpecs[[#All],[VM Name]],VmSpecs[[#All],[Data Disk1 Type]],"Failed",0,1),4),"Pass","Fail")</f>
        <v>Fail</v>
      </c>
      <c r="BO40" t="e">
        <f>VLOOKUP('VM Specs'!K40,'As Built'!B:B,1,FALSE)</f>
        <v>#N/A</v>
      </c>
      <c r="BP40" t="str">
        <f>IF(ISNA(Table613[[#This Row],[VM Build Sheet Check]]),'VM Specs'!K40,"")</f>
        <v>vmpfbpf2dcx20</v>
      </c>
    </row>
    <row r="41" spans="1:68" ht="33" customHeight="1" x14ac:dyDescent="0.35">
      <c r="A41" t="str">
        <f>IF(COUNTIF(AsBuilt[[#This Row],[VM Check]:[Data Disk 1 Type Check]],"Fail")&gt;0,"Fail","Pass")</f>
        <v>Fail</v>
      </c>
      <c r="B41" t="s">
        <v>1038</v>
      </c>
      <c r="C41" t="s">
        <v>754</v>
      </c>
      <c r="D41" t="s">
        <v>755</v>
      </c>
      <c r="E41" t="s">
        <v>756</v>
      </c>
      <c r="F41" t="s">
        <v>801</v>
      </c>
      <c r="G41" t="s">
        <v>758</v>
      </c>
      <c r="H41" t="s">
        <v>900</v>
      </c>
      <c r="J41" t="s">
        <v>760</v>
      </c>
      <c r="K41" t="s">
        <v>761</v>
      </c>
      <c r="L41" t="s">
        <v>754</v>
      </c>
      <c r="M41" t="s">
        <v>1039</v>
      </c>
      <c r="N41" t="s">
        <v>763</v>
      </c>
      <c r="O41" t="s">
        <v>764</v>
      </c>
      <c r="P41" t="s">
        <v>63</v>
      </c>
      <c r="R41" t="s">
        <v>1040</v>
      </c>
      <c r="S41" t="s">
        <v>754</v>
      </c>
      <c r="U41" t="s">
        <v>1041</v>
      </c>
      <c r="V41" t="s">
        <v>767</v>
      </c>
      <c r="W41">
        <v>64</v>
      </c>
      <c r="X41" t="s">
        <v>768</v>
      </c>
      <c r="Y41">
        <v>2</v>
      </c>
      <c r="Z41" t="s">
        <v>1042</v>
      </c>
      <c r="AA41">
        <v>8</v>
      </c>
      <c r="AB41" t="s">
        <v>770</v>
      </c>
      <c r="AC41" t="s">
        <v>768</v>
      </c>
      <c r="AD41" t="s">
        <v>1043</v>
      </c>
      <c r="AE41">
        <v>32</v>
      </c>
      <c r="AF41" t="s">
        <v>770</v>
      </c>
      <c r="AG41" t="s">
        <v>768</v>
      </c>
      <c r="AT41" t="s">
        <v>772</v>
      </c>
      <c r="AU41" t="s">
        <v>1044</v>
      </c>
      <c r="AV41" t="str" cm="1">
        <f t="array" ref="AV41">IF(B41=_xlfn.XLOOKUP(B41,VmSpecs[[#All],[VM Name]],VmSpecs[[#All],[VM Name]],"Failed",0,1),"Pass","Fail")</f>
        <v>Fail</v>
      </c>
      <c r="AW41" t="str" cm="1">
        <f t="array" ref="AW41">IF(D41=_xlfn.XLOOKUP($B41,VmSpecs[[#All],[VM Name]],VmSpecs[[#All],[Virtual Machine Resource Groups]],"Failed",0,1),"Pass","Fail")</f>
        <v>Fail</v>
      </c>
      <c r="AX41" t="str" cm="1">
        <f t="array" ref="AX41">IF(_xlfn.IFS(E41="australiacentral","Australia Central 1",E41="australiaeast","Australia East",E41="australiasoutheast","Australia SouthEast")=_xlfn.XLOOKUP($B41,VmSpecs[[#All],[VM Name]],VmSpecs[[#All],[Region]],"Failed",0,1),"Pass","Fail")</f>
        <v>Fail</v>
      </c>
      <c r="AY41" t="str" cm="1">
        <f t="array" ref="AY41">IF(F41=_xlfn.XLOOKUP($B41,VmSpecs[[#All],[VM Name]],VmSpecs[[#All],[Instance size]],"Failed",0,1),"Pass","Fail")</f>
        <v>Fail</v>
      </c>
      <c r="AZ41" t="str" cm="1">
        <f t="array" ref="AZ41">IF(LOWER(H41)=_xlfn.XLOOKUP($B41,VmSpecs[[#All],[VM Name]],VmSpecs[[#All],[Availability Set Name]],"Failed",0,1),"Pass","Fail")</f>
        <v>Fail</v>
      </c>
      <c r="BA41" t="str" cm="1">
        <f t="array" ref="BA41">IF(J41=_xlfn.XLOOKUP($B41,VmSpecs[[#All],[VM Name]],VmSpecs[[#All],[Virtual Network]],"Failed",0,1),"Pass","Fail")</f>
        <v>Fail</v>
      </c>
      <c r="BB41" t="str" cm="1">
        <f t="array" ref="BB41">IF(K41=_xlfn.XLOOKUP($B41,VmSpecs[[#All],[VM Name]],VmSpecs[[#All],[Subnet]],"Failed",0,1),"Pass","Fail")</f>
        <v>Fail</v>
      </c>
      <c r="BC41" t="str" cm="1">
        <f t="array" ref="BC41">IF(M41=_xlfn.XLOOKUP($B41,VmSpecs[[#All],[VM Name]],VmSpecs[[#All],[IP]],"Failed",0,1),"Pass","Fail")</f>
        <v>Fail</v>
      </c>
      <c r="BD41" t="str" cm="1">
        <f t="array" ref="BD41">IF(N41=_xlfn.XLOOKUP($B41,VmSpecs[[#All],[VM Name]],VmSpecs[[#All],[Network Security Group]],"Failed",0,1),"Pass","Fail")</f>
        <v>Fail</v>
      </c>
      <c r="BE41" t="str" cm="1">
        <f t="array" ref="BE41">IF(O41=_xlfn.XLOOKUP($B41,VmSpecs[[#All],[VM Name]],VmSpecs[[#All],[Route Table Name]],"Failed",0,1),"Pass","Fail")</f>
        <v>Fail</v>
      </c>
      <c r="BF41" t="str" cm="1">
        <f t="array" ref="BF41">IF(P41=_xlfn.XLOOKUP($B41,VmSpecs[[#All],[VM Name]],VmSpecs[[#All],[Operating System]],"Failed",0,1),"Pass","Fail")</f>
        <v>Fail</v>
      </c>
      <c r="BG41" t="str" cm="1">
        <f t="array" ref="BG41">IF(R41=_xlfn.XLOOKUP($B41,VmSpecs[[#All],[VM Name]],VmSpecs[[#All],[NIC name]],"Failed",0,1),"Pass","Fail")</f>
        <v>Fail</v>
      </c>
      <c r="BH41" t="str" cm="1">
        <f t="array" ref="BH41">IF(U41=_xlfn.XLOOKUP($B41,VmSpecs[[#All],[VM Name]],VmSpecs[[#All],[OS Disk Name]],"Failed",0,1),"Pass","Fail")</f>
        <v>Fail</v>
      </c>
      <c r="BI41" t="str" cm="1">
        <f t="array" ref="BI41">IF(W41=_xlfn.XLOOKUP($B41,VmSpecs[[#All],[VM Name]],VmSpecs[[#All],[OS Disk Size]],"Failed",0,1),"Pass","Fail")</f>
        <v>Fail</v>
      </c>
      <c r="BJ41" t="str" cm="1">
        <f t="array" ref="BJ41">IF(LEFT(X41,4)=LEFT(_xlfn.XLOOKUP($B41,VmSpecs[[#All],[VM Name]],VmSpecs[[#All],[OS Disk Type (Standard SSD etc)]],"Failed",0,1),4),"Pass","Fail")</f>
        <v>Fail</v>
      </c>
      <c r="BK41" t="str" cm="1">
        <f t="array" ref="BK41">IF(Z41=_xlfn.XLOOKUP($B41,VmSpecs[[#All],[VM Name]],VmSpecs[[#All],[Data Disk1 Name]],"Failed",0,1),"Pass","Fail")</f>
        <v>Fail</v>
      </c>
      <c r="BL41" t="str" cm="1">
        <f t="array" ref="BL41">IF(AA41=_xlfn.XLOOKUP($B41,VmSpecs[[#All],[VM Name]],VmSpecs[[#All],[Data Disk1 Size]],"Failed",0,1),"Pass","Fail")</f>
        <v>Fail</v>
      </c>
      <c r="BM41" t="str" cm="1">
        <f t="array" ref="BM41">IF(LEFT(AC41,4)=LEFT(_xlfn.XLOOKUP($B41,VmSpecs[[#All],[VM Name]],VmSpecs[[#All],[Data Disk1 Type]],"Failed",0,1),4),"Pass","Fail")</f>
        <v>Fail</v>
      </c>
      <c r="BO41" t="e">
        <f>VLOOKUP('VM Specs'!K41,'As Built'!B:B,1,FALSE)</f>
        <v>#N/A</v>
      </c>
      <c r="BP41" t="str">
        <f>IF(ISNA(Table613[[#This Row],[VM Build Sheet Check]]),'VM Specs'!K41,"")</f>
        <v>vmpfbpf2dcx21</v>
      </c>
    </row>
    <row r="42" spans="1:68" ht="33" customHeight="1" x14ac:dyDescent="0.35">
      <c r="A42" t="str">
        <f>IF(COUNTIF(AsBuilt[[#This Row],[VM Check]:[Data Disk 1 Type Check]],"Fail")&gt;0,"Fail","Pass")</f>
        <v>Fail</v>
      </c>
      <c r="B42" t="s">
        <v>1045</v>
      </c>
      <c r="C42" t="s">
        <v>754</v>
      </c>
      <c r="D42" t="s">
        <v>755</v>
      </c>
      <c r="E42" t="s">
        <v>756</v>
      </c>
      <c r="F42" t="s">
        <v>801</v>
      </c>
      <c r="G42" t="s">
        <v>758</v>
      </c>
      <c r="H42" t="s">
        <v>900</v>
      </c>
      <c r="J42" t="s">
        <v>760</v>
      </c>
      <c r="K42" t="s">
        <v>761</v>
      </c>
      <c r="L42" t="s">
        <v>754</v>
      </c>
      <c r="M42" t="s">
        <v>1046</v>
      </c>
      <c r="N42" t="s">
        <v>763</v>
      </c>
      <c r="O42" t="s">
        <v>764</v>
      </c>
      <c r="P42" t="s">
        <v>63</v>
      </c>
      <c r="R42" t="s">
        <v>1047</v>
      </c>
      <c r="S42" t="s">
        <v>754</v>
      </c>
      <c r="U42" t="s">
        <v>1048</v>
      </c>
      <c r="V42" t="s">
        <v>767</v>
      </c>
      <c r="W42">
        <v>64</v>
      </c>
      <c r="X42" t="s">
        <v>768</v>
      </c>
      <c r="Y42">
        <v>2</v>
      </c>
      <c r="Z42" t="s">
        <v>1049</v>
      </c>
      <c r="AA42">
        <v>8</v>
      </c>
      <c r="AB42" t="s">
        <v>770</v>
      </c>
      <c r="AC42" t="s">
        <v>768</v>
      </c>
      <c r="AD42" t="s">
        <v>1050</v>
      </c>
      <c r="AE42">
        <v>32</v>
      </c>
      <c r="AF42" t="s">
        <v>770</v>
      </c>
      <c r="AG42" t="s">
        <v>768</v>
      </c>
      <c r="AT42" t="s">
        <v>772</v>
      </c>
      <c r="AU42" t="s">
        <v>1051</v>
      </c>
      <c r="AV42" t="str" cm="1">
        <f t="array" ref="AV42">IF(B42=_xlfn.XLOOKUP(B42,VmSpecs[[#All],[VM Name]],VmSpecs[[#All],[VM Name]],"Failed",0,1),"Pass","Fail")</f>
        <v>Fail</v>
      </c>
      <c r="AW42" t="str" cm="1">
        <f t="array" ref="AW42">IF(D42=_xlfn.XLOOKUP($B42,VmSpecs[[#All],[VM Name]],VmSpecs[[#All],[Virtual Machine Resource Groups]],"Failed",0,1),"Pass","Fail")</f>
        <v>Fail</v>
      </c>
      <c r="AX42" t="str" cm="1">
        <f t="array" ref="AX42">IF(_xlfn.IFS(E42="australiacentral","Australia Central 1",E42="australiaeast","Australia East",E42="australiasoutheast","Australia SouthEast")=_xlfn.XLOOKUP($B42,VmSpecs[[#All],[VM Name]],VmSpecs[[#All],[Region]],"Failed",0,1),"Pass","Fail")</f>
        <v>Fail</v>
      </c>
      <c r="AY42" t="str" cm="1">
        <f t="array" ref="AY42">IF(F42=_xlfn.XLOOKUP($B42,VmSpecs[[#All],[VM Name]],VmSpecs[[#All],[Instance size]],"Failed",0,1),"Pass","Fail")</f>
        <v>Fail</v>
      </c>
      <c r="AZ42" t="str" cm="1">
        <f t="array" ref="AZ42">IF(LOWER(H42)=_xlfn.XLOOKUP($B42,VmSpecs[[#All],[VM Name]],VmSpecs[[#All],[Availability Set Name]],"Failed",0,1),"Pass","Fail")</f>
        <v>Fail</v>
      </c>
      <c r="BA42" t="str" cm="1">
        <f t="array" ref="BA42">IF(J42=_xlfn.XLOOKUP($B42,VmSpecs[[#All],[VM Name]],VmSpecs[[#All],[Virtual Network]],"Failed",0,1),"Pass","Fail")</f>
        <v>Fail</v>
      </c>
      <c r="BB42" t="str" cm="1">
        <f t="array" ref="BB42">IF(K42=_xlfn.XLOOKUP($B42,VmSpecs[[#All],[VM Name]],VmSpecs[[#All],[Subnet]],"Failed",0,1),"Pass","Fail")</f>
        <v>Fail</v>
      </c>
      <c r="BC42" t="str" cm="1">
        <f t="array" ref="BC42">IF(M42=_xlfn.XLOOKUP($B42,VmSpecs[[#All],[VM Name]],VmSpecs[[#All],[IP]],"Failed",0,1),"Pass","Fail")</f>
        <v>Fail</v>
      </c>
      <c r="BD42" t="str" cm="1">
        <f t="array" ref="BD42">IF(N42=_xlfn.XLOOKUP($B42,VmSpecs[[#All],[VM Name]],VmSpecs[[#All],[Network Security Group]],"Failed",0,1),"Pass","Fail")</f>
        <v>Fail</v>
      </c>
      <c r="BE42" t="str" cm="1">
        <f t="array" ref="BE42">IF(O42=_xlfn.XLOOKUP($B42,VmSpecs[[#All],[VM Name]],VmSpecs[[#All],[Route Table Name]],"Failed",0,1),"Pass","Fail")</f>
        <v>Fail</v>
      </c>
      <c r="BF42" t="str" cm="1">
        <f t="array" ref="BF42">IF(P42=_xlfn.XLOOKUP($B42,VmSpecs[[#All],[VM Name]],VmSpecs[[#All],[Operating System]],"Failed",0,1),"Pass","Fail")</f>
        <v>Fail</v>
      </c>
      <c r="BG42" t="str" cm="1">
        <f t="array" ref="BG42">IF(R42=_xlfn.XLOOKUP($B42,VmSpecs[[#All],[VM Name]],VmSpecs[[#All],[NIC name]],"Failed",0,1),"Pass","Fail")</f>
        <v>Fail</v>
      </c>
      <c r="BH42" t="str" cm="1">
        <f t="array" ref="BH42">IF(U42=_xlfn.XLOOKUP($B42,VmSpecs[[#All],[VM Name]],VmSpecs[[#All],[OS Disk Name]],"Failed",0,1),"Pass","Fail")</f>
        <v>Fail</v>
      </c>
      <c r="BI42" t="str" cm="1">
        <f t="array" ref="BI42">IF(W42=_xlfn.XLOOKUP($B42,VmSpecs[[#All],[VM Name]],VmSpecs[[#All],[OS Disk Size]],"Failed",0,1),"Pass","Fail")</f>
        <v>Fail</v>
      </c>
      <c r="BJ42" t="str" cm="1">
        <f t="array" ref="BJ42">IF(LEFT(X42,4)=LEFT(_xlfn.XLOOKUP($B42,VmSpecs[[#All],[VM Name]],VmSpecs[[#All],[OS Disk Type (Standard SSD etc)]],"Failed",0,1),4),"Pass","Fail")</f>
        <v>Fail</v>
      </c>
      <c r="BK42" t="str" cm="1">
        <f t="array" ref="BK42">IF(Z42=_xlfn.XLOOKUP($B42,VmSpecs[[#All],[VM Name]],VmSpecs[[#All],[Data Disk1 Name]],"Failed",0,1),"Pass","Fail")</f>
        <v>Fail</v>
      </c>
      <c r="BL42" t="str" cm="1">
        <f t="array" ref="BL42">IF(AA42=_xlfn.XLOOKUP($B42,VmSpecs[[#All],[VM Name]],VmSpecs[[#All],[Data Disk1 Size]],"Failed",0,1),"Pass","Fail")</f>
        <v>Fail</v>
      </c>
      <c r="BM42" t="str" cm="1">
        <f t="array" ref="BM42">IF(LEFT(AC42,4)=LEFT(_xlfn.XLOOKUP($B42,VmSpecs[[#All],[VM Name]],VmSpecs[[#All],[Data Disk1 Type]],"Failed",0,1),4),"Pass","Fail")</f>
        <v>Fail</v>
      </c>
      <c r="BO42" t="e">
        <f>VLOOKUP('VM Specs'!K42,'As Built'!B:B,1,FALSE)</f>
        <v>#N/A</v>
      </c>
      <c r="BP42" t="str">
        <f>IF(ISNA(Table613[[#This Row],[VM Build Sheet Check]]),'VM Specs'!K42,"")</f>
        <v>vmpfbpf2dcx22</v>
      </c>
    </row>
    <row r="43" spans="1:68" ht="33" customHeight="1" x14ac:dyDescent="0.35">
      <c r="A43" t="str">
        <f>IF(COUNTIF(AsBuilt[[#This Row],[VM Check]:[Data Disk 1 Type Check]],"Fail")&gt;0,"Fail","Pass")</f>
        <v>Fail</v>
      </c>
      <c r="B43" t="s">
        <v>1052</v>
      </c>
      <c r="C43" t="s">
        <v>754</v>
      </c>
      <c r="D43" t="s">
        <v>755</v>
      </c>
      <c r="E43" t="s">
        <v>756</v>
      </c>
      <c r="F43" t="s">
        <v>801</v>
      </c>
      <c r="G43" t="s">
        <v>758</v>
      </c>
      <c r="H43" t="s">
        <v>900</v>
      </c>
      <c r="J43" t="s">
        <v>760</v>
      </c>
      <c r="K43" t="s">
        <v>761</v>
      </c>
      <c r="L43" t="s">
        <v>754</v>
      </c>
      <c r="M43" t="s">
        <v>1053</v>
      </c>
      <c r="N43" t="s">
        <v>763</v>
      </c>
      <c r="O43" t="s">
        <v>764</v>
      </c>
      <c r="P43" t="s">
        <v>63</v>
      </c>
      <c r="R43" t="s">
        <v>1054</v>
      </c>
      <c r="S43" t="s">
        <v>754</v>
      </c>
      <c r="U43" t="s">
        <v>1055</v>
      </c>
      <c r="V43" t="s">
        <v>767</v>
      </c>
      <c r="W43">
        <v>64</v>
      </c>
      <c r="X43" t="s">
        <v>768</v>
      </c>
      <c r="Y43">
        <v>2</v>
      </c>
      <c r="Z43" t="s">
        <v>1056</v>
      </c>
      <c r="AA43">
        <v>8</v>
      </c>
      <c r="AB43" t="s">
        <v>770</v>
      </c>
      <c r="AC43" t="s">
        <v>768</v>
      </c>
      <c r="AD43" t="s">
        <v>1057</v>
      </c>
      <c r="AE43">
        <v>32</v>
      </c>
      <c r="AF43" t="s">
        <v>770</v>
      </c>
      <c r="AG43" t="s">
        <v>768</v>
      </c>
      <c r="AT43" t="s">
        <v>772</v>
      </c>
      <c r="AU43" t="s">
        <v>1058</v>
      </c>
      <c r="AV43" t="str" cm="1">
        <f t="array" ref="AV43">IF(B43=_xlfn.XLOOKUP(B43,VmSpecs[[#All],[VM Name]],VmSpecs[[#All],[VM Name]],"Failed",0,1),"Pass","Fail")</f>
        <v>Fail</v>
      </c>
      <c r="AW43" t="str" cm="1">
        <f t="array" ref="AW43">IF(D43=_xlfn.XLOOKUP($B43,VmSpecs[[#All],[VM Name]],VmSpecs[[#All],[Virtual Machine Resource Groups]],"Failed",0,1),"Pass","Fail")</f>
        <v>Fail</v>
      </c>
      <c r="AX43" t="str" cm="1">
        <f t="array" ref="AX43">IF(_xlfn.IFS(E43="australiacentral","Australia Central 1",E43="australiaeast","Australia East",E43="australiasoutheast","Australia SouthEast")=_xlfn.XLOOKUP($B43,VmSpecs[[#All],[VM Name]],VmSpecs[[#All],[Region]],"Failed",0,1),"Pass","Fail")</f>
        <v>Fail</v>
      </c>
      <c r="AY43" t="str" cm="1">
        <f t="array" ref="AY43">IF(F43=_xlfn.XLOOKUP($B43,VmSpecs[[#All],[VM Name]],VmSpecs[[#All],[Instance size]],"Failed",0,1),"Pass","Fail")</f>
        <v>Fail</v>
      </c>
      <c r="AZ43" t="str" cm="1">
        <f t="array" ref="AZ43">IF(LOWER(H43)=_xlfn.XLOOKUP($B43,VmSpecs[[#All],[VM Name]],VmSpecs[[#All],[Availability Set Name]],"Failed",0,1),"Pass","Fail")</f>
        <v>Fail</v>
      </c>
      <c r="BA43" t="str" cm="1">
        <f t="array" ref="BA43">IF(J43=_xlfn.XLOOKUP($B43,VmSpecs[[#All],[VM Name]],VmSpecs[[#All],[Virtual Network]],"Failed",0,1),"Pass","Fail")</f>
        <v>Fail</v>
      </c>
      <c r="BB43" t="str" cm="1">
        <f t="array" ref="BB43">IF(K43=_xlfn.XLOOKUP($B43,VmSpecs[[#All],[VM Name]],VmSpecs[[#All],[Subnet]],"Failed",0,1),"Pass","Fail")</f>
        <v>Fail</v>
      </c>
      <c r="BC43" t="str" cm="1">
        <f t="array" ref="BC43">IF(M43=_xlfn.XLOOKUP($B43,VmSpecs[[#All],[VM Name]],VmSpecs[[#All],[IP]],"Failed",0,1),"Pass","Fail")</f>
        <v>Fail</v>
      </c>
      <c r="BD43" t="str" cm="1">
        <f t="array" ref="BD43">IF(N43=_xlfn.XLOOKUP($B43,VmSpecs[[#All],[VM Name]],VmSpecs[[#All],[Network Security Group]],"Failed",0,1),"Pass","Fail")</f>
        <v>Fail</v>
      </c>
      <c r="BE43" t="str" cm="1">
        <f t="array" ref="BE43">IF(O43=_xlfn.XLOOKUP($B43,VmSpecs[[#All],[VM Name]],VmSpecs[[#All],[Route Table Name]],"Failed",0,1),"Pass","Fail")</f>
        <v>Fail</v>
      </c>
      <c r="BF43" t="str" cm="1">
        <f t="array" ref="BF43">IF(P43=_xlfn.XLOOKUP($B43,VmSpecs[[#All],[VM Name]],VmSpecs[[#All],[Operating System]],"Failed",0,1),"Pass","Fail")</f>
        <v>Fail</v>
      </c>
      <c r="BG43" t="str" cm="1">
        <f t="array" ref="BG43">IF(R43=_xlfn.XLOOKUP($B43,VmSpecs[[#All],[VM Name]],VmSpecs[[#All],[NIC name]],"Failed",0,1),"Pass","Fail")</f>
        <v>Fail</v>
      </c>
      <c r="BH43" t="str" cm="1">
        <f t="array" ref="BH43">IF(U43=_xlfn.XLOOKUP($B43,VmSpecs[[#All],[VM Name]],VmSpecs[[#All],[OS Disk Name]],"Failed",0,1),"Pass","Fail")</f>
        <v>Fail</v>
      </c>
      <c r="BI43" t="str" cm="1">
        <f t="array" ref="BI43">IF(W43=_xlfn.XLOOKUP($B43,VmSpecs[[#All],[VM Name]],VmSpecs[[#All],[OS Disk Size]],"Failed",0,1),"Pass","Fail")</f>
        <v>Fail</v>
      </c>
      <c r="BJ43" t="str" cm="1">
        <f t="array" ref="BJ43">IF(LEFT(X43,4)=LEFT(_xlfn.XLOOKUP($B43,VmSpecs[[#All],[VM Name]],VmSpecs[[#All],[OS Disk Type (Standard SSD etc)]],"Failed",0,1),4),"Pass","Fail")</f>
        <v>Fail</v>
      </c>
      <c r="BK43" t="str" cm="1">
        <f t="array" ref="BK43">IF(Z43=_xlfn.XLOOKUP($B43,VmSpecs[[#All],[VM Name]],VmSpecs[[#All],[Data Disk1 Name]],"Failed",0,1),"Pass","Fail")</f>
        <v>Fail</v>
      </c>
      <c r="BL43" t="str" cm="1">
        <f t="array" ref="BL43">IF(AA43=_xlfn.XLOOKUP($B43,VmSpecs[[#All],[VM Name]],VmSpecs[[#All],[Data Disk1 Size]],"Failed",0,1),"Pass","Fail")</f>
        <v>Fail</v>
      </c>
      <c r="BM43" t="str" cm="1">
        <f t="array" ref="BM43">IF(LEFT(AC43,4)=LEFT(_xlfn.XLOOKUP($B43,VmSpecs[[#All],[VM Name]],VmSpecs[[#All],[Data Disk1 Type]],"Failed",0,1),4),"Pass","Fail")</f>
        <v>Fail</v>
      </c>
      <c r="BO43" t="e">
        <f>VLOOKUP('VM Specs'!K43,'As Built'!B:B,1,FALSE)</f>
        <v>#N/A</v>
      </c>
      <c r="BP43" t="str">
        <f>IF(ISNA(Table613[[#This Row],[VM Build Sheet Check]]),'VM Specs'!K43,"")</f>
        <v>vmpfbpf2dcx23</v>
      </c>
    </row>
    <row r="44" spans="1:68" ht="33" customHeight="1" x14ac:dyDescent="0.35">
      <c r="A44" t="str">
        <f>IF(COUNTIF(AsBuilt[[#This Row],[VM Check]:[Data Disk 1 Type Check]],"Fail")&gt;0,"Fail","Pass")</f>
        <v>Fail</v>
      </c>
      <c r="B44" t="s">
        <v>1059</v>
      </c>
      <c r="C44" t="s">
        <v>754</v>
      </c>
      <c r="D44" t="s">
        <v>755</v>
      </c>
      <c r="E44" t="s">
        <v>756</v>
      </c>
      <c r="F44" t="s">
        <v>801</v>
      </c>
      <c r="G44" t="s">
        <v>758</v>
      </c>
      <c r="H44" t="s">
        <v>900</v>
      </c>
      <c r="J44" t="s">
        <v>760</v>
      </c>
      <c r="K44" t="s">
        <v>761</v>
      </c>
      <c r="L44" t="s">
        <v>754</v>
      </c>
      <c r="M44" t="s">
        <v>1060</v>
      </c>
      <c r="N44" t="s">
        <v>763</v>
      </c>
      <c r="O44" t="s">
        <v>764</v>
      </c>
      <c r="P44" t="s">
        <v>63</v>
      </c>
      <c r="R44" t="s">
        <v>1061</v>
      </c>
      <c r="S44" t="s">
        <v>754</v>
      </c>
      <c r="U44" t="s">
        <v>1062</v>
      </c>
      <c r="V44" t="s">
        <v>767</v>
      </c>
      <c r="W44">
        <v>64</v>
      </c>
      <c r="X44" t="s">
        <v>768</v>
      </c>
      <c r="Y44">
        <v>2</v>
      </c>
      <c r="Z44" t="s">
        <v>1063</v>
      </c>
      <c r="AA44">
        <v>8</v>
      </c>
      <c r="AB44" t="s">
        <v>770</v>
      </c>
      <c r="AC44" t="s">
        <v>768</v>
      </c>
      <c r="AD44" t="s">
        <v>1064</v>
      </c>
      <c r="AE44">
        <v>32</v>
      </c>
      <c r="AF44" t="s">
        <v>770</v>
      </c>
      <c r="AG44" t="s">
        <v>768</v>
      </c>
      <c r="AT44" t="s">
        <v>772</v>
      </c>
      <c r="AU44" t="s">
        <v>1065</v>
      </c>
      <c r="AV44" t="str" cm="1">
        <f t="array" ref="AV44">IF(B44=_xlfn.XLOOKUP(B44,VmSpecs[[#All],[VM Name]],VmSpecs[[#All],[VM Name]],"Failed",0,1),"Pass","Fail")</f>
        <v>Fail</v>
      </c>
      <c r="AW44" t="str" cm="1">
        <f t="array" ref="AW44">IF(D44=_xlfn.XLOOKUP($B44,VmSpecs[[#All],[VM Name]],VmSpecs[[#All],[Virtual Machine Resource Groups]],"Failed",0,1),"Pass","Fail")</f>
        <v>Fail</v>
      </c>
      <c r="AX44" t="str" cm="1">
        <f t="array" ref="AX44">IF(_xlfn.IFS(E44="australiacentral","Australia Central 1",E44="australiaeast","Australia East",E44="australiasoutheast","Australia SouthEast")=_xlfn.XLOOKUP($B44,VmSpecs[[#All],[VM Name]],VmSpecs[[#All],[Region]],"Failed",0,1),"Pass","Fail")</f>
        <v>Fail</v>
      </c>
      <c r="AY44" t="str" cm="1">
        <f t="array" ref="AY44">IF(F44=_xlfn.XLOOKUP($B44,VmSpecs[[#All],[VM Name]],VmSpecs[[#All],[Instance size]],"Failed",0,1),"Pass","Fail")</f>
        <v>Fail</v>
      </c>
      <c r="AZ44" t="str" cm="1">
        <f t="array" ref="AZ44">IF(LOWER(H44)=_xlfn.XLOOKUP($B44,VmSpecs[[#All],[VM Name]],VmSpecs[[#All],[Availability Set Name]],"Failed",0,1),"Pass","Fail")</f>
        <v>Fail</v>
      </c>
      <c r="BA44" t="str" cm="1">
        <f t="array" ref="BA44">IF(J44=_xlfn.XLOOKUP($B44,VmSpecs[[#All],[VM Name]],VmSpecs[[#All],[Virtual Network]],"Failed",0,1),"Pass","Fail")</f>
        <v>Fail</v>
      </c>
      <c r="BB44" t="str" cm="1">
        <f t="array" ref="BB44">IF(K44=_xlfn.XLOOKUP($B44,VmSpecs[[#All],[VM Name]],VmSpecs[[#All],[Subnet]],"Failed",0,1),"Pass","Fail")</f>
        <v>Fail</v>
      </c>
      <c r="BC44" t="str" cm="1">
        <f t="array" ref="BC44">IF(M44=_xlfn.XLOOKUP($B44,VmSpecs[[#All],[VM Name]],VmSpecs[[#All],[IP]],"Failed",0,1),"Pass","Fail")</f>
        <v>Fail</v>
      </c>
      <c r="BD44" t="str" cm="1">
        <f t="array" ref="BD44">IF(N44=_xlfn.XLOOKUP($B44,VmSpecs[[#All],[VM Name]],VmSpecs[[#All],[Network Security Group]],"Failed",0,1),"Pass","Fail")</f>
        <v>Fail</v>
      </c>
      <c r="BE44" t="str" cm="1">
        <f t="array" ref="BE44">IF(O44=_xlfn.XLOOKUP($B44,VmSpecs[[#All],[VM Name]],VmSpecs[[#All],[Route Table Name]],"Failed",0,1),"Pass","Fail")</f>
        <v>Fail</v>
      </c>
      <c r="BF44" t="str" cm="1">
        <f t="array" ref="BF44">IF(P44=_xlfn.XLOOKUP($B44,VmSpecs[[#All],[VM Name]],VmSpecs[[#All],[Operating System]],"Failed",0,1),"Pass","Fail")</f>
        <v>Fail</v>
      </c>
      <c r="BG44" t="str" cm="1">
        <f t="array" ref="BG44">IF(R44=_xlfn.XLOOKUP($B44,VmSpecs[[#All],[VM Name]],VmSpecs[[#All],[NIC name]],"Failed",0,1),"Pass","Fail")</f>
        <v>Fail</v>
      </c>
      <c r="BH44" t="str" cm="1">
        <f t="array" ref="BH44">IF(U44=_xlfn.XLOOKUP($B44,VmSpecs[[#All],[VM Name]],VmSpecs[[#All],[OS Disk Name]],"Failed",0,1),"Pass","Fail")</f>
        <v>Fail</v>
      </c>
      <c r="BI44" t="str" cm="1">
        <f t="array" ref="BI44">IF(W44=_xlfn.XLOOKUP($B44,VmSpecs[[#All],[VM Name]],VmSpecs[[#All],[OS Disk Size]],"Failed",0,1),"Pass","Fail")</f>
        <v>Fail</v>
      </c>
      <c r="BJ44" t="str" cm="1">
        <f t="array" ref="BJ44">IF(LEFT(X44,4)=LEFT(_xlfn.XLOOKUP($B44,VmSpecs[[#All],[VM Name]],VmSpecs[[#All],[OS Disk Type (Standard SSD etc)]],"Failed",0,1),4),"Pass","Fail")</f>
        <v>Fail</v>
      </c>
      <c r="BK44" t="str" cm="1">
        <f t="array" ref="BK44">IF(Z44=_xlfn.XLOOKUP($B44,VmSpecs[[#All],[VM Name]],VmSpecs[[#All],[Data Disk1 Name]],"Failed",0,1),"Pass","Fail")</f>
        <v>Fail</v>
      </c>
      <c r="BL44" t="str" cm="1">
        <f t="array" ref="BL44">IF(AA44=_xlfn.XLOOKUP($B44,VmSpecs[[#All],[VM Name]],VmSpecs[[#All],[Data Disk1 Size]],"Failed",0,1),"Pass","Fail")</f>
        <v>Fail</v>
      </c>
      <c r="BM44" t="str" cm="1">
        <f t="array" ref="BM44">IF(LEFT(AC44,4)=LEFT(_xlfn.XLOOKUP($B44,VmSpecs[[#All],[VM Name]],VmSpecs[[#All],[Data Disk1 Type]],"Failed",0,1),4),"Pass","Fail")</f>
        <v>Fail</v>
      </c>
      <c r="BO44" t="e">
        <f>VLOOKUP('VM Specs'!K44,'As Built'!B:B,1,FALSE)</f>
        <v>#N/A</v>
      </c>
      <c r="BP44" t="str">
        <f>IF(ISNA(Table613[[#This Row],[VM Build Sheet Check]]),'VM Specs'!K44,"")</f>
        <v>vmpfbpf2dcx24</v>
      </c>
    </row>
    <row r="45" spans="1:68" ht="33" customHeight="1" x14ac:dyDescent="0.35">
      <c r="A45" t="str">
        <f>IF(COUNTIF(AsBuilt[[#This Row],[VM Check]:[Data Disk 1 Type Check]],"Fail")&gt;0,"Fail","Pass")</f>
        <v>Fail</v>
      </c>
      <c r="B45" t="s">
        <v>1066</v>
      </c>
      <c r="C45" t="s">
        <v>754</v>
      </c>
      <c r="D45" t="s">
        <v>755</v>
      </c>
      <c r="E45" t="s">
        <v>756</v>
      </c>
      <c r="F45" t="s">
        <v>1067</v>
      </c>
      <c r="G45" t="s">
        <v>758</v>
      </c>
      <c r="H45" t="s">
        <v>1068</v>
      </c>
      <c r="J45" t="s">
        <v>760</v>
      </c>
      <c r="K45" t="s">
        <v>761</v>
      </c>
      <c r="L45" t="s">
        <v>754</v>
      </c>
      <c r="M45" t="s">
        <v>1069</v>
      </c>
      <c r="N45" t="s">
        <v>763</v>
      </c>
      <c r="O45" t="s">
        <v>764</v>
      </c>
      <c r="P45" t="s">
        <v>63</v>
      </c>
      <c r="R45" t="s">
        <v>1070</v>
      </c>
      <c r="S45" t="s">
        <v>754</v>
      </c>
      <c r="U45" t="s">
        <v>1071</v>
      </c>
      <c r="V45" t="s">
        <v>767</v>
      </c>
      <c r="W45">
        <v>64</v>
      </c>
      <c r="X45" t="s">
        <v>768</v>
      </c>
      <c r="Y45">
        <v>2</v>
      </c>
      <c r="Z45" t="s">
        <v>1072</v>
      </c>
      <c r="AA45">
        <v>8</v>
      </c>
      <c r="AB45" t="s">
        <v>770</v>
      </c>
      <c r="AC45" t="s">
        <v>768</v>
      </c>
      <c r="AD45" t="s">
        <v>1073</v>
      </c>
      <c r="AE45">
        <v>32</v>
      </c>
      <c r="AF45" t="s">
        <v>770</v>
      </c>
      <c r="AG45" t="s">
        <v>768</v>
      </c>
      <c r="AT45" t="s">
        <v>772</v>
      </c>
      <c r="AU45" t="s">
        <v>1074</v>
      </c>
      <c r="AV45" t="str" cm="1">
        <f t="array" ref="AV45">IF(B45=_xlfn.XLOOKUP(B45,VmSpecs[[#All],[VM Name]],VmSpecs[[#All],[VM Name]],"Failed",0,1),"Pass","Fail")</f>
        <v>Fail</v>
      </c>
      <c r="AW45" t="str" cm="1">
        <f t="array" ref="AW45">IF(D45=_xlfn.XLOOKUP($B45,VmSpecs[[#All],[VM Name]],VmSpecs[[#All],[Virtual Machine Resource Groups]],"Failed",0,1),"Pass","Fail")</f>
        <v>Fail</v>
      </c>
      <c r="AX45" t="str" cm="1">
        <f t="array" ref="AX45">IF(_xlfn.IFS(E45="australiacentral","Australia Central 1",E45="australiaeast","Australia East",E45="australiasoutheast","Australia SouthEast")=_xlfn.XLOOKUP($B45,VmSpecs[[#All],[VM Name]],VmSpecs[[#All],[Region]],"Failed",0,1),"Pass","Fail")</f>
        <v>Fail</v>
      </c>
      <c r="AY45" t="str" cm="1">
        <f t="array" ref="AY45">IF(F45=_xlfn.XLOOKUP($B45,VmSpecs[[#All],[VM Name]],VmSpecs[[#All],[Instance size]],"Failed",0,1),"Pass","Fail")</f>
        <v>Fail</v>
      </c>
      <c r="AZ45" t="str" cm="1">
        <f t="array" ref="AZ45">IF(LOWER(H45)=_xlfn.XLOOKUP($B45,VmSpecs[[#All],[VM Name]],VmSpecs[[#All],[Availability Set Name]],"Failed",0,1),"Pass","Fail")</f>
        <v>Fail</v>
      </c>
      <c r="BA45" t="str" cm="1">
        <f t="array" ref="BA45">IF(J45=_xlfn.XLOOKUP($B45,VmSpecs[[#All],[VM Name]],VmSpecs[[#All],[Virtual Network]],"Failed",0,1),"Pass","Fail")</f>
        <v>Fail</v>
      </c>
      <c r="BB45" t="str" cm="1">
        <f t="array" ref="BB45">IF(K45=_xlfn.XLOOKUP($B45,VmSpecs[[#All],[VM Name]],VmSpecs[[#All],[Subnet]],"Failed",0,1),"Pass","Fail")</f>
        <v>Fail</v>
      </c>
      <c r="BC45" t="str" cm="1">
        <f t="array" ref="BC45">IF(M45=_xlfn.XLOOKUP($B45,VmSpecs[[#All],[VM Name]],VmSpecs[[#All],[IP]],"Failed",0,1),"Pass","Fail")</f>
        <v>Fail</v>
      </c>
      <c r="BD45" t="str" cm="1">
        <f t="array" ref="BD45">IF(N45=_xlfn.XLOOKUP($B45,VmSpecs[[#All],[VM Name]],VmSpecs[[#All],[Network Security Group]],"Failed",0,1),"Pass","Fail")</f>
        <v>Fail</v>
      </c>
      <c r="BE45" t="str" cm="1">
        <f t="array" ref="BE45">IF(O45=_xlfn.XLOOKUP($B45,VmSpecs[[#All],[VM Name]],VmSpecs[[#All],[Route Table Name]],"Failed",0,1),"Pass","Fail")</f>
        <v>Fail</v>
      </c>
      <c r="BF45" t="str" cm="1">
        <f t="array" ref="BF45">IF(P45=_xlfn.XLOOKUP($B45,VmSpecs[[#All],[VM Name]],VmSpecs[[#All],[Operating System]],"Failed",0,1),"Pass","Fail")</f>
        <v>Fail</v>
      </c>
      <c r="BG45" t="str" cm="1">
        <f t="array" ref="BG45">IF(R45=_xlfn.XLOOKUP($B45,VmSpecs[[#All],[VM Name]],VmSpecs[[#All],[NIC name]],"Failed",0,1),"Pass","Fail")</f>
        <v>Fail</v>
      </c>
      <c r="BH45" t="str" cm="1">
        <f t="array" ref="BH45">IF(U45=_xlfn.XLOOKUP($B45,VmSpecs[[#All],[VM Name]],VmSpecs[[#All],[OS Disk Name]],"Failed",0,1),"Pass","Fail")</f>
        <v>Fail</v>
      </c>
      <c r="BI45" t="str" cm="1">
        <f t="array" ref="BI45">IF(W45=_xlfn.XLOOKUP($B45,VmSpecs[[#All],[VM Name]],VmSpecs[[#All],[OS Disk Size]],"Failed",0,1),"Pass","Fail")</f>
        <v>Fail</v>
      </c>
      <c r="BJ45" t="str" cm="1">
        <f t="array" ref="BJ45">IF(LEFT(X45,4)=LEFT(_xlfn.XLOOKUP($B45,VmSpecs[[#All],[VM Name]],VmSpecs[[#All],[OS Disk Type (Standard SSD etc)]],"Failed",0,1),4),"Pass","Fail")</f>
        <v>Fail</v>
      </c>
      <c r="BK45" t="str" cm="1">
        <f t="array" ref="BK45">IF(Z45=_xlfn.XLOOKUP($B45,VmSpecs[[#All],[VM Name]],VmSpecs[[#All],[Data Disk1 Name]],"Failed",0,1),"Pass","Fail")</f>
        <v>Fail</v>
      </c>
      <c r="BL45" t="str" cm="1">
        <f t="array" ref="BL45">IF(AA45=_xlfn.XLOOKUP($B45,VmSpecs[[#All],[VM Name]],VmSpecs[[#All],[Data Disk1 Size]],"Failed",0,1),"Pass","Fail")</f>
        <v>Fail</v>
      </c>
      <c r="BM45" t="str" cm="1">
        <f t="array" ref="BM45">IF(LEFT(AC45,4)=LEFT(_xlfn.XLOOKUP($B45,VmSpecs[[#All],[VM Name]],VmSpecs[[#All],[Data Disk1 Type]],"Failed",0,1),4),"Pass","Fail")</f>
        <v>Fail</v>
      </c>
      <c r="BO45" t="e">
        <f>VLOOKUP('VM Specs'!K45,'As Built'!B:B,1,FALSE)</f>
        <v>#N/A</v>
      </c>
      <c r="BP45" t="str">
        <f>IF(ISNA(Table613[[#This Row],[VM Build Sheet Check]]),'VM Specs'!K45,"")</f>
        <v>vmpfbpf2dsm01</v>
      </c>
    </row>
    <row r="46" spans="1:68" ht="33" customHeight="1" x14ac:dyDescent="0.35">
      <c r="A46" t="str">
        <f>IF(COUNTIF(AsBuilt[[#This Row],[VM Check]:[Data Disk 1 Type Check]],"Fail")&gt;0,"Fail","Pass")</f>
        <v>Fail</v>
      </c>
      <c r="B46" t="s">
        <v>1075</v>
      </c>
      <c r="C46" t="s">
        <v>754</v>
      </c>
      <c r="D46" t="s">
        <v>755</v>
      </c>
      <c r="E46" t="s">
        <v>756</v>
      </c>
      <c r="F46" t="s">
        <v>801</v>
      </c>
      <c r="G46" t="s">
        <v>758</v>
      </c>
      <c r="H46" t="s">
        <v>1076</v>
      </c>
      <c r="J46" t="s">
        <v>760</v>
      </c>
      <c r="K46" t="s">
        <v>761</v>
      </c>
      <c r="L46" t="s">
        <v>754</v>
      </c>
      <c r="M46" t="s">
        <v>1077</v>
      </c>
      <c r="N46" t="s">
        <v>763</v>
      </c>
      <c r="O46" t="s">
        <v>764</v>
      </c>
      <c r="P46" t="s">
        <v>63</v>
      </c>
      <c r="R46" t="s">
        <v>1078</v>
      </c>
      <c r="S46" t="s">
        <v>754</v>
      </c>
      <c r="U46" t="s">
        <v>1079</v>
      </c>
      <c r="V46" t="s">
        <v>767</v>
      </c>
      <c r="W46">
        <v>64</v>
      </c>
      <c r="X46" t="s">
        <v>768</v>
      </c>
      <c r="Y46">
        <v>2</v>
      </c>
      <c r="Z46" t="s">
        <v>1080</v>
      </c>
      <c r="AA46">
        <v>8</v>
      </c>
      <c r="AB46" t="s">
        <v>770</v>
      </c>
      <c r="AC46" t="s">
        <v>768</v>
      </c>
      <c r="AD46" t="s">
        <v>1081</v>
      </c>
      <c r="AE46">
        <v>32</v>
      </c>
      <c r="AF46" t="s">
        <v>770</v>
      </c>
      <c r="AG46" t="s">
        <v>768</v>
      </c>
      <c r="AT46" t="s">
        <v>772</v>
      </c>
      <c r="AU46" t="s">
        <v>1082</v>
      </c>
      <c r="AV46" t="str" cm="1">
        <f t="array" ref="AV46">IF(B46=_xlfn.XLOOKUP(B46,VmSpecs[[#All],[VM Name]],VmSpecs[[#All],[VM Name]],"Failed",0,1),"Pass","Fail")</f>
        <v>Fail</v>
      </c>
      <c r="AW46" t="str" cm="1">
        <f t="array" ref="AW46">IF(D46=_xlfn.XLOOKUP($B46,VmSpecs[[#All],[VM Name]],VmSpecs[[#All],[Virtual Machine Resource Groups]],"Failed",0,1),"Pass","Fail")</f>
        <v>Fail</v>
      </c>
      <c r="AX46" t="str" cm="1">
        <f t="array" ref="AX46">IF(_xlfn.IFS(E46="australiacentral","Australia Central 1",E46="australiaeast","Australia East",E46="australiasoutheast","Australia SouthEast")=_xlfn.XLOOKUP($B46,VmSpecs[[#All],[VM Name]],VmSpecs[[#All],[Region]],"Failed",0,1),"Pass","Fail")</f>
        <v>Fail</v>
      </c>
      <c r="AY46" t="str" cm="1">
        <f t="array" ref="AY46">IF(F46=_xlfn.XLOOKUP($B46,VmSpecs[[#All],[VM Name]],VmSpecs[[#All],[Instance size]],"Failed",0,1),"Pass","Fail")</f>
        <v>Fail</v>
      </c>
      <c r="AZ46" t="str" cm="1">
        <f t="array" ref="AZ46">IF(LOWER(H46)=_xlfn.XLOOKUP($B46,VmSpecs[[#All],[VM Name]],VmSpecs[[#All],[Availability Set Name]],"Failed",0,1),"Pass","Fail")</f>
        <v>Fail</v>
      </c>
      <c r="BA46" t="str" cm="1">
        <f t="array" ref="BA46">IF(J46=_xlfn.XLOOKUP($B46,VmSpecs[[#All],[VM Name]],VmSpecs[[#All],[Virtual Network]],"Failed",0,1),"Pass","Fail")</f>
        <v>Fail</v>
      </c>
      <c r="BB46" t="str" cm="1">
        <f t="array" ref="BB46">IF(K46=_xlfn.XLOOKUP($B46,VmSpecs[[#All],[VM Name]],VmSpecs[[#All],[Subnet]],"Failed",0,1),"Pass","Fail")</f>
        <v>Fail</v>
      </c>
      <c r="BC46" t="str" cm="1">
        <f t="array" ref="BC46">IF(M46=_xlfn.XLOOKUP($B46,VmSpecs[[#All],[VM Name]],VmSpecs[[#All],[IP]],"Failed",0,1),"Pass","Fail")</f>
        <v>Fail</v>
      </c>
      <c r="BD46" t="str" cm="1">
        <f t="array" ref="BD46">IF(N46=_xlfn.XLOOKUP($B46,VmSpecs[[#All],[VM Name]],VmSpecs[[#All],[Network Security Group]],"Failed",0,1),"Pass","Fail")</f>
        <v>Fail</v>
      </c>
      <c r="BE46" t="str" cm="1">
        <f t="array" ref="BE46">IF(O46=_xlfn.XLOOKUP($B46,VmSpecs[[#All],[VM Name]],VmSpecs[[#All],[Route Table Name]],"Failed",0,1),"Pass","Fail")</f>
        <v>Fail</v>
      </c>
      <c r="BF46" t="str" cm="1">
        <f t="array" ref="BF46">IF(P46=_xlfn.XLOOKUP($B46,VmSpecs[[#All],[VM Name]],VmSpecs[[#All],[Operating System]],"Failed",0,1),"Pass","Fail")</f>
        <v>Fail</v>
      </c>
      <c r="BG46" t="str" cm="1">
        <f t="array" ref="BG46">IF(R46=_xlfn.XLOOKUP($B46,VmSpecs[[#All],[VM Name]],VmSpecs[[#All],[NIC name]],"Failed",0,1),"Pass","Fail")</f>
        <v>Fail</v>
      </c>
      <c r="BH46" t="str" cm="1">
        <f t="array" ref="BH46">IF(U46=_xlfn.XLOOKUP($B46,VmSpecs[[#All],[VM Name]],VmSpecs[[#All],[OS Disk Name]],"Failed",0,1),"Pass","Fail")</f>
        <v>Fail</v>
      </c>
      <c r="BI46" t="str" cm="1">
        <f t="array" ref="BI46">IF(W46=_xlfn.XLOOKUP($B46,VmSpecs[[#All],[VM Name]],VmSpecs[[#All],[OS Disk Size]],"Failed",0,1),"Pass","Fail")</f>
        <v>Fail</v>
      </c>
      <c r="BJ46" t="str" cm="1">
        <f t="array" ref="BJ46">IF(LEFT(X46,4)=LEFT(_xlfn.XLOOKUP($B46,VmSpecs[[#All],[VM Name]],VmSpecs[[#All],[OS Disk Type (Standard SSD etc)]],"Failed",0,1),4),"Pass","Fail")</f>
        <v>Fail</v>
      </c>
      <c r="BK46" t="str" cm="1">
        <f t="array" ref="BK46">IF(Z46=_xlfn.XLOOKUP($B46,VmSpecs[[#All],[VM Name]],VmSpecs[[#All],[Data Disk1 Name]],"Failed",0,1),"Pass","Fail")</f>
        <v>Fail</v>
      </c>
      <c r="BL46" t="str" cm="1">
        <f t="array" ref="BL46">IF(AA46=_xlfn.XLOOKUP($B46,VmSpecs[[#All],[VM Name]],VmSpecs[[#All],[Data Disk1 Size]],"Failed",0,1),"Pass","Fail")</f>
        <v>Fail</v>
      </c>
      <c r="BM46" t="str" cm="1">
        <f t="array" ref="BM46">IF(LEFT(AC46,4)=LEFT(_xlfn.XLOOKUP($B46,VmSpecs[[#All],[VM Name]],VmSpecs[[#All],[Data Disk1 Type]],"Failed",0,1),4),"Pass","Fail")</f>
        <v>Fail</v>
      </c>
      <c r="BO46" t="e">
        <f>VLOOKUP('VM Specs'!K46,'As Built'!B:B,1,FALSE)</f>
        <v>#N/A</v>
      </c>
      <c r="BP46" t="str">
        <f>IF(ISNA(Table613[[#This Row],[VM Build Sheet Check]]),'VM Specs'!K46,"")</f>
        <v>vmpfbpf2hdr01</v>
      </c>
    </row>
    <row r="47" spans="1:68" ht="33" customHeight="1" x14ac:dyDescent="0.35">
      <c r="A47" t="str">
        <f>IF(COUNTIF(AsBuilt[[#This Row],[VM Check]:[Data Disk 1 Type Check]],"Fail")&gt;0,"Fail","Pass")</f>
        <v>Fail</v>
      </c>
      <c r="B47" t="s">
        <v>1083</v>
      </c>
      <c r="C47" t="s">
        <v>754</v>
      </c>
      <c r="D47" t="s">
        <v>755</v>
      </c>
      <c r="E47" t="s">
        <v>756</v>
      </c>
      <c r="F47" t="s">
        <v>801</v>
      </c>
      <c r="G47" t="s">
        <v>758</v>
      </c>
      <c r="H47" t="s">
        <v>1076</v>
      </c>
      <c r="J47" t="s">
        <v>760</v>
      </c>
      <c r="K47" t="s">
        <v>761</v>
      </c>
      <c r="L47" t="s">
        <v>754</v>
      </c>
      <c r="M47" t="s">
        <v>1084</v>
      </c>
      <c r="N47" t="s">
        <v>763</v>
      </c>
      <c r="O47" t="s">
        <v>764</v>
      </c>
      <c r="P47" t="s">
        <v>63</v>
      </c>
      <c r="R47" t="s">
        <v>1085</v>
      </c>
      <c r="S47" t="s">
        <v>754</v>
      </c>
      <c r="U47" t="s">
        <v>1086</v>
      </c>
      <c r="V47" t="s">
        <v>767</v>
      </c>
      <c r="W47">
        <v>64</v>
      </c>
      <c r="X47" t="s">
        <v>768</v>
      </c>
      <c r="Y47">
        <v>2</v>
      </c>
      <c r="Z47" t="s">
        <v>1087</v>
      </c>
      <c r="AA47">
        <v>8</v>
      </c>
      <c r="AB47" t="s">
        <v>770</v>
      </c>
      <c r="AC47" t="s">
        <v>768</v>
      </c>
      <c r="AD47" t="s">
        <v>1088</v>
      </c>
      <c r="AE47">
        <v>32</v>
      </c>
      <c r="AF47" t="s">
        <v>770</v>
      </c>
      <c r="AG47" t="s">
        <v>768</v>
      </c>
      <c r="AT47" t="s">
        <v>772</v>
      </c>
      <c r="AU47" t="s">
        <v>1089</v>
      </c>
      <c r="AV47" t="str" cm="1">
        <f t="array" ref="AV47">IF(B47=_xlfn.XLOOKUP(B47,VmSpecs[[#All],[VM Name]],VmSpecs[[#All],[VM Name]],"Failed",0,1),"Pass","Fail")</f>
        <v>Fail</v>
      </c>
      <c r="AW47" t="str" cm="1">
        <f t="array" ref="AW47">IF(D47=_xlfn.XLOOKUP($B47,VmSpecs[[#All],[VM Name]],VmSpecs[[#All],[Virtual Machine Resource Groups]],"Failed",0,1),"Pass","Fail")</f>
        <v>Fail</v>
      </c>
      <c r="AX47" t="str" cm="1">
        <f t="array" ref="AX47">IF(_xlfn.IFS(E47="australiacentral","Australia Central 1",E47="australiaeast","Australia East",E47="australiasoutheast","Australia SouthEast")=_xlfn.XLOOKUP($B47,VmSpecs[[#All],[VM Name]],VmSpecs[[#All],[Region]],"Failed",0,1),"Pass","Fail")</f>
        <v>Fail</v>
      </c>
      <c r="AY47" t="str" cm="1">
        <f t="array" ref="AY47">IF(F47=_xlfn.XLOOKUP($B47,VmSpecs[[#All],[VM Name]],VmSpecs[[#All],[Instance size]],"Failed",0,1),"Pass","Fail")</f>
        <v>Fail</v>
      </c>
      <c r="AZ47" t="str" cm="1">
        <f t="array" ref="AZ47">IF(LOWER(H47)=_xlfn.XLOOKUP($B47,VmSpecs[[#All],[VM Name]],VmSpecs[[#All],[Availability Set Name]],"Failed",0,1),"Pass","Fail")</f>
        <v>Fail</v>
      </c>
      <c r="BA47" t="str" cm="1">
        <f t="array" ref="BA47">IF(J47=_xlfn.XLOOKUP($B47,VmSpecs[[#All],[VM Name]],VmSpecs[[#All],[Virtual Network]],"Failed",0,1),"Pass","Fail")</f>
        <v>Fail</v>
      </c>
      <c r="BB47" t="str" cm="1">
        <f t="array" ref="BB47">IF(K47=_xlfn.XLOOKUP($B47,VmSpecs[[#All],[VM Name]],VmSpecs[[#All],[Subnet]],"Failed",0,1),"Pass","Fail")</f>
        <v>Fail</v>
      </c>
      <c r="BC47" t="str" cm="1">
        <f t="array" ref="BC47">IF(M47=_xlfn.XLOOKUP($B47,VmSpecs[[#All],[VM Name]],VmSpecs[[#All],[IP]],"Failed",0,1),"Pass","Fail")</f>
        <v>Fail</v>
      </c>
      <c r="BD47" t="str" cm="1">
        <f t="array" ref="BD47">IF(N47=_xlfn.XLOOKUP($B47,VmSpecs[[#All],[VM Name]],VmSpecs[[#All],[Network Security Group]],"Failed",0,1),"Pass","Fail")</f>
        <v>Fail</v>
      </c>
      <c r="BE47" t="str" cm="1">
        <f t="array" ref="BE47">IF(O47=_xlfn.XLOOKUP($B47,VmSpecs[[#All],[VM Name]],VmSpecs[[#All],[Route Table Name]],"Failed",0,1),"Pass","Fail")</f>
        <v>Fail</v>
      </c>
      <c r="BF47" t="str" cm="1">
        <f t="array" ref="BF47">IF(P47=_xlfn.XLOOKUP($B47,VmSpecs[[#All],[VM Name]],VmSpecs[[#All],[Operating System]],"Failed",0,1),"Pass","Fail")</f>
        <v>Fail</v>
      </c>
      <c r="BG47" t="str" cm="1">
        <f t="array" ref="BG47">IF(R47=_xlfn.XLOOKUP($B47,VmSpecs[[#All],[VM Name]],VmSpecs[[#All],[NIC name]],"Failed",0,1),"Pass","Fail")</f>
        <v>Fail</v>
      </c>
      <c r="BH47" t="str" cm="1">
        <f t="array" ref="BH47">IF(U47=_xlfn.XLOOKUP($B47,VmSpecs[[#All],[VM Name]],VmSpecs[[#All],[OS Disk Name]],"Failed",0,1),"Pass","Fail")</f>
        <v>Fail</v>
      </c>
      <c r="BI47" t="str" cm="1">
        <f t="array" ref="BI47">IF(W47=_xlfn.XLOOKUP($B47,VmSpecs[[#All],[VM Name]],VmSpecs[[#All],[OS Disk Size]],"Failed",0,1),"Pass","Fail")</f>
        <v>Fail</v>
      </c>
      <c r="BJ47" t="str" cm="1">
        <f t="array" ref="BJ47">IF(LEFT(X47,4)=LEFT(_xlfn.XLOOKUP($B47,VmSpecs[[#All],[VM Name]],VmSpecs[[#All],[OS Disk Type (Standard SSD etc)]],"Failed",0,1),4),"Pass","Fail")</f>
        <v>Fail</v>
      </c>
      <c r="BK47" t="str" cm="1">
        <f t="array" ref="BK47">IF(Z47=_xlfn.XLOOKUP($B47,VmSpecs[[#All],[VM Name]],VmSpecs[[#All],[Data Disk1 Name]],"Failed",0,1),"Pass","Fail")</f>
        <v>Fail</v>
      </c>
      <c r="BL47" t="str" cm="1">
        <f t="array" ref="BL47">IF(AA47=_xlfn.XLOOKUP($B47,VmSpecs[[#All],[VM Name]],VmSpecs[[#All],[Data Disk1 Size]],"Failed",0,1),"Pass","Fail")</f>
        <v>Fail</v>
      </c>
      <c r="BM47" t="str" cm="1">
        <f t="array" ref="BM47">IF(LEFT(AC47,4)=LEFT(_xlfn.XLOOKUP($B47,VmSpecs[[#All],[VM Name]],VmSpecs[[#All],[Data Disk1 Type]],"Failed",0,1),4),"Pass","Fail")</f>
        <v>Fail</v>
      </c>
      <c r="BO47" t="e">
        <f>VLOOKUP('VM Specs'!K47,'As Built'!B:B,1,FALSE)</f>
        <v>#N/A</v>
      </c>
      <c r="BP47" t="str">
        <f>IF(ISNA(Table613[[#This Row],[VM Build Sheet Check]]),'VM Specs'!K47,"")</f>
        <v>vmpfbpf2hdr02</v>
      </c>
    </row>
    <row r="48" spans="1:68" ht="33" customHeight="1" x14ac:dyDescent="0.35">
      <c r="A48" t="str">
        <f>IF(COUNTIF(AsBuilt[[#This Row],[VM Check]:[Data Disk 1 Type Check]],"Fail")&gt;0,"Fail","Pass")</f>
        <v>Fail</v>
      </c>
      <c r="B48" t="s">
        <v>1090</v>
      </c>
      <c r="C48" t="s">
        <v>754</v>
      </c>
      <c r="D48" t="s">
        <v>755</v>
      </c>
      <c r="E48" t="s">
        <v>756</v>
      </c>
      <c r="F48" t="s">
        <v>801</v>
      </c>
      <c r="G48" t="s">
        <v>758</v>
      </c>
      <c r="H48" t="s">
        <v>1076</v>
      </c>
      <c r="J48" t="s">
        <v>760</v>
      </c>
      <c r="K48" t="s">
        <v>761</v>
      </c>
      <c r="L48" t="s">
        <v>754</v>
      </c>
      <c r="M48" t="s">
        <v>1091</v>
      </c>
      <c r="N48" t="s">
        <v>763</v>
      </c>
      <c r="O48" t="s">
        <v>764</v>
      </c>
      <c r="P48" t="s">
        <v>63</v>
      </c>
      <c r="R48" t="s">
        <v>1092</v>
      </c>
      <c r="S48" t="s">
        <v>754</v>
      </c>
      <c r="U48" t="s">
        <v>1093</v>
      </c>
      <c r="V48" t="s">
        <v>767</v>
      </c>
      <c r="W48">
        <v>64</v>
      </c>
      <c r="X48" t="s">
        <v>768</v>
      </c>
      <c r="Y48">
        <v>2</v>
      </c>
      <c r="Z48" t="s">
        <v>1094</v>
      </c>
      <c r="AA48">
        <v>8</v>
      </c>
      <c r="AB48" t="s">
        <v>770</v>
      </c>
      <c r="AC48" t="s">
        <v>768</v>
      </c>
      <c r="AD48" t="s">
        <v>1095</v>
      </c>
      <c r="AE48">
        <v>32</v>
      </c>
      <c r="AF48" t="s">
        <v>770</v>
      </c>
      <c r="AG48" t="s">
        <v>768</v>
      </c>
      <c r="AT48" t="s">
        <v>772</v>
      </c>
      <c r="AU48" t="s">
        <v>1096</v>
      </c>
      <c r="AV48" t="str" cm="1">
        <f t="array" ref="AV48">IF(B48=_xlfn.XLOOKUP(B48,VmSpecs[[#All],[VM Name]],VmSpecs[[#All],[VM Name]],"Failed",0,1),"Pass","Fail")</f>
        <v>Fail</v>
      </c>
      <c r="AW48" t="str" cm="1">
        <f t="array" ref="AW48">IF(D48=_xlfn.XLOOKUP($B48,VmSpecs[[#All],[VM Name]],VmSpecs[[#All],[Virtual Machine Resource Groups]],"Failed",0,1),"Pass","Fail")</f>
        <v>Fail</v>
      </c>
      <c r="AX48" t="str" cm="1">
        <f t="array" ref="AX48">IF(_xlfn.IFS(E48="australiacentral","Australia Central 1",E48="australiaeast","Australia East",E48="australiasoutheast","Australia SouthEast")=_xlfn.XLOOKUP($B48,VmSpecs[[#All],[VM Name]],VmSpecs[[#All],[Region]],"Failed",0,1),"Pass","Fail")</f>
        <v>Fail</v>
      </c>
      <c r="AY48" t="str" cm="1">
        <f t="array" ref="AY48">IF(F48=_xlfn.XLOOKUP($B48,VmSpecs[[#All],[VM Name]],VmSpecs[[#All],[Instance size]],"Failed",0,1),"Pass","Fail")</f>
        <v>Fail</v>
      </c>
      <c r="AZ48" t="str" cm="1">
        <f t="array" ref="AZ48">IF(LOWER(H48)=_xlfn.XLOOKUP($B48,VmSpecs[[#All],[VM Name]],VmSpecs[[#All],[Availability Set Name]],"Failed",0,1),"Pass","Fail")</f>
        <v>Fail</v>
      </c>
      <c r="BA48" t="str" cm="1">
        <f t="array" ref="BA48">IF(J48=_xlfn.XLOOKUP($B48,VmSpecs[[#All],[VM Name]],VmSpecs[[#All],[Virtual Network]],"Failed",0,1),"Pass","Fail")</f>
        <v>Fail</v>
      </c>
      <c r="BB48" t="str" cm="1">
        <f t="array" ref="BB48">IF(K48=_xlfn.XLOOKUP($B48,VmSpecs[[#All],[VM Name]],VmSpecs[[#All],[Subnet]],"Failed",0,1),"Pass","Fail")</f>
        <v>Fail</v>
      </c>
      <c r="BC48" t="str" cm="1">
        <f t="array" ref="BC48">IF(M48=_xlfn.XLOOKUP($B48,VmSpecs[[#All],[VM Name]],VmSpecs[[#All],[IP]],"Failed",0,1),"Pass","Fail")</f>
        <v>Fail</v>
      </c>
      <c r="BD48" t="str" cm="1">
        <f t="array" ref="BD48">IF(N48=_xlfn.XLOOKUP($B48,VmSpecs[[#All],[VM Name]],VmSpecs[[#All],[Network Security Group]],"Failed",0,1),"Pass","Fail")</f>
        <v>Fail</v>
      </c>
      <c r="BE48" t="str" cm="1">
        <f t="array" ref="BE48">IF(O48=_xlfn.XLOOKUP($B48,VmSpecs[[#All],[VM Name]],VmSpecs[[#All],[Route Table Name]],"Failed",0,1),"Pass","Fail")</f>
        <v>Fail</v>
      </c>
      <c r="BF48" t="str" cm="1">
        <f t="array" ref="BF48">IF(P48=_xlfn.XLOOKUP($B48,VmSpecs[[#All],[VM Name]],VmSpecs[[#All],[Operating System]],"Failed",0,1),"Pass","Fail")</f>
        <v>Fail</v>
      </c>
      <c r="BG48" t="str" cm="1">
        <f t="array" ref="BG48">IF(R48=_xlfn.XLOOKUP($B48,VmSpecs[[#All],[VM Name]],VmSpecs[[#All],[NIC name]],"Failed",0,1),"Pass","Fail")</f>
        <v>Fail</v>
      </c>
      <c r="BH48" t="str" cm="1">
        <f t="array" ref="BH48">IF(U48=_xlfn.XLOOKUP($B48,VmSpecs[[#All],[VM Name]],VmSpecs[[#All],[OS Disk Name]],"Failed",0,1),"Pass","Fail")</f>
        <v>Fail</v>
      </c>
      <c r="BI48" t="str" cm="1">
        <f t="array" ref="BI48">IF(W48=_xlfn.XLOOKUP($B48,VmSpecs[[#All],[VM Name]],VmSpecs[[#All],[OS Disk Size]],"Failed",0,1),"Pass","Fail")</f>
        <v>Fail</v>
      </c>
      <c r="BJ48" t="str" cm="1">
        <f t="array" ref="BJ48">IF(LEFT(X48,4)=LEFT(_xlfn.XLOOKUP($B48,VmSpecs[[#All],[VM Name]],VmSpecs[[#All],[OS Disk Type (Standard SSD etc)]],"Failed",0,1),4),"Pass","Fail")</f>
        <v>Fail</v>
      </c>
      <c r="BK48" t="str" cm="1">
        <f t="array" ref="BK48">IF(Z48=_xlfn.XLOOKUP($B48,VmSpecs[[#All],[VM Name]],VmSpecs[[#All],[Data Disk1 Name]],"Failed",0,1),"Pass","Fail")</f>
        <v>Fail</v>
      </c>
      <c r="BL48" t="str" cm="1">
        <f t="array" ref="BL48">IF(AA48=_xlfn.XLOOKUP($B48,VmSpecs[[#All],[VM Name]],VmSpecs[[#All],[Data Disk1 Size]],"Failed",0,1),"Pass","Fail")</f>
        <v>Fail</v>
      </c>
      <c r="BM48" t="str" cm="1">
        <f t="array" ref="BM48">IF(LEFT(AC48,4)=LEFT(_xlfn.XLOOKUP($B48,VmSpecs[[#All],[VM Name]],VmSpecs[[#All],[Data Disk1 Type]],"Failed",0,1),4),"Pass","Fail")</f>
        <v>Fail</v>
      </c>
      <c r="BO48" t="e">
        <f>VLOOKUP('VM Specs'!K48,'As Built'!B:B,1,FALSE)</f>
        <v>#N/A</v>
      </c>
      <c r="BP48" t="str">
        <f>IF(ISNA(Table613[[#This Row],[VM Build Sheet Check]]),'VM Specs'!K48,"")</f>
        <v>vmpfbpf2hdr03</v>
      </c>
    </row>
    <row r="49" spans="1:68" ht="33" customHeight="1" x14ac:dyDescent="0.35">
      <c r="A49" t="str">
        <f>IF(COUNTIF(AsBuilt[[#This Row],[VM Check]:[Data Disk 1 Type Check]],"Fail")&gt;0,"Fail","Pass")</f>
        <v>Fail</v>
      </c>
      <c r="B49" t="s">
        <v>1097</v>
      </c>
      <c r="C49" t="s">
        <v>754</v>
      </c>
      <c r="D49" t="s">
        <v>755</v>
      </c>
      <c r="E49" t="s">
        <v>756</v>
      </c>
      <c r="F49" t="s">
        <v>801</v>
      </c>
      <c r="G49" t="s">
        <v>758</v>
      </c>
      <c r="H49" t="s">
        <v>1076</v>
      </c>
      <c r="J49" t="s">
        <v>760</v>
      </c>
      <c r="K49" t="s">
        <v>761</v>
      </c>
      <c r="L49" t="s">
        <v>754</v>
      </c>
      <c r="M49" t="s">
        <v>1098</v>
      </c>
      <c r="N49" t="s">
        <v>763</v>
      </c>
      <c r="O49" t="s">
        <v>764</v>
      </c>
      <c r="P49" t="s">
        <v>63</v>
      </c>
      <c r="R49" t="s">
        <v>1099</v>
      </c>
      <c r="S49" t="s">
        <v>754</v>
      </c>
      <c r="U49" t="s">
        <v>1100</v>
      </c>
      <c r="V49" t="s">
        <v>767</v>
      </c>
      <c r="W49">
        <v>64</v>
      </c>
      <c r="X49" t="s">
        <v>768</v>
      </c>
      <c r="Y49">
        <v>2</v>
      </c>
      <c r="Z49" t="s">
        <v>1101</v>
      </c>
      <c r="AA49">
        <v>8</v>
      </c>
      <c r="AB49" t="s">
        <v>770</v>
      </c>
      <c r="AC49" t="s">
        <v>768</v>
      </c>
      <c r="AD49" t="s">
        <v>1102</v>
      </c>
      <c r="AE49">
        <v>32</v>
      </c>
      <c r="AF49" t="s">
        <v>770</v>
      </c>
      <c r="AG49" t="s">
        <v>768</v>
      </c>
      <c r="AT49" t="s">
        <v>772</v>
      </c>
      <c r="AU49" t="s">
        <v>1103</v>
      </c>
      <c r="AV49" t="str" cm="1">
        <f t="array" ref="AV49">IF(B49=_xlfn.XLOOKUP(B49,VmSpecs[[#All],[VM Name]],VmSpecs[[#All],[VM Name]],"Failed",0,1),"Pass","Fail")</f>
        <v>Fail</v>
      </c>
      <c r="AW49" t="str" cm="1">
        <f t="array" ref="AW49">IF(D49=_xlfn.XLOOKUP($B49,VmSpecs[[#All],[VM Name]],VmSpecs[[#All],[Virtual Machine Resource Groups]],"Failed",0,1),"Pass","Fail")</f>
        <v>Fail</v>
      </c>
      <c r="AX49" t="str" cm="1">
        <f t="array" ref="AX49">IF(_xlfn.IFS(E49="australiacentral","Australia Central 1",E49="australiaeast","Australia East",E49="australiasoutheast","Australia SouthEast")=_xlfn.XLOOKUP($B49,VmSpecs[[#All],[VM Name]],VmSpecs[[#All],[Region]],"Failed",0,1),"Pass","Fail")</f>
        <v>Fail</v>
      </c>
      <c r="AY49" t="str" cm="1">
        <f t="array" ref="AY49">IF(F49=_xlfn.XLOOKUP($B49,VmSpecs[[#All],[VM Name]],VmSpecs[[#All],[Instance size]],"Failed",0,1),"Pass","Fail")</f>
        <v>Fail</v>
      </c>
      <c r="AZ49" t="str" cm="1">
        <f t="array" ref="AZ49">IF(LOWER(H49)=_xlfn.XLOOKUP($B49,VmSpecs[[#All],[VM Name]],VmSpecs[[#All],[Availability Set Name]],"Failed",0,1),"Pass","Fail")</f>
        <v>Fail</v>
      </c>
      <c r="BA49" t="str" cm="1">
        <f t="array" ref="BA49">IF(J49=_xlfn.XLOOKUP($B49,VmSpecs[[#All],[VM Name]],VmSpecs[[#All],[Virtual Network]],"Failed",0,1),"Pass","Fail")</f>
        <v>Fail</v>
      </c>
      <c r="BB49" t="str" cm="1">
        <f t="array" ref="BB49">IF(K49=_xlfn.XLOOKUP($B49,VmSpecs[[#All],[VM Name]],VmSpecs[[#All],[Subnet]],"Failed",0,1),"Pass","Fail")</f>
        <v>Fail</v>
      </c>
      <c r="BC49" t="str" cm="1">
        <f t="array" ref="BC49">IF(M49=_xlfn.XLOOKUP($B49,VmSpecs[[#All],[VM Name]],VmSpecs[[#All],[IP]],"Failed",0,1),"Pass","Fail")</f>
        <v>Fail</v>
      </c>
      <c r="BD49" t="str" cm="1">
        <f t="array" ref="BD49">IF(N49=_xlfn.XLOOKUP($B49,VmSpecs[[#All],[VM Name]],VmSpecs[[#All],[Network Security Group]],"Failed",0,1),"Pass","Fail")</f>
        <v>Fail</v>
      </c>
      <c r="BE49" t="str" cm="1">
        <f t="array" ref="BE49">IF(O49=_xlfn.XLOOKUP($B49,VmSpecs[[#All],[VM Name]],VmSpecs[[#All],[Route Table Name]],"Failed",0,1),"Pass","Fail")</f>
        <v>Fail</v>
      </c>
      <c r="BF49" t="str" cm="1">
        <f t="array" ref="BF49">IF(P49=_xlfn.XLOOKUP($B49,VmSpecs[[#All],[VM Name]],VmSpecs[[#All],[Operating System]],"Failed",0,1),"Pass","Fail")</f>
        <v>Fail</v>
      </c>
      <c r="BG49" t="str" cm="1">
        <f t="array" ref="BG49">IF(R49=_xlfn.XLOOKUP($B49,VmSpecs[[#All],[VM Name]],VmSpecs[[#All],[NIC name]],"Failed",0,1),"Pass","Fail")</f>
        <v>Fail</v>
      </c>
      <c r="BH49" t="str" cm="1">
        <f t="array" ref="BH49">IF(U49=_xlfn.XLOOKUP($B49,VmSpecs[[#All],[VM Name]],VmSpecs[[#All],[OS Disk Name]],"Failed",0,1),"Pass","Fail")</f>
        <v>Fail</v>
      </c>
      <c r="BI49" t="str" cm="1">
        <f t="array" ref="BI49">IF(W49=_xlfn.XLOOKUP($B49,VmSpecs[[#All],[VM Name]],VmSpecs[[#All],[OS Disk Size]],"Failed",0,1),"Pass","Fail")</f>
        <v>Fail</v>
      </c>
      <c r="BJ49" t="str" cm="1">
        <f t="array" ref="BJ49">IF(LEFT(X49,4)=LEFT(_xlfn.XLOOKUP($B49,VmSpecs[[#All],[VM Name]],VmSpecs[[#All],[OS Disk Type (Standard SSD etc)]],"Failed",0,1),4),"Pass","Fail")</f>
        <v>Fail</v>
      </c>
      <c r="BK49" t="str" cm="1">
        <f t="array" ref="BK49">IF(Z49=_xlfn.XLOOKUP($B49,VmSpecs[[#All],[VM Name]],VmSpecs[[#All],[Data Disk1 Name]],"Failed",0,1),"Pass","Fail")</f>
        <v>Fail</v>
      </c>
      <c r="BL49" t="str" cm="1">
        <f t="array" ref="BL49">IF(AA49=_xlfn.XLOOKUP($B49,VmSpecs[[#All],[VM Name]],VmSpecs[[#All],[Data Disk1 Size]],"Failed",0,1),"Pass","Fail")</f>
        <v>Fail</v>
      </c>
      <c r="BM49" t="str" cm="1">
        <f t="array" ref="BM49">IF(LEFT(AC49,4)=LEFT(_xlfn.XLOOKUP($B49,VmSpecs[[#All],[VM Name]],VmSpecs[[#All],[Data Disk1 Type]],"Failed",0,1),4),"Pass","Fail")</f>
        <v>Fail</v>
      </c>
      <c r="BO49" t="e">
        <f>VLOOKUP('VM Specs'!K49,'As Built'!B:B,1,FALSE)</f>
        <v>#N/A</v>
      </c>
      <c r="BP49" t="str">
        <f>IF(ISNA(Table613[[#This Row],[VM Build Sheet Check]]),'VM Specs'!K49,"")</f>
        <v>vmpfbpf2hdr04</v>
      </c>
    </row>
    <row r="50" spans="1:68" ht="33" customHeight="1" x14ac:dyDescent="0.35">
      <c r="A50" t="str">
        <f>IF(COUNTIF(AsBuilt[[#This Row],[VM Check]:[Data Disk 1 Type Check]],"Fail")&gt;0,"Fail","Pass")</f>
        <v>Fail</v>
      </c>
      <c r="B50" t="s">
        <v>1104</v>
      </c>
      <c r="C50" t="s">
        <v>754</v>
      </c>
      <c r="D50" t="s">
        <v>755</v>
      </c>
      <c r="E50" t="s">
        <v>756</v>
      </c>
      <c r="F50" t="s">
        <v>801</v>
      </c>
      <c r="G50" t="s">
        <v>758</v>
      </c>
      <c r="H50" t="s">
        <v>1076</v>
      </c>
      <c r="J50" t="s">
        <v>760</v>
      </c>
      <c r="K50" t="s">
        <v>761</v>
      </c>
      <c r="L50" t="s">
        <v>754</v>
      </c>
      <c r="M50" t="s">
        <v>1105</v>
      </c>
      <c r="N50" t="s">
        <v>763</v>
      </c>
      <c r="O50" t="s">
        <v>764</v>
      </c>
      <c r="P50" t="s">
        <v>63</v>
      </c>
      <c r="R50" t="s">
        <v>1106</v>
      </c>
      <c r="S50" t="s">
        <v>754</v>
      </c>
      <c r="U50" t="s">
        <v>1107</v>
      </c>
      <c r="V50" t="s">
        <v>767</v>
      </c>
      <c r="W50">
        <v>64</v>
      </c>
      <c r="X50" t="s">
        <v>768</v>
      </c>
      <c r="Y50">
        <v>2</v>
      </c>
      <c r="Z50" t="s">
        <v>1108</v>
      </c>
      <c r="AA50">
        <v>8</v>
      </c>
      <c r="AB50" t="s">
        <v>770</v>
      </c>
      <c r="AC50" t="s">
        <v>768</v>
      </c>
      <c r="AD50" t="s">
        <v>1109</v>
      </c>
      <c r="AE50">
        <v>32</v>
      </c>
      <c r="AF50" t="s">
        <v>770</v>
      </c>
      <c r="AG50" t="s">
        <v>768</v>
      </c>
      <c r="AT50" t="s">
        <v>772</v>
      </c>
      <c r="AU50" t="s">
        <v>1110</v>
      </c>
      <c r="AV50" t="str" cm="1">
        <f t="array" ref="AV50">IF(B50=_xlfn.XLOOKUP(B50,VmSpecs[[#All],[VM Name]],VmSpecs[[#All],[VM Name]],"Failed",0,1),"Pass","Fail")</f>
        <v>Fail</v>
      </c>
      <c r="AW50" t="str" cm="1">
        <f t="array" ref="AW50">IF(D50=_xlfn.XLOOKUP($B50,VmSpecs[[#All],[VM Name]],VmSpecs[[#All],[Virtual Machine Resource Groups]],"Failed",0,1),"Pass","Fail")</f>
        <v>Fail</v>
      </c>
      <c r="AX50" t="str" cm="1">
        <f t="array" ref="AX50">IF(_xlfn.IFS(E50="australiacentral","Australia Central 1",E50="australiaeast","Australia East",E50="australiasoutheast","Australia SouthEast")=_xlfn.XLOOKUP($B50,VmSpecs[[#All],[VM Name]],VmSpecs[[#All],[Region]],"Failed",0,1),"Pass","Fail")</f>
        <v>Fail</v>
      </c>
      <c r="AY50" t="str" cm="1">
        <f t="array" ref="AY50">IF(F50=_xlfn.XLOOKUP($B50,VmSpecs[[#All],[VM Name]],VmSpecs[[#All],[Instance size]],"Failed",0,1),"Pass","Fail")</f>
        <v>Fail</v>
      </c>
      <c r="AZ50" t="str" cm="1">
        <f t="array" ref="AZ50">IF(LOWER(H50)=_xlfn.XLOOKUP($B50,VmSpecs[[#All],[VM Name]],VmSpecs[[#All],[Availability Set Name]],"Failed",0,1),"Pass","Fail")</f>
        <v>Fail</v>
      </c>
      <c r="BA50" t="str" cm="1">
        <f t="array" ref="BA50">IF(J50=_xlfn.XLOOKUP($B50,VmSpecs[[#All],[VM Name]],VmSpecs[[#All],[Virtual Network]],"Failed",0,1),"Pass","Fail")</f>
        <v>Fail</v>
      </c>
      <c r="BB50" t="str" cm="1">
        <f t="array" ref="BB50">IF(K50=_xlfn.XLOOKUP($B50,VmSpecs[[#All],[VM Name]],VmSpecs[[#All],[Subnet]],"Failed",0,1),"Pass","Fail")</f>
        <v>Fail</v>
      </c>
      <c r="BC50" t="str" cm="1">
        <f t="array" ref="BC50">IF(M50=_xlfn.XLOOKUP($B50,VmSpecs[[#All],[VM Name]],VmSpecs[[#All],[IP]],"Failed",0,1),"Pass","Fail")</f>
        <v>Fail</v>
      </c>
      <c r="BD50" t="str" cm="1">
        <f t="array" ref="BD50">IF(N50=_xlfn.XLOOKUP($B50,VmSpecs[[#All],[VM Name]],VmSpecs[[#All],[Network Security Group]],"Failed",0,1),"Pass","Fail")</f>
        <v>Fail</v>
      </c>
      <c r="BE50" t="str" cm="1">
        <f t="array" ref="BE50">IF(O50=_xlfn.XLOOKUP($B50,VmSpecs[[#All],[VM Name]],VmSpecs[[#All],[Route Table Name]],"Failed",0,1),"Pass","Fail")</f>
        <v>Fail</v>
      </c>
      <c r="BF50" t="str" cm="1">
        <f t="array" ref="BF50">IF(P50=_xlfn.XLOOKUP($B50,VmSpecs[[#All],[VM Name]],VmSpecs[[#All],[Operating System]],"Failed",0,1),"Pass","Fail")</f>
        <v>Fail</v>
      </c>
      <c r="BG50" t="str" cm="1">
        <f t="array" ref="BG50">IF(R50=_xlfn.XLOOKUP($B50,VmSpecs[[#All],[VM Name]],VmSpecs[[#All],[NIC name]],"Failed",0,1),"Pass","Fail")</f>
        <v>Fail</v>
      </c>
      <c r="BH50" t="str" cm="1">
        <f t="array" ref="BH50">IF(U50=_xlfn.XLOOKUP($B50,VmSpecs[[#All],[VM Name]],VmSpecs[[#All],[OS Disk Name]],"Failed",0,1),"Pass","Fail")</f>
        <v>Fail</v>
      </c>
      <c r="BI50" t="str" cm="1">
        <f t="array" ref="BI50">IF(W50=_xlfn.XLOOKUP($B50,VmSpecs[[#All],[VM Name]],VmSpecs[[#All],[OS Disk Size]],"Failed",0,1),"Pass","Fail")</f>
        <v>Fail</v>
      </c>
      <c r="BJ50" t="str" cm="1">
        <f t="array" ref="BJ50">IF(LEFT(X50,4)=LEFT(_xlfn.XLOOKUP($B50,VmSpecs[[#All],[VM Name]],VmSpecs[[#All],[OS Disk Type (Standard SSD etc)]],"Failed",0,1),4),"Pass","Fail")</f>
        <v>Fail</v>
      </c>
      <c r="BK50" t="str" cm="1">
        <f t="array" ref="BK50">IF(Z50=_xlfn.XLOOKUP($B50,VmSpecs[[#All],[VM Name]],VmSpecs[[#All],[Data Disk1 Name]],"Failed",0,1),"Pass","Fail")</f>
        <v>Fail</v>
      </c>
      <c r="BL50" t="str" cm="1">
        <f t="array" ref="BL50">IF(AA50=_xlfn.XLOOKUP($B50,VmSpecs[[#All],[VM Name]],VmSpecs[[#All],[Data Disk1 Size]],"Failed",0,1),"Pass","Fail")</f>
        <v>Fail</v>
      </c>
      <c r="BM50" t="str" cm="1">
        <f t="array" ref="BM50">IF(LEFT(AC50,4)=LEFT(_xlfn.XLOOKUP($B50,VmSpecs[[#All],[VM Name]],VmSpecs[[#All],[Data Disk1 Type]],"Failed",0,1),4),"Pass","Fail")</f>
        <v>Fail</v>
      </c>
      <c r="BO50" t="e">
        <f>VLOOKUP('VM Specs'!K50,'As Built'!B:B,1,FALSE)</f>
        <v>#N/A</v>
      </c>
      <c r="BP50" t="str">
        <f>IF(ISNA(Table613[[#This Row],[VM Build Sheet Check]]),'VM Specs'!K50,"")</f>
        <v>vmpfbpf2hdr05</v>
      </c>
    </row>
    <row r="51" spans="1:68" ht="33" customHeight="1" x14ac:dyDescent="0.35">
      <c r="A51" t="str">
        <f>IF(COUNTIF(AsBuilt[[#This Row],[VM Check]:[Data Disk 1 Type Check]],"Fail")&gt;0,"Fail","Pass")</f>
        <v>Fail</v>
      </c>
      <c r="B51" t="s">
        <v>1111</v>
      </c>
      <c r="C51" t="s">
        <v>754</v>
      </c>
      <c r="D51" t="s">
        <v>755</v>
      </c>
      <c r="E51" t="s">
        <v>756</v>
      </c>
      <c r="F51" t="s">
        <v>801</v>
      </c>
      <c r="G51" t="s">
        <v>758</v>
      </c>
      <c r="H51" t="s">
        <v>1076</v>
      </c>
      <c r="J51" t="s">
        <v>760</v>
      </c>
      <c r="K51" t="s">
        <v>761</v>
      </c>
      <c r="L51" t="s">
        <v>754</v>
      </c>
      <c r="M51" t="s">
        <v>1112</v>
      </c>
      <c r="N51" t="s">
        <v>763</v>
      </c>
      <c r="O51" t="s">
        <v>764</v>
      </c>
      <c r="P51" t="s">
        <v>63</v>
      </c>
      <c r="R51" t="s">
        <v>1113</v>
      </c>
      <c r="S51" t="s">
        <v>754</v>
      </c>
      <c r="U51" t="s">
        <v>1114</v>
      </c>
      <c r="V51" t="s">
        <v>767</v>
      </c>
      <c r="W51">
        <v>64</v>
      </c>
      <c r="X51" t="s">
        <v>768</v>
      </c>
      <c r="Y51">
        <v>2</v>
      </c>
      <c r="Z51" t="s">
        <v>1115</v>
      </c>
      <c r="AA51">
        <v>8</v>
      </c>
      <c r="AB51" t="s">
        <v>770</v>
      </c>
      <c r="AC51" t="s">
        <v>768</v>
      </c>
      <c r="AD51" t="s">
        <v>1116</v>
      </c>
      <c r="AE51">
        <v>32</v>
      </c>
      <c r="AF51" t="s">
        <v>770</v>
      </c>
      <c r="AG51" t="s">
        <v>768</v>
      </c>
      <c r="AT51" t="s">
        <v>772</v>
      </c>
      <c r="AU51" t="s">
        <v>1117</v>
      </c>
      <c r="AV51" t="str" cm="1">
        <f t="array" ref="AV51">IF(B51=_xlfn.XLOOKUP(B51,VmSpecs[[#All],[VM Name]],VmSpecs[[#All],[VM Name]],"Failed",0,1),"Pass","Fail")</f>
        <v>Fail</v>
      </c>
      <c r="AW51" t="str" cm="1">
        <f t="array" ref="AW51">IF(D51=_xlfn.XLOOKUP($B51,VmSpecs[[#All],[VM Name]],VmSpecs[[#All],[Virtual Machine Resource Groups]],"Failed",0,1),"Pass","Fail")</f>
        <v>Fail</v>
      </c>
      <c r="AX51" t="str" cm="1">
        <f t="array" ref="AX51">IF(_xlfn.IFS(E51="australiacentral","Australia Central 1",E51="australiaeast","Australia East",E51="australiasoutheast","Australia SouthEast")=_xlfn.XLOOKUP($B51,VmSpecs[[#All],[VM Name]],VmSpecs[[#All],[Region]],"Failed",0,1),"Pass","Fail")</f>
        <v>Fail</v>
      </c>
      <c r="AY51" t="str" cm="1">
        <f t="array" ref="AY51">IF(F51=_xlfn.XLOOKUP($B51,VmSpecs[[#All],[VM Name]],VmSpecs[[#All],[Instance size]],"Failed",0,1),"Pass","Fail")</f>
        <v>Fail</v>
      </c>
      <c r="AZ51" t="str" cm="1">
        <f t="array" ref="AZ51">IF(LOWER(H51)=_xlfn.XLOOKUP($B51,VmSpecs[[#All],[VM Name]],VmSpecs[[#All],[Availability Set Name]],"Failed",0,1),"Pass","Fail")</f>
        <v>Fail</v>
      </c>
      <c r="BA51" t="str" cm="1">
        <f t="array" ref="BA51">IF(J51=_xlfn.XLOOKUP($B51,VmSpecs[[#All],[VM Name]],VmSpecs[[#All],[Virtual Network]],"Failed",0,1),"Pass","Fail")</f>
        <v>Fail</v>
      </c>
      <c r="BB51" t="str" cm="1">
        <f t="array" ref="BB51">IF(K51=_xlfn.XLOOKUP($B51,VmSpecs[[#All],[VM Name]],VmSpecs[[#All],[Subnet]],"Failed",0,1),"Pass","Fail")</f>
        <v>Fail</v>
      </c>
      <c r="BC51" t="str" cm="1">
        <f t="array" ref="BC51">IF(M51=_xlfn.XLOOKUP($B51,VmSpecs[[#All],[VM Name]],VmSpecs[[#All],[IP]],"Failed",0,1),"Pass","Fail")</f>
        <v>Fail</v>
      </c>
      <c r="BD51" t="str" cm="1">
        <f t="array" ref="BD51">IF(N51=_xlfn.XLOOKUP($B51,VmSpecs[[#All],[VM Name]],VmSpecs[[#All],[Network Security Group]],"Failed",0,1),"Pass","Fail")</f>
        <v>Fail</v>
      </c>
      <c r="BE51" t="str" cm="1">
        <f t="array" ref="BE51">IF(O51=_xlfn.XLOOKUP($B51,VmSpecs[[#All],[VM Name]],VmSpecs[[#All],[Route Table Name]],"Failed",0,1),"Pass","Fail")</f>
        <v>Fail</v>
      </c>
      <c r="BF51" t="str" cm="1">
        <f t="array" ref="BF51">IF(P51=_xlfn.XLOOKUP($B51,VmSpecs[[#All],[VM Name]],VmSpecs[[#All],[Operating System]],"Failed",0,1),"Pass","Fail")</f>
        <v>Fail</v>
      </c>
      <c r="BG51" t="str" cm="1">
        <f t="array" ref="BG51">IF(R51=_xlfn.XLOOKUP($B51,VmSpecs[[#All],[VM Name]],VmSpecs[[#All],[NIC name]],"Failed",0,1),"Pass","Fail")</f>
        <v>Fail</v>
      </c>
      <c r="BH51" t="str" cm="1">
        <f t="array" ref="BH51">IF(U51=_xlfn.XLOOKUP($B51,VmSpecs[[#All],[VM Name]],VmSpecs[[#All],[OS Disk Name]],"Failed",0,1),"Pass","Fail")</f>
        <v>Fail</v>
      </c>
      <c r="BI51" t="str" cm="1">
        <f t="array" ref="BI51">IF(W51=_xlfn.XLOOKUP($B51,VmSpecs[[#All],[VM Name]],VmSpecs[[#All],[OS Disk Size]],"Failed",0,1),"Pass","Fail")</f>
        <v>Fail</v>
      </c>
      <c r="BJ51" t="str" cm="1">
        <f t="array" ref="BJ51">IF(LEFT(X51,4)=LEFT(_xlfn.XLOOKUP($B51,VmSpecs[[#All],[VM Name]],VmSpecs[[#All],[OS Disk Type (Standard SSD etc)]],"Failed",0,1),4),"Pass","Fail")</f>
        <v>Fail</v>
      </c>
      <c r="BK51" t="str" cm="1">
        <f t="array" ref="BK51">IF(Z51=_xlfn.XLOOKUP($B51,VmSpecs[[#All],[VM Name]],VmSpecs[[#All],[Data Disk1 Name]],"Failed",0,1),"Pass","Fail")</f>
        <v>Fail</v>
      </c>
      <c r="BL51" t="str" cm="1">
        <f t="array" ref="BL51">IF(AA51=_xlfn.XLOOKUP($B51,VmSpecs[[#All],[VM Name]],VmSpecs[[#All],[Data Disk1 Size]],"Failed",0,1),"Pass","Fail")</f>
        <v>Fail</v>
      </c>
      <c r="BM51" t="str" cm="1">
        <f t="array" ref="BM51">IF(LEFT(AC51,4)=LEFT(_xlfn.XLOOKUP($B51,VmSpecs[[#All],[VM Name]],VmSpecs[[#All],[Data Disk1 Type]],"Failed",0,1),4),"Pass","Fail")</f>
        <v>Fail</v>
      </c>
      <c r="BO51" t="e">
        <f>VLOOKUP('VM Specs'!K51,'As Built'!B:B,1,FALSE)</f>
        <v>#N/A</v>
      </c>
      <c r="BP51" t="str">
        <f>IF(ISNA(Table613[[#This Row],[VM Build Sheet Check]]),'VM Specs'!K51,"")</f>
        <v>vmpfbpf2hdr06</v>
      </c>
    </row>
    <row r="52" spans="1:68" ht="33" customHeight="1" x14ac:dyDescent="0.35">
      <c r="A52" t="str">
        <f>IF(COUNTIF(AsBuilt[[#This Row],[VM Check]:[Data Disk 1 Type Check]],"Fail")&gt;0,"Fail","Pass")</f>
        <v>Fail</v>
      </c>
      <c r="B52" t="s">
        <v>1118</v>
      </c>
      <c r="C52" t="s">
        <v>754</v>
      </c>
      <c r="D52" t="s">
        <v>755</v>
      </c>
      <c r="E52" t="s">
        <v>756</v>
      </c>
      <c r="F52" t="s">
        <v>801</v>
      </c>
      <c r="G52" t="s">
        <v>758</v>
      </c>
      <c r="H52" t="s">
        <v>1076</v>
      </c>
      <c r="J52" t="s">
        <v>760</v>
      </c>
      <c r="K52" t="s">
        <v>761</v>
      </c>
      <c r="L52" t="s">
        <v>754</v>
      </c>
      <c r="M52" t="s">
        <v>1119</v>
      </c>
      <c r="N52" t="s">
        <v>763</v>
      </c>
      <c r="O52" t="s">
        <v>764</v>
      </c>
      <c r="P52" t="s">
        <v>63</v>
      </c>
      <c r="R52" t="s">
        <v>1120</v>
      </c>
      <c r="S52" t="s">
        <v>754</v>
      </c>
      <c r="U52" t="s">
        <v>1121</v>
      </c>
      <c r="V52" t="s">
        <v>767</v>
      </c>
      <c r="W52">
        <v>64</v>
      </c>
      <c r="X52" t="s">
        <v>768</v>
      </c>
      <c r="Y52">
        <v>2</v>
      </c>
      <c r="Z52" t="s">
        <v>1122</v>
      </c>
      <c r="AA52">
        <v>8</v>
      </c>
      <c r="AB52" t="s">
        <v>770</v>
      </c>
      <c r="AC52" t="s">
        <v>768</v>
      </c>
      <c r="AD52" t="s">
        <v>1123</v>
      </c>
      <c r="AE52">
        <v>32</v>
      </c>
      <c r="AF52" t="s">
        <v>770</v>
      </c>
      <c r="AG52" t="s">
        <v>768</v>
      </c>
      <c r="AT52" t="s">
        <v>772</v>
      </c>
      <c r="AU52" t="s">
        <v>1124</v>
      </c>
      <c r="AV52" t="str" cm="1">
        <f t="array" ref="AV52">IF(B52=_xlfn.XLOOKUP(B52,VmSpecs[[#All],[VM Name]],VmSpecs[[#All],[VM Name]],"Failed",0,1),"Pass","Fail")</f>
        <v>Fail</v>
      </c>
      <c r="AW52" t="str" cm="1">
        <f t="array" ref="AW52">IF(D52=_xlfn.XLOOKUP($B52,VmSpecs[[#All],[VM Name]],VmSpecs[[#All],[Virtual Machine Resource Groups]],"Failed",0,1),"Pass","Fail")</f>
        <v>Fail</v>
      </c>
      <c r="AX52" t="str" cm="1">
        <f t="array" ref="AX52">IF(_xlfn.IFS(E52="australiacentral","Australia Central 1",E52="australiaeast","Australia East",E52="australiasoutheast","Australia SouthEast")=_xlfn.XLOOKUP($B52,VmSpecs[[#All],[VM Name]],VmSpecs[[#All],[Region]],"Failed",0,1),"Pass","Fail")</f>
        <v>Fail</v>
      </c>
      <c r="AY52" t="str" cm="1">
        <f t="array" ref="AY52">IF(F52=_xlfn.XLOOKUP($B52,VmSpecs[[#All],[VM Name]],VmSpecs[[#All],[Instance size]],"Failed",0,1),"Pass","Fail")</f>
        <v>Fail</v>
      </c>
      <c r="AZ52" t="str" cm="1">
        <f t="array" ref="AZ52">IF(LOWER(H52)=_xlfn.XLOOKUP($B52,VmSpecs[[#All],[VM Name]],VmSpecs[[#All],[Availability Set Name]],"Failed",0,1),"Pass","Fail")</f>
        <v>Fail</v>
      </c>
      <c r="BA52" t="str" cm="1">
        <f t="array" ref="BA52">IF(J52=_xlfn.XLOOKUP($B52,VmSpecs[[#All],[VM Name]],VmSpecs[[#All],[Virtual Network]],"Failed",0,1),"Pass","Fail")</f>
        <v>Fail</v>
      </c>
      <c r="BB52" t="str" cm="1">
        <f t="array" ref="BB52">IF(K52=_xlfn.XLOOKUP($B52,VmSpecs[[#All],[VM Name]],VmSpecs[[#All],[Subnet]],"Failed",0,1),"Pass","Fail")</f>
        <v>Fail</v>
      </c>
      <c r="BC52" t="str" cm="1">
        <f t="array" ref="BC52">IF(M52=_xlfn.XLOOKUP($B52,VmSpecs[[#All],[VM Name]],VmSpecs[[#All],[IP]],"Failed",0,1),"Pass","Fail")</f>
        <v>Fail</v>
      </c>
      <c r="BD52" t="str" cm="1">
        <f t="array" ref="BD52">IF(N52=_xlfn.XLOOKUP($B52,VmSpecs[[#All],[VM Name]],VmSpecs[[#All],[Network Security Group]],"Failed",0,1),"Pass","Fail")</f>
        <v>Fail</v>
      </c>
      <c r="BE52" t="str" cm="1">
        <f t="array" ref="BE52">IF(O52=_xlfn.XLOOKUP($B52,VmSpecs[[#All],[VM Name]],VmSpecs[[#All],[Route Table Name]],"Failed",0,1),"Pass","Fail")</f>
        <v>Fail</v>
      </c>
      <c r="BF52" t="str" cm="1">
        <f t="array" ref="BF52">IF(P52=_xlfn.XLOOKUP($B52,VmSpecs[[#All],[VM Name]],VmSpecs[[#All],[Operating System]],"Failed",0,1),"Pass","Fail")</f>
        <v>Fail</v>
      </c>
      <c r="BG52" t="str" cm="1">
        <f t="array" ref="BG52">IF(R52=_xlfn.XLOOKUP($B52,VmSpecs[[#All],[VM Name]],VmSpecs[[#All],[NIC name]],"Failed",0,1),"Pass","Fail")</f>
        <v>Fail</v>
      </c>
      <c r="BH52" t="str" cm="1">
        <f t="array" ref="BH52">IF(U52=_xlfn.XLOOKUP($B52,VmSpecs[[#All],[VM Name]],VmSpecs[[#All],[OS Disk Name]],"Failed",0,1),"Pass","Fail")</f>
        <v>Fail</v>
      </c>
      <c r="BI52" t="str" cm="1">
        <f t="array" ref="BI52">IF(W52=_xlfn.XLOOKUP($B52,VmSpecs[[#All],[VM Name]],VmSpecs[[#All],[OS Disk Size]],"Failed",0,1),"Pass","Fail")</f>
        <v>Fail</v>
      </c>
      <c r="BJ52" t="str" cm="1">
        <f t="array" ref="BJ52">IF(LEFT(X52,4)=LEFT(_xlfn.XLOOKUP($B52,VmSpecs[[#All],[VM Name]],VmSpecs[[#All],[OS Disk Type (Standard SSD etc)]],"Failed",0,1),4),"Pass","Fail")</f>
        <v>Fail</v>
      </c>
      <c r="BK52" t="str" cm="1">
        <f t="array" ref="BK52">IF(Z52=_xlfn.XLOOKUP($B52,VmSpecs[[#All],[VM Name]],VmSpecs[[#All],[Data Disk1 Name]],"Failed",0,1),"Pass","Fail")</f>
        <v>Fail</v>
      </c>
      <c r="BL52" t="str" cm="1">
        <f t="array" ref="BL52">IF(AA52=_xlfn.XLOOKUP($B52,VmSpecs[[#All],[VM Name]],VmSpecs[[#All],[Data Disk1 Size]],"Failed",0,1),"Pass","Fail")</f>
        <v>Fail</v>
      </c>
      <c r="BM52" t="str" cm="1">
        <f t="array" ref="BM52">IF(LEFT(AC52,4)=LEFT(_xlfn.XLOOKUP($B52,VmSpecs[[#All],[VM Name]],VmSpecs[[#All],[Data Disk1 Type]],"Failed",0,1),4),"Pass","Fail")</f>
        <v>Fail</v>
      </c>
      <c r="BO52" t="e">
        <f>VLOOKUP('VM Specs'!K52,'As Built'!B:B,1,FALSE)</f>
        <v>#N/A</v>
      </c>
      <c r="BP52" t="str">
        <f>IF(ISNA(Table613[[#This Row],[VM Build Sheet Check]]),'VM Specs'!K52,"")</f>
        <v>vmpfbpf2hdr07</v>
      </c>
    </row>
    <row r="53" spans="1:68" ht="33" customHeight="1" x14ac:dyDescent="0.35">
      <c r="A53" t="str">
        <f>IF(COUNTIF(AsBuilt[[#This Row],[VM Check]:[Data Disk 1 Type Check]],"Fail")&gt;0,"Fail","Pass")</f>
        <v>Fail</v>
      </c>
      <c r="B53" t="s">
        <v>1125</v>
      </c>
      <c r="C53" t="s">
        <v>754</v>
      </c>
      <c r="D53" t="s">
        <v>755</v>
      </c>
      <c r="E53" t="s">
        <v>756</v>
      </c>
      <c r="F53" t="s">
        <v>801</v>
      </c>
      <c r="G53" t="s">
        <v>758</v>
      </c>
      <c r="H53" t="s">
        <v>1076</v>
      </c>
      <c r="J53" t="s">
        <v>760</v>
      </c>
      <c r="K53" t="s">
        <v>761</v>
      </c>
      <c r="L53" t="s">
        <v>754</v>
      </c>
      <c r="M53" t="s">
        <v>1126</v>
      </c>
      <c r="N53" t="s">
        <v>763</v>
      </c>
      <c r="O53" t="s">
        <v>764</v>
      </c>
      <c r="P53" t="s">
        <v>63</v>
      </c>
      <c r="R53" t="s">
        <v>1127</v>
      </c>
      <c r="S53" t="s">
        <v>754</v>
      </c>
      <c r="U53" t="s">
        <v>1128</v>
      </c>
      <c r="V53" t="s">
        <v>767</v>
      </c>
      <c r="W53">
        <v>64</v>
      </c>
      <c r="X53" t="s">
        <v>768</v>
      </c>
      <c r="Y53">
        <v>2</v>
      </c>
      <c r="Z53" t="s">
        <v>1129</v>
      </c>
      <c r="AA53">
        <v>8</v>
      </c>
      <c r="AB53" t="s">
        <v>770</v>
      </c>
      <c r="AC53" t="s">
        <v>768</v>
      </c>
      <c r="AD53" t="s">
        <v>1130</v>
      </c>
      <c r="AE53">
        <v>32</v>
      </c>
      <c r="AF53" t="s">
        <v>770</v>
      </c>
      <c r="AG53" t="s">
        <v>768</v>
      </c>
      <c r="AT53" t="s">
        <v>772</v>
      </c>
      <c r="AU53" t="s">
        <v>1131</v>
      </c>
      <c r="AV53" t="str" cm="1">
        <f t="array" ref="AV53">IF(B53=_xlfn.XLOOKUP(B53,VmSpecs[[#All],[VM Name]],VmSpecs[[#All],[VM Name]],"Failed",0,1),"Pass","Fail")</f>
        <v>Fail</v>
      </c>
      <c r="AW53" t="str" cm="1">
        <f t="array" ref="AW53">IF(D53=_xlfn.XLOOKUP($B53,VmSpecs[[#All],[VM Name]],VmSpecs[[#All],[Virtual Machine Resource Groups]],"Failed",0,1),"Pass","Fail")</f>
        <v>Fail</v>
      </c>
      <c r="AX53" t="str" cm="1">
        <f t="array" ref="AX53">IF(_xlfn.IFS(E53="australiacentral","Australia Central 1",E53="australiaeast","Australia East",E53="australiasoutheast","Australia SouthEast")=_xlfn.XLOOKUP($B53,VmSpecs[[#All],[VM Name]],VmSpecs[[#All],[Region]],"Failed",0,1),"Pass","Fail")</f>
        <v>Fail</v>
      </c>
      <c r="AY53" t="str" cm="1">
        <f t="array" ref="AY53">IF(F53=_xlfn.XLOOKUP($B53,VmSpecs[[#All],[VM Name]],VmSpecs[[#All],[Instance size]],"Failed",0,1),"Pass","Fail")</f>
        <v>Fail</v>
      </c>
      <c r="AZ53" t="str" cm="1">
        <f t="array" ref="AZ53">IF(LOWER(H53)=_xlfn.XLOOKUP($B53,VmSpecs[[#All],[VM Name]],VmSpecs[[#All],[Availability Set Name]],"Failed",0,1),"Pass","Fail")</f>
        <v>Fail</v>
      </c>
      <c r="BA53" t="str" cm="1">
        <f t="array" ref="BA53">IF(J53=_xlfn.XLOOKUP($B53,VmSpecs[[#All],[VM Name]],VmSpecs[[#All],[Virtual Network]],"Failed",0,1),"Pass","Fail")</f>
        <v>Fail</v>
      </c>
      <c r="BB53" t="str" cm="1">
        <f t="array" ref="BB53">IF(K53=_xlfn.XLOOKUP($B53,VmSpecs[[#All],[VM Name]],VmSpecs[[#All],[Subnet]],"Failed",0,1),"Pass","Fail")</f>
        <v>Fail</v>
      </c>
      <c r="BC53" t="str" cm="1">
        <f t="array" ref="BC53">IF(M53=_xlfn.XLOOKUP($B53,VmSpecs[[#All],[VM Name]],VmSpecs[[#All],[IP]],"Failed",0,1),"Pass","Fail")</f>
        <v>Fail</v>
      </c>
      <c r="BD53" t="str" cm="1">
        <f t="array" ref="BD53">IF(N53=_xlfn.XLOOKUP($B53,VmSpecs[[#All],[VM Name]],VmSpecs[[#All],[Network Security Group]],"Failed",0,1),"Pass","Fail")</f>
        <v>Fail</v>
      </c>
      <c r="BE53" t="str" cm="1">
        <f t="array" ref="BE53">IF(O53=_xlfn.XLOOKUP($B53,VmSpecs[[#All],[VM Name]],VmSpecs[[#All],[Route Table Name]],"Failed",0,1),"Pass","Fail")</f>
        <v>Fail</v>
      </c>
      <c r="BF53" t="str" cm="1">
        <f t="array" ref="BF53">IF(P53=_xlfn.XLOOKUP($B53,VmSpecs[[#All],[VM Name]],VmSpecs[[#All],[Operating System]],"Failed",0,1),"Pass","Fail")</f>
        <v>Fail</v>
      </c>
      <c r="BG53" t="str" cm="1">
        <f t="array" ref="BG53">IF(R53=_xlfn.XLOOKUP($B53,VmSpecs[[#All],[VM Name]],VmSpecs[[#All],[NIC name]],"Failed",0,1),"Pass","Fail")</f>
        <v>Fail</v>
      </c>
      <c r="BH53" t="str" cm="1">
        <f t="array" ref="BH53">IF(U53=_xlfn.XLOOKUP($B53,VmSpecs[[#All],[VM Name]],VmSpecs[[#All],[OS Disk Name]],"Failed",0,1),"Pass","Fail")</f>
        <v>Fail</v>
      </c>
      <c r="BI53" t="str" cm="1">
        <f t="array" ref="BI53">IF(W53=_xlfn.XLOOKUP($B53,VmSpecs[[#All],[VM Name]],VmSpecs[[#All],[OS Disk Size]],"Failed",0,1),"Pass","Fail")</f>
        <v>Fail</v>
      </c>
      <c r="BJ53" t="str" cm="1">
        <f t="array" ref="BJ53">IF(LEFT(X53,4)=LEFT(_xlfn.XLOOKUP($B53,VmSpecs[[#All],[VM Name]],VmSpecs[[#All],[OS Disk Type (Standard SSD etc)]],"Failed",0,1),4),"Pass","Fail")</f>
        <v>Fail</v>
      </c>
      <c r="BK53" t="str" cm="1">
        <f t="array" ref="BK53">IF(Z53=_xlfn.XLOOKUP($B53,VmSpecs[[#All],[VM Name]],VmSpecs[[#All],[Data Disk1 Name]],"Failed",0,1),"Pass","Fail")</f>
        <v>Fail</v>
      </c>
      <c r="BL53" t="str" cm="1">
        <f t="array" ref="BL53">IF(AA53=_xlfn.XLOOKUP($B53,VmSpecs[[#All],[VM Name]],VmSpecs[[#All],[Data Disk1 Size]],"Failed",0,1),"Pass","Fail")</f>
        <v>Fail</v>
      </c>
      <c r="BM53" t="str" cm="1">
        <f t="array" ref="BM53">IF(LEFT(AC53,4)=LEFT(_xlfn.XLOOKUP($B53,VmSpecs[[#All],[VM Name]],VmSpecs[[#All],[Data Disk1 Type]],"Failed",0,1),4),"Pass","Fail")</f>
        <v>Fail</v>
      </c>
      <c r="BO53" t="e">
        <f>VLOOKUP('VM Specs'!K53,'As Built'!B:B,1,FALSE)</f>
        <v>#N/A</v>
      </c>
      <c r="BP53" t="str">
        <f>IF(ISNA(Table613[[#This Row],[VM Build Sheet Check]]),'VM Specs'!K53,"")</f>
        <v>vmpfbpf2hdr08</v>
      </c>
    </row>
    <row r="54" spans="1:68" ht="33" customHeight="1" x14ac:dyDescent="0.35">
      <c r="A54" t="str">
        <f>IF(COUNTIF(AsBuilt[[#This Row],[VM Check]:[Data Disk 1 Type Check]],"Fail")&gt;0,"Fail","Pass")</f>
        <v>Fail</v>
      </c>
      <c r="B54" t="s">
        <v>1132</v>
      </c>
      <c r="C54" t="s">
        <v>754</v>
      </c>
      <c r="D54" t="s">
        <v>755</v>
      </c>
      <c r="E54" t="s">
        <v>756</v>
      </c>
      <c r="F54" t="s">
        <v>801</v>
      </c>
      <c r="G54" t="s">
        <v>758</v>
      </c>
      <c r="H54" t="s">
        <v>1076</v>
      </c>
      <c r="J54" t="s">
        <v>760</v>
      </c>
      <c r="K54" t="s">
        <v>761</v>
      </c>
      <c r="L54" t="s">
        <v>754</v>
      </c>
      <c r="M54" t="s">
        <v>1133</v>
      </c>
      <c r="N54" t="s">
        <v>763</v>
      </c>
      <c r="O54" t="s">
        <v>764</v>
      </c>
      <c r="P54" t="s">
        <v>63</v>
      </c>
      <c r="R54" t="s">
        <v>1134</v>
      </c>
      <c r="S54" t="s">
        <v>754</v>
      </c>
      <c r="U54" t="s">
        <v>1135</v>
      </c>
      <c r="V54" t="s">
        <v>767</v>
      </c>
      <c r="W54">
        <v>64</v>
      </c>
      <c r="X54" t="s">
        <v>768</v>
      </c>
      <c r="Y54">
        <v>2</v>
      </c>
      <c r="Z54" t="s">
        <v>1136</v>
      </c>
      <c r="AA54">
        <v>8</v>
      </c>
      <c r="AB54" t="s">
        <v>770</v>
      </c>
      <c r="AC54" t="s">
        <v>768</v>
      </c>
      <c r="AD54" t="s">
        <v>1137</v>
      </c>
      <c r="AE54">
        <v>32</v>
      </c>
      <c r="AF54" t="s">
        <v>770</v>
      </c>
      <c r="AG54" t="s">
        <v>768</v>
      </c>
      <c r="AT54" t="s">
        <v>772</v>
      </c>
      <c r="AU54" t="s">
        <v>1138</v>
      </c>
      <c r="AV54" t="str" cm="1">
        <f t="array" ref="AV54">IF(B54=_xlfn.XLOOKUP(B54,VmSpecs[[#All],[VM Name]],VmSpecs[[#All],[VM Name]],"Failed",0,1),"Pass","Fail")</f>
        <v>Fail</v>
      </c>
      <c r="AW54" t="str" cm="1">
        <f t="array" ref="AW54">IF(D54=_xlfn.XLOOKUP($B54,VmSpecs[[#All],[VM Name]],VmSpecs[[#All],[Virtual Machine Resource Groups]],"Failed",0,1),"Pass","Fail")</f>
        <v>Fail</v>
      </c>
      <c r="AX54" t="str" cm="1">
        <f t="array" ref="AX54">IF(_xlfn.IFS(E54="australiacentral","Australia Central 1",E54="australiaeast","Australia East",E54="australiasoutheast","Australia SouthEast")=_xlfn.XLOOKUP($B54,VmSpecs[[#All],[VM Name]],VmSpecs[[#All],[Region]],"Failed",0,1),"Pass","Fail")</f>
        <v>Fail</v>
      </c>
      <c r="AY54" t="str" cm="1">
        <f t="array" ref="AY54">IF(F54=_xlfn.XLOOKUP($B54,VmSpecs[[#All],[VM Name]],VmSpecs[[#All],[Instance size]],"Failed",0,1),"Pass","Fail")</f>
        <v>Fail</v>
      </c>
      <c r="AZ54" t="str" cm="1">
        <f t="array" ref="AZ54">IF(LOWER(H54)=_xlfn.XLOOKUP($B54,VmSpecs[[#All],[VM Name]],VmSpecs[[#All],[Availability Set Name]],"Failed",0,1),"Pass","Fail")</f>
        <v>Fail</v>
      </c>
      <c r="BA54" t="str" cm="1">
        <f t="array" ref="BA54">IF(J54=_xlfn.XLOOKUP($B54,VmSpecs[[#All],[VM Name]],VmSpecs[[#All],[Virtual Network]],"Failed",0,1),"Pass","Fail")</f>
        <v>Fail</v>
      </c>
      <c r="BB54" t="str" cm="1">
        <f t="array" ref="BB54">IF(K54=_xlfn.XLOOKUP($B54,VmSpecs[[#All],[VM Name]],VmSpecs[[#All],[Subnet]],"Failed",0,1),"Pass","Fail")</f>
        <v>Fail</v>
      </c>
      <c r="BC54" t="str" cm="1">
        <f t="array" ref="BC54">IF(M54=_xlfn.XLOOKUP($B54,VmSpecs[[#All],[VM Name]],VmSpecs[[#All],[IP]],"Failed",0,1),"Pass","Fail")</f>
        <v>Fail</v>
      </c>
      <c r="BD54" t="str" cm="1">
        <f t="array" ref="BD54">IF(N54=_xlfn.XLOOKUP($B54,VmSpecs[[#All],[VM Name]],VmSpecs[[#All],[Network Security Group]],"Failed",0,1),"Pass","Fail")</f>
        <v>Fail</v>
      </c>
      <c r="BE54" t="str" cm="1">
        <f t="array" ref="BE54">IF(O54=_xlfn.XLOOKUP($B54,VmSpecs[[#All],[VM Name]],VmSpecs[[#All],[Route Table Name]],"Failed",0,1),"Pass","Fail")</f>
        <v>Fail</v>
      </c>
      <c r="BF54" t="str" cm="1">
        <f t="array" ref="BF54">IF(P54=_xlfn.XLOOKUP($B54,VmSpecs[[#All],[VM Name]],VmSpecs[[#All],[Operating System]],"Failed",0,1),"Pass","Fail")</f>
        <v>Fail</v>
      </c>
      <c r="BG54" t="str" cm="1">
        <f t="array" ref="BG54">IF(R54=_xlfn.XLOOKUP($B54,VmSpecs[[#All],[VM Name]],VmSpecs[[#All],[NIC name]],"Failed",0,1),"Pass","Fail")</f>
        <v>Fail</v>
      </c>
      <c r="BH54" t="str" cm="1">
        <f t="array" ref="BH54">IF(U54=_xlfn.XLOOKUP($B54,VmSpecs[[#All],[VM Name]],VmSpecs[[#All],[OS Disk Name]],"Failed",0,1),"Pass","Fail")</f>
        <v>Fail</v>
      </c>
      <c r="BI54" t="str" cm="1">
        <f t="array" ref="BI54">IF(W54=_xlfn.XLOOKUP($B54,VmSpecs[[#All],[VM Name]],VmSpecs[[#All],[OS Disk Size]],"Failed",0,1),"Pass","Fail")</f>
        <v>Fail</v>
      </c>
      <c r="BJ54" t="str" cm="1">
        <f t="array" ref="BJ54">IF(LEFT(X54,4)=LEFT(_xlfn.XLOOKUP($B54,VmSpecs[[#All],[VM Name]],VmSpecs[[#All],[OS Disk Type (Standard SSD etc)]],"Failed",0,1),4),"Pass","Fail")</f>
        <v>Fail</v>
      </c>
      <c r="BK54" t="str" cm="1">
        <f t="array" ref="BK54">IF(Z54=_xlfn.XLOOKUP($B54,VmSpecs[[#All],[VM Name]],VmSpecs[[#All],[Data Disk1 Name]],"Failed",0,1),"Pass","Fail")</f>
        <v>Fail</v>
      </c>
      <c r="BL54" t="str" cm="1">
        <f t="array" ref="BL54">IF(AA54=_xlfn.XLOOKUP($B54,VmSpecs[[#All],[VM Name]],VmSpecs[[#All],[Data Disk1 Size]],"Failed",0,1),"Pass","Fail")</f>
        <v>Fail</v>
      </c>
      <c r="BM54" t="str" cm="1">
        <f t="array" ref="BM54">IF(LEFT(AC54,4)=LEFT(_xlfn.XLOOKUP($B54,VmSpecs[[#All],[VM Name]],VmSpecs[[#All],[Data Disk1 Type]],"Failed",0,1),4),"Pass","Fail")</f>
        <v>Fail</v>
      </c>
      <c r="BO54" t="e">
        <f>VLOOKUP('VM Specs'!K54,'As Built'!B:B,1,FALSE)</f>
        <v>#N/A</v>
      </c>
      <c r="BP54" t="str">
        <f>IF(ISNA(Table613[[#This Row],[VM Build Sheet Check]]),'VM Specs'!K54,"")</f>
        <v>vmpfbpf2hdr09</v>
      </c>
    </row>
    <row r="55" spans="1:68" ht="33" customHeight="1" x14ac:dyDescent="0.35">
      <c r="A55" t="str">
        <f>IF(COUNTIF(AsBuilt[[#This Row],[VM Check]:[Data Disk 1 Type Check]],"Fail")&gt;0,"Fail","Pass")</f>
        <v>Fail</v>
      </c>
      <c r="B55" t="s">
        <v>1139</v>
      </c>
      <c r="C55" t="s">
        <v>754</v>
      </c>
      <c r="D55" t="s">
        <v>755</v>
      </c>
      <c r="E55" t="s">
        <v>756</v>
      </c>
      <c r="F55" t="s">
        <v>801</v>
      </c>
      <c r="G55" t="s">
        <v>758</v>
      </c>
      <c r="H55" t="s">
        <v>1076</v>
      </c>
      <c r="J55" t="s">
        <v>760</v>
      </c>
      <c r="K55" t="s">
        <v>761</v>
      </c>
      <c r="L55" t="s">
        <v>754</v>
      </c>
      <c r="M55" t="s">
        <v>1140</v>
      </c>
      <c r="N55" t="s">
        <v>763</v>
      </c>
      <c r="O55" t="s">
        <v>764</v>
      </c>
      <c r="P55" t="s">
        <v>63</v>
      </c>
      <c r="R55" t="s">
        <v>1141</v>
      </c>
      <c r="S55" t="s">
        <v>754</v>
      </c>
      <c r="U55" t="s">
        <v>1142</v>
      </c>
      <c r="V55" t="s">
        <v>767</v>
      </c>
      <c r="W55">
        <v>64</v>
      </c>
      <c r="X55" t="s">
        <v>768</v>
      </c>
      <c r="Y55">
        <v>2</v>
      </c>
      <c r="Z55" t="s">
        <v>1143</v>
      </c>
      <c r="AA55">
        <v>8</v>
      </c>
      <c r="AB55" t="s">
        <v>770</v>
      </c>
      <c r="AC55" t="s">
        <v>768</v>
      </c>
      <c r="AD55" t="s">
        <v>1144</v>
      </c>
      <c r="AE55">
        <v>32</v>
      </c>
      <c r="AF55" t="s">
        <v>770</v>
      </c>
      <c r="AG55" t="s">
        <v>768</v>
      </c>
      <c r="AT55" t="s">
        <v>772</v>
      </c>
      <c r="AU55" t="s">
        <v>1145</v>
      </c>
      <c r="AV55" t="str" cm="1">
        <f t="array" ref="AV55">IF(B55=_xlfn.XLOOKUP(B55,VmSpecs[[#All],[VM Name]],VmSpecs[[#All],[VM Name]],"Failed",0,1),"Pass","Fail")</f>
        <v>Fail</v>
      </c>
      <c r="AW55" t="str" cm="1">
        <f t="array" ref="AW55">IF(D55=_xlfn.XLOOKUP($B55,VmSpecs[[#All],[VM Name]],VmSpecs[[#All],[Virtual Machine Resource Groups]],"Failed",0,1),"Pass","Fail")</f>
        <v>Fail</v>
      </c>
      <c r="AX55" t="str" cm="1">
        <f t="array" ref="AX55">IF(_xlfn.IFS(E55="australiacentral","Australia Central 1",E55="australiaeast","Australia East",E55="australiasoutheast","Australia SouthEast")=_xlfn.XLOOKUP($B55,VmSpecs[[#All],[VM Name]],VmSpecs[[#All],[Region]],"Failed",0,1),"Pass","Fail")</f>
        <v>Fail</v>
      </c>
      <c r="AY55" t="str" cm="1">
        <f t="array" ref="AY55">IF(F55=_xlfn.XLOOKUP($B55,VmSpecs[[#All],[VM Name]],VmSpecs[[#All],[Instance size]],"Failed",0,1),"Pass","Fail")</f>
        <v>Fail</v>
      </c>
      <c r="AZ55" t="str" cm="1">
        <f t="array" ref="AZ55">IF(LOWER(H55)=_xlfn.XLOOKUP($B55,VmSpecs[[#All],[VM Name]],VmSpecs[[#All],[Availability Set Name]],"Failed",0,1),"Pass","Fail")</f>
        <v>Fail</v>
      </c>
      <c r="BA55" t="str" cm="1">
        <f t="array" ref="BA55">IF(J55=_xlfn.XLOOKUP($B55,VmSpecs[[#All],[VM Name]],VmSpecs[[#All],[Virtual Network]],"Failed",0,1),"Pass","Fail")</f>
        <v>Fail</v>
      </c>
      <c r="BB55" t="str" cm="1">
        <f t="array" ref="BB55">IF(K55=_xlfn.XLOOKUP($B55,VmSpecs[[#All],[VM Name]],VmSpecs[[#All],[Subnet]],"Failed",0,1),"Pass","Fail")</f>
        <v>Fail</v>
      </c>
      <c r="BC55" t="str" cm="1">
        <f t="array" ref="BC55">IF(M55=_xlfn.XLOOKUP($B55,VmSpecs[[#All],[VM Name]],VmSpecs[[#All],[IP]],"Failed",0,1),"Pass","Fail")</f>
        <v>Fail</v>
      </c>
      <c r="BD55" t="str" cm="1">
        <f t="array" ref="BD55">IF(N55=_xlfn.XLOOKUP($B55,VmSpecs[[#All],[VM Name]],VmSpecs[[#All],[Network Security Group]],"Failed",0,1),"Pass","Fail")</f>
        <v>Fail</v>
      </c>
      <c r="BE55" t="str" cm="1">
        <f t="array" ref="BE55">IF(O55=_xlfn.XLOOKUP($B55,VmSpecs[[#All],[VM Name]],VmSpecs[[#All],[Route Table Name]],"Failed",0,1),"Pass","Fail")</f>
        <v>Fail</v>
      </c>
      <c r="BF55" t="str" cm="1">
        <f t="array" ref="BF55">IF(P55=_xlfn.XLOOKUP($B55,VmSpecs[[#All],[VM Name]],VmSpecs[[#All],[Operating System]],"Failed",0,1),"Pass","Fail")</f>
        <v>Fail</v>
      </c>
      <c r="BG55" t="str" cm="1">
        <f t="array" ref="BG55">IF(R55=_xlfn.XLOOKUP($B55,VmSpecs[[#All],[VM Name]],VmSpecs[[#All],[NIC name]],"Failed",0,1),"Pass","Fail")</f>
        <v>Fail</v>
      </c>
      <c r="BH55" t="str" cm="1">
        <f t="array" ref="BH55">IF(U55=_xlfn.XLOOKUP($B55,VmSpecs[[#All],[VM Name]],VmSpecs[[#All],[OS Disk Name]],"Failed",0,1),"Pass","Fail")</f>
        <v>Fail</v>
      </c>
      <c r="BI55" t="str" cm="1">
        <f t="array" ref="BI55">IF(W55=_xlfn.XLOOKUP($B55,VmSpecs[[#All],[VM Name]],VmSpecs[[#All],[OS Disk Size]],"Failed",0,1),"Pass","Fail")</f>
        <v>Fail</v>
      </c>
      <c r="BJ55" t="str" cm="1">
        <f t="array" ref="BJ55">IF(LEFT(X55,4)=LEFT(_xlfn.XLOOKUP($B55,VmSpecs[[#All],[VM Name]],VmSpecs[[#All],[OS Disk Type (Standard SSD etc)]],"Failed",0,1),4),"Pass","Fail")</f>
        <v>Fail</v>
      </c>
      <c r="BK55" t="str" cm="1">
        <f t="array" ref="BK55">IF(Z55=_xlfn.XLOOKUP($B55,VmSpecs[[#All],[VM Name]],VmSpecs[[#All],[Data Disk1 Name]],"Failed",0,1),"Pass","Fail")</f>
        <v>Fail</v>
      </c>
      <c r="BL55" t="str" cm="1">
        <f t="array" ref="BL55">IF(AA55=_xlfn.XLOOKUP($B55,VmSpecs[[#All],[VM Name]],VmSpecs[[#All],[Data Disk1 Size]],"Failed",0,1),"Pass","Fail")</f>
        <v>Fail</v>
      </c>
      <c r="BM55" t="str" cm="1">
        <f t="array" ref="BM55">IF(LEFT(AC55,4)=LEFT(_xlfn.XLOOKUP($B55,VmSpecs[[#All],[VM Name]],VmSpecs[[#All],[Data Disk1 Type]],"Failed",0,1),4),"Pass","Fail")</f>
        <v>Fail</v>
      </c>
      <c r="BO55" t="e">
        <f>VLOOKUP('VM Specs'!K55,'As Built'!B:B,1,FALSE)</f>
        <v>#N/A</v>
      </c>
      <c r="BP55" t="str">
        <f>IF(ISNA(Table613[[#This Row],[VM Build Sheet Check]]),'VM Specs'!K55,"")</f>
        <v>vmpfbpf2hdr10</v>
      </c>
    </row>
    <row r="56" spans="1:68" ht="33" customHeight="1" x14ac:dyDescent="0.35">
      <c r="A56" t="str">
        <f>IF(COUNTIF(AsBuilt[[#This Row],[VM Check]:[Data Disk 1 Type Check]],"Fail")&gt;0,"Fail","Pass")</f>
        <v>Fail</v>
      </c>
      <c r="B56" t="s">
        <v>1146</v>
      </c>
      <c r="C56" t="s">
        <v>754</v>
      </c>
      <c r="D56" t="s">
        <v>755</v>
      </c>
      <c r="E56" t="s">
        <v>756</v>
      </c>
      <c r="F56" t="s">
        <v>801</v>
      </c>
      <c r="G56" t="s">
        <v>758</v>
      </c>
      <c r="H56" t="s">
        <v>1076</v>
      </c>
      <c r="J56" t="s">
        <v>760</v>
      </c>
      <c r="K56" t="s">
        <v>761</v>
      </c>
      <c r="L56" t="s">
        <v>754</v>
      </c>
      <c r="M56" t="s">
        <v>1147</v>
      </c>
      <c r="N56" t="s">
        <v>763</v>
      </c>
      <c r="O56" t="s">
        <v>764</v>
      </c>
      <c r="P56" t="s">
        <v>63</v>
      </c>
      <c r="R56" t="s">
        <v>1148</v>
      </c>
      <c r="S56" t="s">
        <v>754</v>
      </c>
      <c r="U56" t="s">
        <v>1149</v>
      </c>
      <c r="V56" t="s">
        <v>767</v>
      </c>
      <c r="W56">
        <v>64</v>
      </c>
      <c r="X56" t="s">
        <v>768</v>
      </c>
      <c r="Y56">
        <v>2</v>
      </c>
      <c r="Z56" t="s">
        <v>1150</v>
      </c>
      <c r="AA56">
        <v>8</v>
      </c>
      <c r="AB56" t="s">
        <v>770</v>
      </c>
      <c r="AC56" t="s">
        <v>768</v>
      </c>
      <c r="AD56" t="s">
        <v>1151</v>
      </c>
      <c r="AE56">
        <v>32</v>
      </c>
      <c r="AF56" t="s">
        <v>770</v>
      </c>
      <c r="AG56" t="s">
        <v>768</v>
      </c>
      <c r="AT56" t="s">
        <v>772</v>
      </c>
      <c r="AU56" t="s">
        <v>1152</v>
      </c>
      <c r="AV56" t="str" cm="1">
        <f t="array" ref="AV56">IF(B56=_xlfn.XLOOKUP(B56,VmSpecs[[#All],[VM Name]],VmSpecs[[#All],[VM Name]],"Failed",0,1),"Pass","Fail")</f>
        <v>Fail</v>
      </c>
      <c r="AW56" t="str" cm="1">
        <f t="array" ref="AW56">IF(D56=_xlfn.XLOOKUP($B56,VmSpecs[[#All],[VM Name]],VmSpecs[[#All],[Virtual Machine Resource Groups]],"Failed",0,1),"Pass","Fail")</f>
        <v>Fail</v>
      </c>
      <c r="AX56" t="str" cm="1">
        <f t="array" ref="AX56">IF(_xlfn.IFS(E56="australiacentral","Australia Central 1",E56="australiaeast","Australia East",E56="australiasoutheast","Australia SouthEast")=_xlfn.XLOOKUP($B56,VmSpecs[[#All],[VM Name]],VmSpecs[[#All],[Region]],"Failed",0,1),"Pass","Fail")</f>
        <v>Fail</v>
      </c>
      <c r="AY56" t="str" cm="1">
        <f t="array" ref="AY56">IF(F56=_xlfn.XLOOKUP($B56,VmSpecs[[#All],[VM Name]],VmSpecs[[#All],[Instance size]],"Failed",0,1),"Pass","Fail")</f>
        <v>Fail</v>
      </c>
      <c r="AZ56" t="str" cm="1">
        <f t="array" ref="AZ56">IF(LOWER(H56)=_xlfn.XLOOKUP($B56,VmSpecs[[#All],[VM Name]],VmSpecs[[#All],[Availability Set Name]],"Failed",0,1),"Pass","Fail")</f>
        <v>Fail</v>
      </c>
      <c r="BA56" t="str" cm="1">
        <f t="array" ref="BA56">IF(J56=_xlfn.XLOOKUP($B56,VmSpecs[[#All],[VM Name]],VmSpecs[[#All],[Virtual Network]],"Failed",0,1),"Pass","Fail")</f>
        <v>Fail</v>
      </c>
      <c r="BB56" t="str" cm="1">
        <f t="array" ref="BB56">IF(K56=_xlfn.XLOOKUP($B56,VmSpecs[[#All],[VM Name]],VmSpecs[[#All],[Subnet]],"Failed",0,1),"Pass","Fail")</f>
        <v>Fail</v>
      </c>
      <c r="BC56" t="str" cm="1">
        <f t="array" ref="BC56">IF(M56=_xlfn.XLOOKUP($B56,VmSpecs[[#All],[VM Name]],VmSpecs[[#All],[IP]],"Failed",0,1),"Pass","Fail")</f>
        <v>Fail</v>
      </c>
      <c r="BD56" t="str" cm="1">
        <f t="array" ref="BD56">IF(N56=_xlfn.XLOOKUP($B56,VmSpecs[[#All],[VM Name]],VmSpecs[[#All],[Network Security Group]],"Failed",0,1),"Pass","Fail")</f>
        <v>Fail</v>
      </c>
      <c r="BE56" t="str" cm="1">
        <f t="array" ref="BE56">IF(O56=_xlfn.XLOOKUP($B56,VmSpecs[[#All],[VM Name]],VmSpecs[[#All],[Route Table Name]],"Failed",0,1),"Pass","Fail")</f>
        <v>Fail</v>
      </c>
      <c r="BF56" t="str" cm="1">
        <f t="array" ref="BF56">IF(P56=_xlfn.XLOOKUP($B56,VmSpecs[[#All],[VM Name]],VmSpecs[[#All],[Operating System]],"Failed",0,1),"Pass","Fail")</f>
        <v>Fail</v>
      </c>
      <c r="BG56" t="str" cm="1">
        <f t="array" ref="BG56">IF(R56=_xlfn.XLOOKUP($B56,VmSpecs[[#All],[VM Name]],VmSpecs[[#All],[NIC name]],"Failed",0,1),"Pass","Fail")</f>
        <v>Fail</v>
      </c>
      <c r="BH56" t="str" cm="1">
        <f t="array" ref="BH56">IF(U56=_xlfn.XLOOKUP($B56,VmSpecs[[#All],[VM Name]],VmSpecs[[#All],[OS Disk Name]],"Failed",0,1),"Pass","Fail")</f>
        <v>Fail</v>
      </c>
      <c r="BI56" t="str" cm="1">
        <f t="array" ref="BI56">IF(W56=_xlfn.XLOOKUP($B56,VmSpecs[[#All],[VM Name]],VmSpecs[[#All],[OS Disk Size]],"Failed",0,1),"Pass","Fail")</f>
        <v>Fail</v>
      </c>
      <c r="BJ56" t="str" cm="1">
        <f t="array" ref="BJ56">IF(LEFT(X56,4)=LEFT(_xlfn.XLOOKUP($B56,VmSpecs[[#All],[VM Name]],VmSpecs[[#All],[OS Disk Type (Standard SSD etc)]],"Failed",0,1),4),"Pass","Fail")</f>
        <v>Fail</v>
      </c>
      <c r="BK56" t="str" cm="1">
        <f t="array" ref="BK56">IF(Z56=_xlfn.XLOOKUP($B56,VmSpecs[[#All],[VM Name]],VmSpecs[[#All],[Data Disk1 Name]],"Failed",0,1),"Pass","Fail")</f>
        <v>Fail</v>
      </c>
      <c r="BL56" t="str" cm="1">
        <f t="array" ref="BL56">IF(AA56=_xlfn.XLOOKUP($B56,VmSpecs[[#All],[VM Name]],VmSpecs[[#All],[Data Disk1 Size]],"Failed",0,1),"Pass","Fail")</f>
        <v>Fail</v>
      </c>
      <c r="BM56" t="str" cm="1">
        <f t="array" ref="BM56">IF(LEFT(AC56,4)=LEFT(_xlfn.XLOOKUP($B56,VmSpecs[[#All],[VM Name]],VmSpecs[[#All],[Data Disk1 Type]],"Failed",0,1),4),"Pass","Fail")</f>
        <v>Fail</v>
      </c>
      <c r="BO56" t="e">
        <f>VLOOKUP('VM Specs'!K56,'As Built'!B:B,1,FALSE)</f>
        <v>#N/A</v>
      </c>
      <c r="BP56" t="str">
        <f>IF(ISNA(Table613[[#This Row],[VM Build Sheet Check]]),'VM Specs'!K56,"")</f>
        <v>vmpfbpf2hdr11</v>
      </c>
    </row>
    <row r="57" spans="1:68" ht="33" customHeight="1" x14ac:dyDescent="0.35">
      <c r="A57" t="str">
        <f>IF(COUNTIF(AsBuilt[[#This Row],[VM Check]:[Data Disk 1 Type Check]],"Fail")&gt;0,"Fail","Pass")</f>
        <v>Fail</v>
      </c>
      <c r="B57" t="s">
        <v>1153</v>
      </c>
      <c r="C57" t="s">
        <v>754</v>
      </c>
      <c r="D57" t="s">
        <v>755</v>
      </c>
      <c r="E57" t="s">
        <v>756</v>
      </c>
      <c r="F57" t="s">
        <v>801</v>
      </c>
      <c r="G57" t="s">
        <v>758</v>
      </c>
      <c r="H57" t="s">
        <v>1076</v>
      </c>
      <c r="J57" t="s">
        <v>760</v>
      </c>
      <c r="K57" t="s">
        <v>761</v>
      </c>
      <c r="L57" t="s">
        <v>754</v>
      </c>
      <c r="M57" t="s">
        <v>1154</v>
      </c>
      <c r="N57" t="s">
        <v>763</v>
      </c>
      <c r="O57" t="s">
        <v>764</v>
      </c>
      <c r="P57" t="s">
        <v>63</v>
      </c>
      <c r="R57" t="s">
        <v>1155</v>
      </c>
      <c r="S57" t="s">
        <v>754</v>
      </c>
      <c r="U57" t="s">
        <v>1156</v>
      </c>
      <c r="V57" t="s">
        <v>767</v>
      </c>
      <c r="W57">
        <v>64</v>
      </c>
      <c r="X57" t="s">
        <v>768</v>
      </c>
      <c r="Y57">
        <v>2</v>
      </c>
      <c r="Z57" t="s">
        <v>1157</v>
      </c>
      <c r="AA57">
        <v>8</v>
      </c>
      <c r="AB57" t="s">
        <v>770</v>
      </c>
      <c r="AC57" t="s">
        <v>768</v>
      </c>
      <c r="AD57" t="s">
        <v>1158</v>
      </c>
      <c r="AE57">
        <v>32</v>
      </c>
      <c r="AF57" t="s">
        <v>770</v>
      </c>
      <c r="AG57" t="s">
        <v>768</v>
      </c>
      <c r="AT57" t="s">
        <v>772</v>
      </c>
      <c r="AU57" t="s">
        <v>1159</v>
      </c>
      <c r="AV57" t="str" cm="1">
        <f t="array" ref="AV57">IF(B57=_xlfn.XLOOKUP(B57,VmSpecs[[#All],[VM Name]],VmSpecs[[#All],[VM Name]],"Failed",0,1),"Pass","Fail")</f>
        <v>Fail</v>
      </c>
      <c r="AW57" t="str" cm="1">
        <f t="array" ref="AW57">IF(D57=_xlfn.XLOOKUP($B57,VmSpecs[[#All],[VM Name]],VmSpecs[[#All],[Virtual Machine Resource Groups]],"Failed",0,1),"Pass","Fail")</f>
        <v>Fail</v>
      </c>
      <c r="AX57" t="str" cm="1">
        <f t="array" ref="AX57">IF(_xlfn.IFS(E57="australiacentral","Australia Central 1",E57="australiaeast","Australia East",E57="australiasoutheast","Australia SouthEast")=_xlfn.XLOOKUP($B57,VmSpecs[[#All],[VM Name]],VmSpecs[[#All],[Region]],"Failed",0,1),"Pass","Fail")</f>
        <v>Fail</v>
      </c>
      <c r="AY57" t="str" cm="1">
        <f t="array" ref="AY57">IF(F57=_xlfn.XLOOKUP($B57,VmSpecs[[#All],[VM Name]],VmSpecs[[#All],[Instance size]],"Failed",0,1),"Pass","Fail")</f>
        <v>Fail</v>
      </c>
      <c r="AZ57" t="str" cm="1">
        <f t="array" ref="AZ57">IF(LOWER(H57)=_xlfn.XLOOKUP($B57,VmSpecs[[#All],[VM Name]],VmSpecs[[#All],[Availability Set Name]],"Failed",0,1),"Pass","Fail")</f>
        <v>Fail</v>
      </c>
      <c r="BA57" t="str" cm="1">
        <f t="array" ref="BA57">IF(J57=_xlfn.XLOOKUP($B57,VmSpecs[[#All],[VM Name]],VmSpecs[[#All],[Virtual Network]],"Failed",0,1),"Pass","Fail")</f>
        <v>Fail</v>
      </c>
      <c r="BB57" t="str" cm="1">
        <f t="array" ref="BB57">IF(K57=_xlfn.XLOOKUP($B57,VmSpecs[[#All],[VM Name]],VmSpecs[[#All],[Subnet]],"Failed",0,1),"Pass","Fail")</f>
        <v>Fail</v>
      </c>
      <c r="BC57" t="str" cm="1">
        <f t="array" ref="BC57">IF(M57=_xlfn.XLOOKUP($B57,VmSpecs[[#All],[VM Name]],VmSpecs[[#All],[IP]],"Failed",0,1),"Pass","Fail")</f>
        <v>Fail</v>
      </c>
      <c r="BD57" t="str" cm="1">
        <f t="array" ref="BD57">IF(N57=_xlfn.XLOOKUP($B57,VmSpecs[[#All],[VM Name]],VmSpecs[[#All],[Network Security Group]],"Failed",0,1),"Pass","Fail")</f>
        <v>Fail</v>
      </c>
      <c r="BE57" t="str" cm="1">
        <f t="array" ref="BE57">IF(O57=_xlfn.XLOOKUP($B57,VmSpecs[[#All],[VM Name]],VmSpecs[[#All],[Route Table Name]],"Failed",0,1),"Pass","Fail")</f>
        <v>Fail</v>
      </c>
      <c r="BF57" t="str" cm="1">
        <f t="array" ref="BF57">IF(P57=_xlfn.XLOOKUP($B57,VmSpecs[[#All],[VM Name]],VmSpecs[[#All],[Operating System]],"Failed",0,1),"Pass","Fail")</f>
        <v>Fail</v>
      </c>
      <c r="BG57" t="str" cm="1">
        <f t="array" ref="BG57">IF(R57=_xlfn.XLOOKUP($B57,VmSpecs[[#All],[VM Name]],VmSpecs[[#All],[NIC name]],"Failed",0,1),"Pass","Fail")</f>
        <v>Fail</v>
      </c>
      <c r="BH57" t="str" cm="1">
        <f t="array" ref="BH57">IF(U57=_xlfn.XLOOKUP($B57,VmSpecs[[#All],[VM Name]],VmSpecs[[#All],[OS Disk Name]],"Failed",0,1),"Pass","Fail")</f>
        <v>Fail</v>
      </c>
      <c r="BI57" t="str" cm="1">
        <f t="array" ref="BI57">IF(W57=_xlfn.XLOOKUP($B57,VmSpecs[[#All],[VM Name]],VmSpecs[[#All],[OS Disk Size]],"Failed",0,1),"Pass","Fail")</f>
        <v>Fail</v>
      </c>
      <c r="BJ57" t="str" cm="1">
        <f t="array" ref="BJ57">IF(LEFT(X57,4)=LEFT(_xlfn.XLOOKUP($B57,VmSpecs[[#All],[VM Name]],VmSpecs[[#All],[OS Disk Type (Standard SSD etc)]],"Failed",0,1),4),"Pass","Fail")</f>
        <v>Fail</v>
      </c>
      <c r="BK57" t="str" cm="1">
        <f t="array" ref="BK57">IF(Z57=_xlfn.XLOOKUP($B57,VmSpecs[[#All],[VM Name]],VmSpecs[[#All],[Data Disk1 Name]],"Failed",0,1),"Pass","Fail")</f>
        <v>Fail</v>
      </c>
      <c r="BL57" t="str" cm="1">
        <f t="array" ref="BL57">IF(AA57=_xlfn.XLOOKUP($B57,VmSpecs[[#All],[VM Name]],VmSpecs[[#All],[Data Disk1 Size]],"Failed",0,1),"Pass","Fail")</f>
        <v>Fail</v>
      </c>
      <c r="BM57" t="str" cm="1">
        <f t="array" ref="BM57">IF(LEFT(AC57,4)=LEFT(_xlfn.XLOOKUP($B57,VmSpecs[[#All],[VM Name]],VmSpecs[[#All],[Data Disk1 Type]],"Failed",0,1),4),"Pass","Fail")</f>
        <v>Fail</v>
      </c>
      <c r="BO57" t="e">
        <f>VLOOKUP('VM Specs'!K57,'As Built'!B:B,1,FALSE)</f>
        <v>#N/A</v>
      </c>
      <c r="BP57" t="str">
        <f>IF(ISNA(Table613[[#This Row],[VM Build Sheet Check]]),'VM Specs'!K57,"")</f>
        <v>vmpfbpf2hdr12</v>
      </c>
    </row>
    <row r="58" spans="1:68" ht="33" customHeight="1" x14ac:dyDescent="0.35">
      <c r="A58" t="str">
        <f>IF(COUNTIF(AsBuilt[[#This Row],[VM Check]:[Data Disk 1 Type Check]],"Fail")&gt;0,"Fail","Pass")</f>
        <v>Fail</v>
      </c>
      <c r="B58" t="s">
        <v>1160</v>
      </c>
      <c r="C58" t="s">
        <v>754</v>
      </c>
      <c r="D58" t="s">
        <v>755</v>
      </c>
      <c r="E58" t="s">
        <v>756</v>
      </c>
      <c r="F58" t="s">
        <v>801</v>
      </c>
      <c r="G58" t="s">
        <v>758</v>
      </c>
      <c r="H58" t="s">
        <v>1076</v>
      </c>
      <c r="J58" t="s">
        <v>760</v>
      </c>
      <c r="K58" t="s">
        <v>761</v>
      </c>
      <c r="L58" t="s">
        <v>754</v>
      </c>
      <c r="M58" t="s">
        <v>1161</v>
      </c>
      <c r="N58" t="s">
        <v>763</v>
      </c>
      <c r="O58" t="s">
        <v>764</v>
      </c>
      <c r="P58" t="s">
        <v>63</v>
      </c>
      <c r="R58" t="s">
        <v>1162</v>
      </c>
      <c r="S58" t="s">
        <v>754</v>
      </c>
      <c r="U58" t="s">
        <v>1163</v>
      </c>
      <c r="V58" t="s">
        <v>767</v>
      </c>
      <c r="W58">
        <v>64</v>
      </c>
      <c r="X58" t="s">
        <v>768</v>
      </c>
      <c r="Y58">
        <v>2</v>
      </c>
      <c r="Z58" t="s">
        <v>1164</v>
      </c>
      <c r="AA58">
        <v>8</v>
      </c>
      <c r="AB58" t="s">
        <v>770</v>
      </c>
      <c r="AC58" t="s">
        <v>768</v>
      </c>
      <c r="AD58" t="s">
        <v>1165</v>
      </c>
      <c r="AE58">
        <v>32</v>
      </c>
      <c r="AF58" t="s">
        <v>770</v>
      </c>
      <c r="AG58" t="s">
        <v>768</v>
      </c>
      <c r="AT58" t="s">
        <v>772</v>
      </c>
      <c r="AU58" t="s">
        <v>1166</v>
      </c>
      <c r="AV58" t="str" cm="1">
        <f t="array" ref="AV58">IF(B58=_xlfn.XLOOKUP(B58,VmSpecs[[#All],[VM Name]],VmSpecs[[#All],[VM Name]],"Failed",0,1),"Pass","Fail")</f>
        <v>Fail</v>
      </c>
      <c r="AW58" t="str" cm="1">
        <f t="array" ref="AW58">IF(D58=_xlfn.XLOOKUP($B58,VmSpecs[[#All],[VM Name]],VmSpecs[[#All],[Virtual Machine Resource Groups]],"Failed",0,1),"Pass","Fail")</f>
        <v>Fail</v>
      </c>
      <c r="AX58" t="str" cm="1">
        <f t="array" ref="AX58">IF(_xlfn.IFS(E58="australiacentral","Australia Central 1",E58="australiaeast","Australia East",E58="australiasoutheast","Australia SouthEast")=_xlfn.XLOOKUP($B58,VmSpecs[[#All],[VM Name]],VmSpecs[[#All],[Region]],"Failed",0,1),"Pass","Fail")</f>
        <v>Fail</v>
      </c>
      <c r="AY58" t="str" cm="1">
        <f t="array" ref="AY58">IF(F58=_xlfn.XLOOKUP($B58,VmSpecs[[#All],[VM Name]],VmSpecs[[#All],[Instance size]],"Failed",0,1),"Pass","Fail")</f>
        <v>Fail</v>
      </c>
      <c r="AZ58" t="str" cm="1">
        <f t="array" ref="AZ58">IF(LOWER(H58)=_xlfn.XLOOKUP($B58,VmSpecs[[#All],[VM Name]],VmSpecs[[#All],[Availability Set Name]],"Failed",0,1),"Pass","Fail")</f>
        <v>Fail</v>
      </c>
      <c r="BA58" t="str" cm="1">
        <f t="array" ref="BA58">IF(J58=_xlfn.XLOOKUP($B58,VmSpecs[[#All],[VM Name]],VmSpecs[[#All],[Virtual Network]],"Failed",0,1),"Pass","Fail")</f>
        <v>Fail</v>
      </c>
      <c r="BB58" t="str" cm="1">
        <f t="array" ref="BB58">IF(K58=_xlfn.XLOOKUP($B58,VmSpecs[[#All],[VM Name]],VmSpecs[[#All],[Subnet]],"Failed",0,1),"Pass","Fail")</f>
        <v>Fail</v>
      </c>
      <c r="BC58" t="str" cm="1">
        <f t="array" ref="BC58">IF(M58=_xlfn.XLOOKUP($B58,VmSpecs[[#All],[VM Name]],VmSpecs[[#All],[IP]],"Failed",0,1),"Pass","Fail")</f>
        <v>Fail</v>
      </c>
      <c r="BD58" t="str" cm="1">
        <f t="array" ref="BD58">IF(N58=_xlfn.XLOOKUP($B58,VmSpecs[[#All],[VM Name]],VmSpecs[[#All],[Network Security Group]],"Failed",0,1),"Pass","Fail")</f>
        <v>Fail</v>
      </c>
      <c r="BE58" t="str" cm="1">
        <f t="array" ref="BE58">IF(O58=_xlfn.XLOOKUP($B58,VmSpecs[[#All],[VM Name]],VmSpecs[[#All],[Route Table Name]],"Failed",0,1),"Pass","Fail")</f>
        <v>Fail</v>
      </c>
      <c r="BF58" t="str" cm="1">
        <f t="array" ref="BF58">IF(P58=_xlfn.XLOOKUP($B58,VmSpecs[[#All],[VM Name]],VmSpecs[[#All],[Operating System]],"Failed",0,1),"Pass","Fail")</f>
        <v>Fail</v>
      </c>
      <c r="BG58" t="str" cm="1">
        <f t="array" ref="BG58">IF(R58=_xlfn.XLOOKUP($B58,VmSpecs[[#All],[VM Name]],VmSpecs[[#All],[NIC name]],"Failed",0,1),"Pass","Fail")</f>
        <v>Fail</v>
      </c>
      <c r="BH58" t="str" cm="1">
        <f t="array" ref="BH58">IF(U58=_xlfn.XLOOKUP($B58,VmSpecs[[#All],[VM Name]],VmSpecs[[#All],[OS Disk Name]],"Failed",0,1),"Pass","Fail")</f>
        <v>Fail</v>
      </c>
      <c r="BI58" t="str" cm="1">
        <f t="array" ref="BI58">IF(W58=_xlfn.XLOOKUP($B58,VmSpecs[[#All],[VM Name]],VmSpecs[[#All],[OS Disk Size]],"Failed",0,1),"Pass","Fail")</f>
        <v>Fail</v>
      </c>
      <c r="BJ58" t="str" cm="1">
        <f t="array" ref="BJ58">IF(LEFT(X58,4)=LEFT(_xlfn.XLOOKUP($B58,VmSpecs[[#All],[VM Name]],VmSpecs[[#All],[OS Disk Type (Standard SSD etc)]],"Failed",0,1),4),"Pass","Fail")</f>
        <v>Fail</v>
      </c>
      <c r="BK58" t="str" cm="1">
        <f t="array" ref="BK58">IF(Z58=_xlfn.XLOOKUP($B58,VmSpecs[[#All],[VM Name]],VmSpecs[[#All],[Data Disk1 Name]],"Failed",0,1),"Pass","Fail")</f>
        <v>Fail</v>
      </c>
      <c r="BL58" t="str" cm="1">
        <f t="array" ref="BL58">IF(AA58=_xlfn.XLOOKUP($B58,VmSpecs[[#All],[VM Name]],VmSpecs[[#All],[Data Disk1 Size]],"Failed",0,1),"Pass","Fail")</f>
        <v>Fail</v>
      </c>
      <c r="BM58" t="str" cm="1">
        <f t="array" ref="BM58">IF(LEFT(AC58,4)=LEFT(_xlfn.XLOOKUP($B58,VmSpecs[[#All],[VM Name]],VmSpecs[[#All],[Data Disk1 Type]],"Failed",0,1),4),"Pass","Fail")</f>
        <v>Fail</v>
      </c>
      <c r="BO58" t="e">
        <f>VLOOKUP('VM Specs'!K58,'As Built'!B:B,1,FALSE)</f>
        <v>#N/A</v>
      </c>
      <c r="BP58" t="str">
        <f>IF(ISNA(Table613[[#This Row],[VM Build Sheet Check]]),'VM Specs'!K58,"")</f>
        <v>vmpfbpf2hdr13</v>
      </c>
    </row>
    <row r="59" spans="1:68" ht="33" customHeight="1" x14ac:dyDescent="0.35">
      <c r="A59" t="str">
        <f>IF(COUNTIF(AsBuilt[[#This Row],[VM Check]:[Data Disk 1 Type Check]],"Fail")&gt;0,"Fail","Pass")</f>
        <v>Fail</v>
      </c>
      <c r="B59" t="s">
        <v>1167</v>
      </c>
      <c r="C59" t="s">
        <v>754</v>
      </c>
      <c r="D59" t="s">
        <v>755</v>
      </c>
      <c r="E59" t="s">
        <v>756</v>
      </c>
      <c r="F59" t="s">
        <v>801</v>
      </c>
      <c r="G59" t="s">
        <v>758</v>
      </c>
      <c r="H59" t="s">
        <v>1076</v>
      </c>
      <c r="J59" t="s">
        <v>760</v>
      </c>
      <c r="K59" t="s">
        <v>761</v>
      </c>
      <c r="L59" t="s">
        <v>754</v>
      </c>
      <c r="M59" t="s">
        <v>1168</v>
      </c>
      <c r="N59" t="s">
        <v>763</v>
      </c>
      <c r="O59" t="s">
        <v>764</v>
      </c>
      <c r="P59" t="s">
        <v>63</v>
      </c>
      <c r="R59" t="s">
        <v>1169</v>
      </c>
      <c r="S59" t="s">
        <v>754</v>
      </c>
      <c r="U59" t="s">
        <v>1170</v>
      </c>
      <c r="V59" t="s">
        <v>767</v>
      </c>
      <c r="W59">
        <v>64</v>
      </c>
      <c r="X59" t="s">
        <v>768</v>
      </c>
      <c r="Y59">
        <v>2</v>
      </c>
      <c r="Z59" t="s">
        <v>1171</v>
      </c>
      <c r="AA59">
        <v>8</v>
      </c>
      <c r="AB59" t="s">
        <v>770</v>
      </c>
      <c r="AC59" t="s">
        <v>768</v>
      </c>
      <c r="AD59" t="s">
        <v>1172</v>
      </c>
      <c r="AE59">
        <v>32</v>
      </c>
      <c r="AF59" t="s">
        <v>770</v>
      </c>
      <c r="AG59" t="s">
        <v>768</v>
      </c>
      <c r="AT59" t="s">
        <v>772</v>
      </c>
      <c r="AU59" t="s">
        <v>1173</v>
      </c>
      <c r="AV59" t="str" cm="1">
        <f t="array" ref="AV59">IF(B59=_xlfn.XLOOKUP(B59,VmSpecs[[#All],[VM Name]],VmSpecs[[#All],[VM Name]],"Failed",0,1),"Pass","Fail")</f>
        <v>Fail</v>
      </c>
      <c r="AW59" t="str" cm="1">
        <f t="array" ref="AW59">IF(D59=_xlfn.XLOOKUP($B59,VmSpecs[[#All],[VM Name]],VmSpecs[[#All],[Virtual Machine Resource Groups]],"Failed",0,1),"Pass","Fail")</f>
        <v>Fail</v>
      </c>
      <c r="AX59" t="str" cm="1">
        <f t="array" ref="AX59">IF(_xlfn.IFS(E59="australiacentral","Australia Central 1",E59="australiaeast","Australia East",E59="australiasoutheast","Australia SouthEast")=_xlfn.XLOOKUP($B59,VmSpecs[[#All],[VM Name]],VmSpecs[[#All],[Region]],"Failed",0,1),"Pass","Fail")</f>
        <v>Fail</v>
      </c>
      <c r="AY59" t="str" cm="1">
        <f t="array" ref="AY59">IF(F59=_xlfn.XLOOKUP($B59,VmSpecs[[#All],[VM Name]],VmSpecs[[#All],[Instance size]],"Failed",0,1),"Pass","Fail")</f>
        <v>Fail</v>
      </c>
      <c r="AZ59" t="str" cm="1">
        <f t="array" ref="AZ59">IF(LOWER(H59)=_xlfn.XLOOKUP($B59,VmSpecs[[#All],[VM Name]],VmSpecs[[#All],[Availability Set Name]],"Failed",0,1),"Pass","Fail")</f>
        <v>Fail</v>
      </c>
      <c r="BA59" t="str" cm="1">
        <f t="array" ref="BA59">IF(J59=_xlfn.XLOOKUP($B59,VmSpecs[[#All],[VM Name]],VmSpecs[[#All],[Virtual Network]],"Failed",0,1),"Pass","Fail")</f>
        <v>Fail</v>
      </c>
      <c r="BB59" t="str" cm="1">
        <f t="array" ref="BB59">IF(K59=_xlfn.XLOOKUP($B59,VmSpecs[[#All],[VM Name]],VmSpecs[[#All],[Subnet]],"Failed",0,1),"Pass","Fail")</f>
        <v>Fail</v>
      </c>
      <c r="BC59" t="str" cm="1">
        <f t="array" ref="BC59">IF(M59=_xlfn.XLOOKUP($B59,VmSpecs[[#All],[VM Name]],VmSpecs[[#All],[IP]],"Failed",0,1),"Pass","Fail")</f>
        <v>Fail</v>
      </c>
      <c r="BD59" t="str" cm="1">
        <f t="array" ref="BD59">IF(N59=_xlfn.XLOOKUP($B59,VmSpecs[[#All],[VM Name]],VmSpecs[[#All],[Network Security Group]],"Failed",0,1),"Pass","Fail")</f>
        <v>Fail</v>
      </c>
      <c r="BE59" t="str" cm="1">
        <f t="array" ref="BE59">IF(O59=_xlfn.XLOOKUP($B59,VmSpecs[[#All],[VM Name]],VmSpecs[[#All],[Route Table Name]],"Failed",0,1),"Pass","Fail")</f>
        <v>Fail</v>
      </c>
      <c r="BF59" t="str" cm="1">
        <f t="array" ref="BF59">IF(P59=_xlfn.XLOOKUP($B59,VmSpecs[[#All],[VM Name]],VmSpecs[[#All],[Operating System]],"Failed",0,1),"Pass","Fail")</f>
        <v>Fail</v>
      </c>
      <c r="BG59" t="str" cm="1">
        <f t="array" ref="BG59">IF(R59=_xlfn.XLOOKUP($B59,VmSpecs[[#All],[VM Name]],VmSpecs[[#All],[NIC name]],"Failed",0,1),"Pass","Fail")</f>
        <v>Fail</v>
      </c>
      <c r="BH59" t="str" cm="1">
        <f t="array" ref="BH59">IF(U59=_xlfn.XLOOKUP($B59,VmSpecs[[#All],[VM Name]],VmSpecs[[#All],[OS Disk Name]],"Failed",0,1),"Pass","Fail")</f>
        <v>Fail</v>
      </c>
      <c r="BI59" t="str" cm="1">
        <f t="array" ref="BI59">IF(W59=_xlfn.XLOOKUP($B59,VmSpecs[[#All],[VM Name]],VmSpecs[[#All],[OS Disk Size]],"Failed",0,1),"Pass","Fail")</f>
        <v>Fail</v>
      </c>
      <c r="BJ59" t="str" cm="1">
        <f t="array" ref="BJ59">IF(LEFT(X59,4)=LEFT(_xlfn.XLOOKUP($B59,VmSpecs[[#All],[VM Name]],VmSpecs[[#All],[OS Disk Type (Standard SSD etc)]],"Failed",0,1),4),"Pass","Fail")</f>
        <v>Fail</v>
      </c>
      <c r="BK59" t="str" cm="1">
        <f t="array" ref="BK59">IF(Z59=_xlfn.XLOOKUP($B59,VmSpecs[[#All],[VM Name]],VmSpecs[[#All],[Data Disk1 Name]],"Failed",0,1),"Pass","Fail")</f>
        <v>Fail</v>
      </c>
      <c r="BL59" t="str" cm="1">
        <f t="array" ref="BL59">IF(AA59=_xlfn.XLOOKUP($B59,VmSpecs[[#All],[VM Name]],VmSpecs[[#All],[Data Disk1 Size]],"Failed",0,1),"Pass","Fail")</f>
        <v>Fail</v>
      </c>
      <c r="BM59" t="str" cm="1">
        <f t="array" ref="BM59">IF(LEFT(AC59,4)=LEFT(_xlfn.XLOOKUP($B59,VmSpecs[[#All],[VM Name]],VmSpecs[[#All],[Data Disk1 Type]],"Failed",0,1),4),"Pass","Fail")</f>
        <v>Fail</v>
      </c>
      <c r="BO59" t="e">
        <f>VLOOKUP('VM Specs'!K59,'As Built'!B:B,1,FALSE)</f>
        <v>#N/A</v>
      </c>
      <c r="BP59" t="str">
        <f>IF(ISNA(Table613[[#This Row],[VM Build Sheet Check]]),'VM Specs'!K59,"")</f>
        <v>vmpfbpf2hdr14</v>
      </c>
    </row>
    <row r="60" spans="1:68" ht="33" customHeight="1" x14ac:dyDescent="0.35">
      <c r="A60" t="str">
        <f>IF(COUNTIF(AsBuilt[[#This Row],[VM Check]:[Data Disk 1 Type Check]],"Fail")&gt;0,"Fail","Pass")</f>
        <v>Fail</v>
      </c>
      <c r="B60" t="s">
        <v>1174</v>
      </c>
      <c r="C60" t="s">
        <v>754</v>
      </c>
      <c r="D60" t="s">
        <v>755</v>
      </c>
      <c r="E60" t="s">
        <v>756</v>
      </c>
      <c r="F60" t="s">
        <v>801</v>
      </c>
      <c r="G60" t="s">
        <v>758</v>
      </c>
      <c r="H60" t="s">
        <v>1076</v>
      </c>
      <c r="J60" t="s">
        <v>760</v>
      </c>
      <c r="K60" t="s">
        <v>761</v>
      </c>
      <c r="L60" t="s">
        <v>754</v>
      </c>
      <c r="M60" t="s">
        <v>1175</v>
      </c>
      <c r="N60" t="s">
        <v>763</v>
      </c>
      <c r="O60" t="s">
        <v>764</v>
      </c>
      <c r="P60" t="s">
        <v>63</v>
      </c>
      <c r="R60" t="s">
        <v>1176</v>
      </c>
      <c r="S60" t="s">
        <v>754</v>
      </c>
      <c r="U60" t="s">
        <v>1177</v>
      </c>
      <c r="V60" t="s">
        <v>767</v>
      </c>
      <c r="W60">
        <v>64</v>
      </c>
      <c r="X60" t="s">
        <v>768</v>
      </c>
      <c r="Y60">
        <v>2</v>
      </c>
      <c r="Z60" t="s">
        <v>1178</v>
      </c>
      <c r="AA60">
        <v>8</v>
      </c>
      <c r="AB60" t="s">
        <v>770</v>
      </c>
      <c r="AC60" t="s">
        <v>768</v>
      </c>
      <c r="AD60" t="s">
        <v>1179</v>
      </c>
      <c r="AE60">
        <v>32</v>
      </c>
      <c r="AF60" t="s">
        <v>770</v>
      </c>
      <c r="AG60" t="s">
        <v>768</v>
      </c>
      <c r="AT60" t="s">
        <v>772</v>
      </c>
      <c r="AU60" t="s">
        <v>1180</v>
      </c>
      <c r="AV60" t="str" cm="1">
        <f t="array" ref="AV60">IF(B60=_xlfn.XLOOKUP(B60,VmSpecs[[#All],[VM Name]],VmSpecs[[#All],[VM Name]],"Failed",0,1),"Pass","Fail")</f>
        <v>Fail</v>
      </c>
      <c r="AW60" t="str" cm="1">
        <f t="array" ref="AW60">IF(D60=_xlfn.XLOOKUP($B60,VmSpecs[[#All],[VM Name]],VmSpecs[[#All],[Virtual Machine Resource Groups]],"Failed",0,1),"Pass","Fail")</f>
        <v>Fail</v>
      </c>
      <c r="AX60" t="str" cm="1">
        <f t="array" ref="AX60">IF(_xlfn.IFS(E60="australiacentral","Australia Central 1",E60="australiaeast","Australia East",E60="australiasoutheast","Australia SouthEast")=_xlfn.XLOOKUP($B60,VmSpecs[[#All],[VM Name]],VmSpecs[[#All],[Region]],"Failed",0,1),"Pass","Fail")</f>
        <v>Fail</v>
      </c>
      <c r="AY60" t="str" cm="1">
        <f t="array" ref="AY60">IF(F60=_xlfn.XLOOKUP($B60,VmSpecs[[#All],[VM Name]],VmSpecs[[#All],[Instance size]],"Failed",0,1),"Pass","Fail")</f>
        <v>Fail</v>
      </c>
      <c r="AZ60" t="str" cm="1">
        <f t="array" ref="AZ60">IF(LOWER(H60)=_xlfn.XLOOKUP($B60,VmSpecs[[#All],[VM Name]],VmSpecs[[#All],[Availability Set Name]],"Failed",0,1),"Pass","Fail")</f>
        <v>Fail</v>
      </c>
      <c r="BA60" t="str" cm="1">
        <f t="array" ref="BA60">IF(J60=_xlfn.XLOOKUP($B60,VmSpecs[[#All],[VM Name]],VmSpecs[[#All],[Virtual Network]],"Failed",0,1),"Pass","Fail")</f>
        <v>Fail</v>
      </c>
      <c r="BB60" t="str" cm="1">
        <f t="array" ref="BB60">IF(K60=_xlfn.XLOOKUP($B60,VmSpecs[[#All],[VM Name]],VmSpecs[[#All],[Subnet]],"Failed",0,1),"Pass","Fail")</f>
        <v>Fail</v>
      </c>
      <c r="BC60" t="str" cm="1">
        <f t="array" ref="BC60">IF(M60=_xlfn.XLOOKUP($B60,VmSpecs[[#All],[VM Name]],VmSpecs[[#All],[IP]],"Failed",0,1),"Pass","Fail")</f>
        <v>Fail</v>
      </c>
      <c r="BD60" t="str" cm="1">
        <f t="array" ref="BD60">IF(N60=_xlfn.XLOOKUP($B60,VmSpecs[[#All],[VM Name]],VmSpecs[[#All],[Network Security Group]],"Failed",0,1),"Pass","Fail")</f>
        <v>Fail</v>
      </c>
      <c r="BE60" t="str" cm="1">
        <f t="array" ref="BE60">IF(O60=_xlfn.XLOOKUP($B60,VmSpecs[[#All],[VM Name]],VmSpecs[[#All],[Route Table Name]],"Failed",0,1),"Pass","Fail")</f>
        <v>Fail</v>
      </c>
      <c r="BF60" t="str" cm="1">
        <f t="array" ref="BF60">IF(P60=_xlfn.XLOOKUP($B60,VmSpecs[[#All],[VM Name]],VmSpecs[[#All],[Operating System]],"Failed",0,1),"Pass","Fail")</f>
        <v>Fail</v>
      </c>
      <c r="BG60" t="str" cm="1">
        <f t="array" ref="BG60">IF(R60=_xlfn.XLOOKUP($B60,VmSpecs[[#All],[VM Name]],VmSpecs[[#All],[NIC name]],"Failed",0,1),"Pass","Fail")</f>
        <v>Fail</v>
      </c>
      <c r="BH60" t="str" cm="1">
        <f t="array" ref="BH60">IF(U60=_xlfn.XLOOKUP($B60,VmSpecs[[#All],[VM Name]],VmSpecs[[#All],[OS Disk Name]],"Failed",0,1),"Pass","Fail")</f>
        <v>Fail</v>
      </c>
      <c r="BI60" t="str" cm="1">
        <f t="array" ref="BI60">IF(W60=_xlfn.XLOOKUP($B60,VmSpecs[[#All],[VM Name]],VmSpecs[[#All],[OS Disk Size]],"Failed",0,1),"Pass","Fail")</f>
        <v>Fail</v>
      </c>
      <c r="BJ60" t="str" cm="1">
        <f t="array" ref="BJ60">IF(LEFT(X60,4)=LEFT(_xlfn.XLOOKUP($B60,VmSpecs[[#All],[VM Name]],VmSpecs[[#All],[OS Disk Type (Standard SSD etc)]],"Failed",0,1),4),"Pass","Fail")</f>
        <v>Fail</v>
      </c>
      <c r="BK60" t="str" cm="1">
        <f t="array" ref="BK60">IF(Z60=_xlfn.XLOOKUP($B60,VmSpecs[[#All],[VM Name]],VmSpecs[[#All],[Data Disk1 Name]],"Failed",0,1),"Pass","Fail")</f>
        <v>Fail</v>
      </c>
      <c r="BL60" t="str" cm="1">
        <f t="array" ref="BL60">IF(AA60=_xlfn.XLOOKUP($B60,VmSpecs[[#All],[VM Name]],VmSpecs[[#All],[Data Disk1 Size]],"Failed",0,1),"Pass","Fail")</f>
        <v>Fail</v>
      </c>
      <c r="BM60" t="str" cm="1">
        <f t="array" ref="BM60">IF(LEFT(AC60,4)=LEFT(_xlfn.XLOOKUP($B60,VmSpecs[[#All],[VM Name]],VmSpecs[[#All],[Data Disk1 Type]],"Failed",0,1),4),"Pass","Fail")</f>
        <v>Fail</v>
      </c>
      <c r="BO60" t="e">
        <f>VLOOKUP('VM Specs'!K60,'As Built'!B:B,1,FALSE)</f>
        <v>#N/A</v>
      </c>
      <c r="BP60" t="str">
        <f>IF(ISNA(Table613[[#This Row],[VM Build Sheet Check]]),'VM Specs'!K60,"")</f>
        <v>vmpfbpf2hdr15</v>
      </c>
    </row>
    <row r="61" spans="1:68" ht="33" customHeight="1" x14ac:dyDescent="0.35">
      <c r="A61" t="str">
        <f>IF(COUNTIF(AsBuilt[[#This Row],[VM Check]:[Data Disk 1 Type Check]],"Fail")&gt;0,"Fail","Pass")</f>
        <v>Fail</v>
      </c>
      <c r="B61" t="s">
        <v>1181</v>
      </c>
      <c r="C61" t="s">
        <v>754</v>
      </c>
      <c r="D61" t="s">
        <v>755</v>
      </c>
      <c r="E61" t="s">
        <v>756</v>
      </c>
      <c r="F61" t="s">
        <v>801</v>
      </c>
      <c r="G61" t="s">
        <v>758</v>
      </c>
      <c r="H61" t="s">
        <v>1076</v>
      </c>
      <c r="J61" t="s">
        <v>760</v>
      </c>
      <c r="K61" t="s">
        <v>761</v>
      </c>
      <c r="L61" t="s">
        <v>754</v>
      </c>
      <c r="M61" t="s">
        <v>1182</v>
      </c>
      <c r="N61" t="s">
        <v>763</v>
      </c>
      <c r="O61" t="s">
        <v>764</v>
      </c>
      <c r="P61" t="s">
        <v>63</v>
      </c>
      <c r="R61" t="s">
        <v>1183</v>
      </c>
      <c r="S61" t="s">
        <v>754</v>
      </c>
      <c r="U61" t="s">
        <v>1184</v>
      </c>
      <c r="V61" t="s">
        <v>767</v>
      </c>
      <c r="W61">
        <v>64</v>
      </c>
      <c r="X61" t="s">
        <v>768</v>
      </c>
      <c r="Y61">
        <v>2</v>
      </c>
      <c r="Z61" t="s">
        <v>1185</v>
      </c>
      <c r="AA61">
        <v>8</v>
      </c>
      <c r="AB61" t="s">
        <v>770</v>
      </c>
      <c r="AC61" t="s">
        <v>768</v>
      </c>
      <c r="AD61" t="s">
        <v>1186</v>
      </c>
      <c r="AE61">
        <v>32</v>
      </c>
      <c r="AF61" t="s">
        <v>770</v>
      </c>
      <c r="AG61" t="s">
        <v>768</v>
      </c>
      <c r="AT61" t="s">
        <v>772</v>
      </c>
      <c r="AU61" t="s">
        <v>1187</v>
      </c>
      <c r="AV61" t="str" cm="1">
        <f t="array" ref="AV61">IF(B61=_xlfn.XLOOKUP(B61,VmSpecs[[#All],[VM Name]],VmSpecs[[#All],[VM Name]],"Failed",0,1),"Pass","Fail")</f>
        <v>Fail</v>
      </c>
      <c r="AW61" t="str" cm="1">
        <f t="array" ref="AW61">IF(D61=_xlfn.XLOOKUP($B61,VmSpecs[[#All],[VM Name]],VmSpecs[[#All],[Virtual Machine Resource Groups]],"Failed",0,1),"Pass","Fail")</f>
        <v>Fail</v>
      </c>
      <c r="AX61" t="str" cm="1">
        <f t="array" ref="AX61">IF(_xlfn.IFS(E61="australiacentral","Australia Central 1",E61="australiaeast","Australia East",E61="australiasoutheast","Australia SouthEast")=_xlfn.XLOOKUP($B61,VmSpecs[[#All],[VM Name]],VmSpecs[[#All],[Region]],"Failed",0,1),"Pass","Fail")</f>
        <v>Fail</v>
      </c>
      <c r="AY61" t="str" cm="1">
        <f t="array" ref="AY61">IF(F61=_xlfn.XLOOKUP($B61,VmSpecs[[#All],[VM Name]],VmSpecs[[#All],[Instance size]],"Failed",0,1),"Pass","Fail")</f>
        <v>Fail</v>
      </c>
      <c r="AZ61" t="str" cm="1">
        <f t="array" ref="AZ61">IF(LOWER(H61)=_xlfn.XLOOKUP($B61,VmSpecs[[#All],[VM Name]],VmSpecs[[#All],[Availability Set Name]],"Failed",0,1),"Pass","Fail")</f>
        <v>Fail</v>
      </c>
      <c r="BA61" t="str" cm="1">
        <f t="array" ref="BA61">IF(J61=_xlfn.XLOOKUP($B61,VmSpecs[[#All],[VM Name]],VmSpecs[[#All],[Virtual Network]],"Failed",0,1),"Pass","Fail")</f>
        <v>Fail</v>
      </c>
      <c r="BB61" t="str" cm="1">
        <f t="array" ref="BB61">IF(K61=_xlfn.XLOOKUP($B61,VmSpecs[[#All],[VM Name]],VmSpecs[[#All],[Subnet]],"Failed",0,1),"Pass","Fail")</f>
        <v>Fail</v>
      </c>
      <c r="BC61" t="str" cm="1">
        <f t="array" ref="BC61">IF(M61=_xlfn.XLOOKUP($B61,VmSpecs[[#All],[VM Name]],VmSpecs[[#All],[IP]],"Failed",0,1),"Pass","Fail")</f>
        <v>Fail</v>
      </c>
      <c r="BD61" t="str" cm="1">
        <f t="array" ref="BD61">IF(N61=_xlfn.XLOOKUP($B61,VmSpecs[[#All],[VM Name]],VmSpecs[[#All],[Network Security Group]],"Failed",0,1),"Pass","Fail")</f>
        <v>Fail</v>
      </c>
      <c r="BE61" t="str" cm="1">
        <f t="array" ref="BE61">IF(O61=_xlfn.XLOOKUP($B61,VmSpecs[[#All],[VM Name]],VmSpecs[[#All],[Route Table Name]],"Failed",0,1),"Pass","Fail")</f>
        <v>Fail</v>
      </c>
      <c r="BF61" t="str" cm="1">
        <f t="array" ref="BF61">IF(P61=_xlfn.XLOOKUP($B61,VmSpecs[[#All],[VM Name]],VmSpecs[[#All],[Operating System]],"Failed",0,1),"Pass","Fail")</f>
        <v>Fail</v>
      </c>
      <c r="BG61" t="str" cm="1">
        <f t="array" ref="BG61">IF(R61=_xlfn.XLOOKUP($B61,VmSpecs[[#All],[VM Name]],VmSpecs[[#All],[NIC name]],"Failed",0,1),"Pass","Fail")</f>
        <v>Fail</v>
      </c>
      <c r="BH61" t="str" cm="1">
        <f t="array" ref="BH61">IF(U61=_xlfn.XLOOKUP($B61,VmSpecs[[#All],[VM Name]],VmSpecs[[#All],[OS Disk Name]],"Failed",0,1),"Pass","Fail")</f>
        <v>Fail</v>
      </c>
      <c r="BI61" t="str" cm="1">
        <f t="array" ref="BI61">IF(W61=_xlfn.XLOOKUP($B61,VmSpecs[[#All],[VM Name]],VmSpecs[[#All],[OS Disk Size]],"Failed",0,1),"Pass","Fail")</f>
        <v>Fail</v>
      </c>
      <c r="BJ61" t="str" cm="1">
        <f t="array" ref="BJ61">IF(LEFT(X61,4)=LEFT(_xlfn.XLOOKUP($B61,VmSpecs[[#All],[VM Name]],VmSpecs[[#All],[OS Disk Type (Standard SSD etc)]],"Failed",0,1),4),"Pass","Fail")</f>
        <v>Fail</v>
      </c>
      <c r="BK61" t="str" cm="1">
        <f t="array" ref="BK61">IF(Z61=_xlfn.XLOOKUP($B61,VmSpecs[[#All],[VM Name]],VmSpecs[[#All],[Data Disk1 Name]],"Failed",0,1),"Pass","Fail")</f>
        <v>Fail</v>
      </c>
      <c r="BL61" t="str" cm="1">
        <f t="array" ref="BL61">IF(AA61=_xlfn.XLOOKUP($B61,VmSpecs[[#All],[VM Name]],VmSpecs[[#All],[Data Disk1 Size]],"Failed",0,1),"Pass","Fail")</f>
        <v>Fail</v>
      </c>
      <c r="BM61" t="str" cm="1">
        <f t="array" ref="BM61">IF(LEFT(AC61,4)=LEFT(_xlfn.XLOOKUP($B61,VmSpecs[[#All],[VM Name]],VmSpecs[[#All],[Data Disk1 Type]],"Failed",0,1),4),"Pass","Fail")</f>
        <v>Fail</v>
      </c>
      <c r="BO61" t="e">
        <f>VLOOKUP('VM Specs'!K61,'As Built'!B:B,1,FALSE)</f>
        <v>#N/A</v>
      </c>
      <c r="BP61" t="str">
        <f>IF(ISNA(Table613[[#This Row],[VM Build Sheet Check]]),'VM Specs'!K61,"")</f>
        <v>vmpfbpf2hdr16</v>
      </c>
    </row>
    <row r="62" spans="1:68" ht="33" customHeight="1" x14ac:dyDescent="0.35">
      <c r="A62" t="str">
        <f>IF(COUNTIF(AsBuilt[[#This Row],[VM Check]:[Data Disk 1 Type Check]],"Fail")&gt;0,"Fail","Pass")</f>
        <v>Fail</v>
      </c>
      <c r="B62" t="s">
        <v>1188</v>
      </c>
      <c r="C62" t="s">
        <v>754</v>
      </c>
      <c r="D62" t="s">
        <v>755</v>
      </c>
      <c r="E62" t="s">
        <v>756</v>
      </c>
      <c r="F62" t="s">
        <v>801</v>
      </c>
      <c r="G62" t="s">
        <v>758</v>
      </c>
      <c r="H62" t="s">
        <v>1076</v>
      </c>
      <c r="J62" t="s">
        <v>760</v>
      </c>
      <c r="K62" t="s">
        <v>761</v>
      </c>
      <c r="L62" t="s">
        <v>754</v>
      </c>
      <c r="M62" t="s">
        <v>1189</v>
      </c>
      <c r="N62" t="s">
        <v>763</v>
      </c>
      <c r="O62" t="s">
        <v>764</v>
      </c>
      <c r="P62" t="s">
        <v>63</v>
      </c>
      <c r="R62" t="s">
        <v>1190</v>
      </c>
      <c r="S62" t="s">
        <v>754</v>
      </c>
      <c r="U62" t="s">
        <v>1191</v>
      </c>
      <c r="V62" t="s">
        <v>767</v>
      </c>
      <c r="W62">
        <v>64</v>
      </c>
      <c r="X62" t="s">
        <v>768</v>
      </c>
      <c r="Y62">
        <v>2</v>
      </c>
      <c r="Z62" t="s">
        <v>1192</v>
      </c>
      <c r="AA62">
        <v>8</v>
      </c>
      <c r="AB62" t="s">
        <v>770</v>
      </c>
      <c r="AC62" t="s">
        <v>768</v>
      </c>
      <c r="AD62" t="s">
        <v>1193</v>
      </c>
      <c r="AE62">
        <v>32</v>
      </c>
      <c r="AF62" t="s">
        <v>770</v>
      </c>
      <c r="AG62" t="s">
        <v>768</v>
      </c>
      <c r="AT62" t="s">
        <v>772</v>
      </c>
      <c r="AU62" t="s">
        <v>1187</v>
      </c>
      <c r="AV62" t="str" cm="1">
        <f t="array" ref="AV62">IF(B62=_xlfn.XLOOKUP(B62,VmSpecs[[#All],[VM Name]],VmSpecs[[#All],[VM Name]],"Failed",0,1),"Pass","Fail")</f>
        <v>Fail</v>
      </c>
      <c r="AW62" t="str" cm="1">
        <f t="array" ref="AW62">IF(D62=_xlfn.XLOOKUP($B62,VmSpecs[[#All],[VM Name]],VmSpecs[[#All],[Virtual Machine Resource Groups]],"Failed",0,1),"Pass","Fail")</f>
        <v>Fail</v>
      </c>
      <c r="AX62" t="str" cm="1">
        <f t="array" ref="AX62">IF(_xlfn.IFS(E62="australiacentral","Australia Central 1",E62="australiaeast","Australia East",E62="australiasoutheast","Australia SouthEast")=_xlfn.XLOOKUP($B62,VmSpecs[[#All],[VM Name]],VmSpecs[[#All],[Region]],"Failed",0,1),"Pass","Fail")</f>
        <v>Fail</v>
      </c>
      <c r="AY62" t="str" cm="1">
        <f t="array" ref="AY62">IF(F62=_xlfn.XLOOKUP($B62,VmSpecs[[#All],[VM Name]],VmSpecs[[#All],[Instance size]],"Failed",0,1),"Pass","Fail")</f>
        <v>Fail</v>
      </c>
      <c r="AZ62" t="str" cm="1">
        <f t="array" ref="AZ62">IF(LOWER(H62)=_xlfn.XLOOKUP($B62,VmSpecs[[#All],[VM Name]],VmSpecs[[#All],[Availability Set Name]],"Failed",0,1),"Pass","Fail")</f>
        <v>Fail</v>
      </c>
      <c r="BA62" t="str" cm="1">
        <f t="array" ref="BA62">IF(J62=_xlfn.XLOOKUP($B62,VmSpecs[[#All],[VM Name]],VmSpecs[[#All],[Virtual Network]],"Failed",0,1),"Pass","Fail")</f>
        <v>Fail</v>
      </c>
      <c r="BB62" t="str" cm="1">
        <f t="array" ref="BB62">IF(K62=_xlfn.XLOOKUP($B62,VmSpecs[[#All],[VM Name]],VmSpecs[[#All],[Subnet]],"Failed",0,1),"Pass","Fail")</f>
        <v>Fail</v>
      </c>
      <c r="BC62" t="str" cm="1">
        <f t="array" ref="BC62">IF(M62=_xlfn.XLOOKUP($B62,VmSpecs[[#All],[VM Name]],VmSpecs[[#All],[IP]],"Failed",0,1),"Pass","Fail")</f>
        <v>Fail</v>
      </c>
      <c r="BD62" t="str" cm="1">
        <f t="array" ref="BD62">IF(N62=_xlfn.XLOOKUP($B62,VmSpecs[[#All],[VM Name]],VmSpecs[[#All],[Network Security Group]],"Failed",0,1),"Pass","Fail")</f>
        <v>Fail</v>
      </c>
      <c r="BE62" t="str" cm="1">
        <f t="array" ref="BE62">IF(O62=_xlfn.XLOOKUP($B62,VmSpecs[[#All],[VM Name]],VmSpecs[[#All],[Route Table Name]],"Failed",0,1),"Pass","Fail")</f>
        <v>Fail</v>
      </c>
      <c r="BF62" t="str" cm="1">
        <f t="array" ref="BF62">IF(P62=_xlfn.XLOOKUP($B62,VmSpecs[[#All],[VM Name]],VmSpecs[[#All],[Operating System]],"Failed",0,1),"Pass","Fail")</f>
        <v>Fail</v>
      </c>
      <c r="BG62" t="str" cm="1">
        <f t="array" ref="BG62">IF(R62=_xlfn.XLOOKUP($B62,VmSpecs[[#All],[VM Name]],VmSpecs[[#All],[NIC name]],"Failed",0,1),"Pass","Fail")</f>
        <v>Fail</v>
      </c>
      <c r="BH62" t="str" cm="1">
        <f t="array" ref="BH62">IF(U62=_xlfn.XLOOKUP($B62,VmSpecs[[#All],[VM Name]],VmSpecs[[#All],[OS Disk Name]],"Failed",0,1),"Pass","Fail")</f>
        <v>Fail</v>
      </c>
      <c r="BI62" t="str" cm="1">
        <f t="array" ref="BI62">IF(W62=_xlfn.XLOOKUP($B62,VmSpecs[[#All],[VM Name]],VmSpecs[[#All],[OS Disk Size]],"Failed",0,1),"Pass","Fail")</f>
        <v>Fail</v>
      </c>
      <c r="BJ62" t="str" cm="1">
        <f t="array" ref="BJ62">IF(LEFT(X62,4)=LEFT(_xlfn.XLOOKUP($B62,VmSpecs[[#All],[VM Name]],VmSpecs[[#All],[OS Disk Type (Standard SSD etc)]],"Failed",0,1),4),"Pass","Fail")</f>
        <v>Fail</v>
      </c>
      <c r="BK62" t="str" cm="1">
        <f t="array" ref="BK62">IF(Z62=_xlfn.XLOOKUP($B62,VmSpecs[[#All],[VM Name]],VmSpecs[[#All],[Data Disk1 Name]],"Failed",0,1),"Pass","Fail")</f>
        <v>Fail</v>
      </c>
      <c r="BL62" t="str" cm="1">
        <f t="array" ref="BL62">IF(AA62=_xlfn.XLOOKUP($B62,VmSpecs[[#All],[VM Name]],VmSpecs[[#All],[Data Disk1 Size]],"Failed",0,1),"Pass","Fail")</f>
        <v>Fail</v>
      </c>
      <c r="BM62" t="str" cm="1">
        <f t="array" ref="BM62">IF(LEFT(AC62,4)=LEFT(_xlfn.XLOOKUP($B62,VmSpecs[[#All],[VM Name]],VmSpecs[[#All],[Data Disk1 Type]],"Failed",0,1),4),"Pass","Fail")</f>
        <v>Fail</v>
      </c>
      <c r="BO62" t="e">
        <f>VLOOKUP('VM Specs'!K62,'As Built'!B:B,1,FALSE)</f>
        <v>#N/A</v>
      </c>
      <c r="BP62" t="str">
        <f>IF(ISNA(Table613[[#This Row],[VM Build Sheet Check]]),'VM Specs'!K62,"")</f>
        <v>vmpfbpf2hdr17</v>
      </c>
    </row>
    <row r="63" spans="1:68" ht="33" customHeight="1" x14ac:dyDescent="0.35">
      <c r="A63" t="str">
        <f>IF(COUNTIF(AsBuilt[[#This Row],[VM Check]:[Data Disk 1 Type Check]],"Fail")&gt;0,"Fail","Pass")</f>
        <v>Fail</v>
      </c>
      <c r="B63" t="s">
        <v>1194</v>
      </c>
      <c r="C63" t="s">
        <v>754</v>
      </c>
      <c r="D63" t="s">
        <v>755</v>
      </c>
      <c r="E63" t="s">
        <v>756</v>
      </c>
      <c r="F63" t="s">
        <v>801</v>
      </c>
      <c r="G63" t="s">
        <v>758</v>
      </c>
      <c r="H63" t="s">
        <v>1076</v>
      </c>
      <c r="J63" t="s">
        <v>760</v>
      </c>
      <c r="K63" t="s">
        <v>761</v>
      </c>
      <c r="L63" t="s">
        <v>754</v>
      </c>
      <c r="M63" t="s">
        <v>1195</v>
      </c>
      <c r="N63" t="s">
        <v>763</v>
      </c>
      <c r="O63" t="s">
        <v>764</v>
      </c>
      <c r="P63" t="s">
        <v>63</v>
      </c>
      <c r="R63" t="s">
        <v>1196</v>
      </c>
      <c r="S63" t="s">
        <v>754</v>
      </c>
      <c r="U63" t="s">
        <v>1197</v>
      </c>
      <c r="V63" t="s">
        <v>767</v>
      </c>
      <c r="W63">
        <v>64</v>
      </c>
      <c r="X63" t="s">
        <v>768</v>
      </c>
      <c r="Y63">
        <v>2</v>
      </c>
      <c r="Z63" t="s">
        <v>1198</v>
      </c>
      <c r="AA63">
        <v>8</v>
      </c>
      <c r="AB63" t="s">
        <v>770</v>
      </c>
      <c r="AC63" t="s">
        <v>768</v>
      </c>
      <c r="AD63" t="s">
        <v>1199</v>
      </c>
      <c r="AE63">
        <v>32</v>
      </c>
      <c r="AF63" t="s">
        <v>770</v>
      </c>
      <c r="AG63" t="s">
        <v>768</v>
      </c>
      <c r="AT63" t="s">
        <v>772</v>
      </c>
      <c r="AU63" t="s">
        <v>1200</v>
      </c>
      <c r="AV63" t="str" cm="1">
        <f t="array" ref="AV63">IF(B63=_xlfn.XLOOKUP(B63,VmSpecs[[#All],[VM Name]],VmSpecs[[#All],[VM Name]],"Failed",0,1),"Pass","Fail")</f>
        <v>Fail</v>
      </c>
      <c r="AW63" t="str" cm="1">
        <f t="array" ref="AW63">IF(D63=_xlfn.XLOOKUP($B63,VmSpecs[[#All],[VM Name]],VmSpecs[[#All],[Virtual Machine Resource Groups]],"Failed",0,1),"Pass","Fail")</f>
        <v>Fail</v>
      </c>
      <c r="AX63" t="str" cm="1">
        <f t="array" ref="AX63">IF(_xlfn.IFS(E63="australiacentral","Australia Central 1",E63="australiaeast","Australia East",E63="australiasoutheast","Australia SouthEast")=_xlfn.XLOOKUP($B63,VmSpecs[[#All],[VM Name]],VmSpecs[[#All],[Region]],"Failed",0,1),"Pass","Fail")</f>
        <v>Fail</v>
      </c>
      <c r="AY63" t="str" cm="1">
        <f t="array" ref="AY63">IF(F63=_xlfn.XLOOKUP($B63,VmSpecs[[#All],[VM Name]],VmSpecs[[#All],[Instance size]],"Failed",0,1),"Pass","Fail")</f>
        <v>Fail</v>
      </c>
      <c r="AZ63" t="str" cm="1">
        <f t="array" ref="AZ63">IF(LOWER(H63)=_xlfn.XLOOKUP($B63,VmSpecs[[#All],[VM Name]],VmSpecs[[#All],[Availability Set Name]],"Failed",0,1),"Pass","Fail")</f>
        <v>Fail</v>
      </c>
      <c r="BA63" t="str" cm="1">
        <f t="array" ref="BA63">IF(J63=_xlfn.XLOOKUP($B63,VmSpecs[[#All],[VM Name]],VmSpecs[[#All],[Virtual Network]],"Failed",0,1),"Pass","Fail")</f>
        <v>Fail</v>
      </c>
      <c r="BB63" t="str" cm="1">
        <f t="array" ref="BB63">IF(K63=_xlfn.XLOOKUP($B63,VmSpecs[[#All],[VM Name]],VmSpecs[[#All],[Subnet]],"Failed",0,1),"Pass","Fail")</f>
        <v>Fail</v>
      </c>
      <c r="BC63" t="str" cm="1">
        <f t="array" ref="BC63">IF(M63=_xlfn.XLOOKUP($B63,VmSpecs[[#All],[VM Name]],VmSpecs[[#All],[IP]],"Failed",0,1),"Pass","Fail")</f>
        <v>Fail</v>
      </c>
      <c r="BD63" t="str" cm="1">
        <f t="array" ref="BD63">IF(N63=_xlfn.XLOOKUP($B63,VmSpecs[[#All],[VM Name]],VmSpecs[[#All],[Network Security Group]],"Failed",0,1),"Pass","Fail")</f>
        <v>Fail</v>
      </c>
      <c r="BE63" t="str" cm="1">
        <f t="array" ref="BE63">IF(O63=_xlfn.XLOOKUP($B63,VmSpecs[[#All],[VM Name]],VmSpecs[[#All],[Route Table Name]],"Failed",0,1),"Pass","Fail")</f>
        <v>Fail</v>
      </c>
      <c r="BF63" t="str" cm="1">
        <f t="array" ref="BF63">IF(P63=_xlfn.XLOOKUP($B63,VmSpecs[[#All],[VM Name]],VmSpecs[[#All],[Operating System]],"Failed",0,1),"Pass","Fail")</f>
        <v>Fail</v>
      </c>
      <c r="BG63" t="str" cm="1">
        <f t="array" ref="BG63">IF(R63=_xlfn.XLOOKUP($B63,VmSpecs[[#All],[VM Name]],VmSpecs[[#All],[NIC name]],"Failed",0,1),"Pass","Fail")</f>
        <v>Fail</v>
      </c>
      <c r="BH63" t="str" cm="1">
        <f t="array" ref="BH63">IF(U63=_xlfn.XLOOKUP($B63,VmSpecs[[#All],[VM Name]],VmSpecs[[#All],[OS Disk Name]],"Failed",0,1),"Pass","Fail")</f>
        <v>Fail</v>
      </c>
      <c r="BI63" t="str" cm="1">
        <f t="array" ref="BI63">IF(W63=_xlfn.XLOOKUP($B63,VmSpecs[[#All],[VM Name]],VmSpecs[[#All],[OS Disk Size]],"Failed",0,1),"Pass","Fail")</f>
        <v>Fail</v>
      </c>
      <c r="BJ63" t="str" cm="1">
        <f t="array" ref="BJ63">IF(LEFT(X63,4)=LEFT(_xlfn.XLOOKUP($B63,VmSpecs[[#All],[VM Name]],VmSpecs[[#All],[OS Disk Type (Standard SSD etc)]],"Failed",0,1),4),"Pass","Fail")</f>
        <v>Fail</v>
      </c>
      <c r="BK63" t="str" cm="1">
        <f t="array" ref="BK63">IF(Z63=_xlfn.XLOOKUP($B63,VmSpecs[[#All],[VM Name]],VmSpecs[[#All],[Data Disk1 Name]],"Failed",0,1),"Pass","Fail")</f>
        <v>Fail</v>
      </c>
      <c r="BL63" t="str" cm="1">
        <f t="array" ref="BL63">IF(AA63=_xlfn.XLOOKUP($B63,VmSpecs[[#All],[VM Name]],VmSpecs[[#All],[Data Disk1 Size]],"Failed",0,1),"Pass","Fail")</f>
        <v>Fail</v>
      </c>
      <c r="BM63" t="str" cm="1">
        <f t="array" ref="BM63">IF(LEFT(AC63,4)=LEFT(_xlfn.XLOOKUP($B63,VmSpecs[[#All],[VM Name]],VmSpecs[[#All],[Data Disk1 Type]],"Failed",0,1),4),"Pass","Fail")</f>
        <v>Fail</v>
      </c>
      <c r="BO63" t="e">
        <f>VLOOKUP('VM Specs'!K63,'As Built'!B:B,1,FALSE)</f>
        <v>#N/A</v>
      </c>
      <c r="BP63" t="str">
        <f>IF(ISNA(Table613[[#This Row],[VM Build Sheet Check]]),'VM Specs'!K63,"")</f>
        <v>vmpfbpf2hdr18</v>
      </c>
    </row>
    <row r="64" spans="1:68" ht="33" customHeight="1" x14ac:dyDescent="0.35">
      <c r="A64" t="str">
        <f>IF(COUNTIF(AsBuilt[[#This Row],[VM Check]:[Data Disk 1 Type Check]],"Fail")&gt;0,"Fail","Pass")</f>
        <v>Fail</v>
      </c>
      <c r="B64" t="s">
        <v>1201</v>
      </c>
      <c r="C64" t="s">
        <v>754</v>
      </c>
      <c r="D64" t="s">
        <v>755</v>
      </c>
      <c r="E64" t="s">
        <v>756</v>
      </c>
      <c r="F64" t="s">
        <v>801</v>
      </c>
      <c r="G64" t="s">
        <v>758</v>
      </c>
      <c r="H64" t="s">
        <v>1076</v>
      </c>
      <c r="J64" t="s">
        <v>760</v>
      </c>
      <c r="K64" t="s">
        <v>761</v>
      </c>
      <c r="L64" t="s">
        <v>754</v>
      </c>
      <c r="M64" t="s">
        <v>1202</v>
      </c>
      <c r="N64" t="s">
        <v>763</v>
      </c>
      <c r="O64" t="s">
        <v>764</v>
      </c>
      <c r="P64" t="s">
        <v>63</v>
      </c>
      <c r="R64" t="s">
        <v>1203</v>
      </c>
      <c r="S64" t="s">
        <v>754</v>
      </c>
      <c r="U64" t="s">
        <v>1204</v>
      </c>
      <c r="V64" t="s">
        <v>767</v>
      </c>
      <c r="W64">
        <v>64</v>
      </c>
      <c r="X64" t="s">
        <v>768</v>
      </c>
      <c r="Y64">
        <v>2</v>
      </c>
      <c r="Z64" t="s">
        <v>1205</v>
      </c>
      <c r="AA64">
        <v>8</v>
      </c>
      <c r="AB64" t="s">
        <v>770</v>
      </c>
      <c r="AC64" t="s">
        <v>768</v>
      </c>
      <c r="AD64" t="s">
        <v>1206</v>
      </c>
      <c r="AE64">
        <v>32</v>
      </c>
      <c r="AF64" t="s">
        <v>770</v>
      </c>
      <c r="AG64" t="s">
        <v>768</v>
      </c>
      <c r="AT64" t="s">
        <v>772</v>
      </c>
      <c r="AU64" t="s">
        <v>1200</v>
      </c>
      <c r="AV64" t="str" cm="1">
        <f t="array" ref="AV64">IF(B64=_xlfn.XLOOKUP(B64,VmSpecs[[#All],[VM Name]],VmSpecs[[#All],[VM Name]],"Failed",0,1),"Pass","Fail")</f>
        <v>Fail</v>
      </c>
      <c r="AW64" t="str" cm="1">
        <f t="array" ref="AW64">IF(D64=_xlfn.XLOOKUP($B64,VmSpecs[[#All],[VM Name]],VmSpecs[[#All],[Virtual Machine Resource Groups]],"Failed",0,1),"Pass","Fail")</f>
        <v>Fail</v>
      </c>
      <c r="AX64" t="str" cm="1">
        <f t="array" ref="AX64">IF(_xlfn.IFS(E64="australiacentral","Australia Central 1",E64="australiaeast","Australia East",E64="australiasoutheast","Australia SouthEast")=_xlfn.XLOOKUP($B64,VmSpecs[[#All],[VM Name]],VmSpecs[[#All],[Region]],"Failed",0,1),"Pass","Fail")</f>
        <v>Fail</v>
      </c>
      <c r="AY64" t="str" cm="1">
        <f t="array" ref="AY64">IF(F64=_xlfn.XLOOKUP($B64,VmSpecs[[#All],[VM Name]],VmSpecs[[#All],[Instance size]],"Failed",0,1),"Pass","Fail")</f>
        <v>Fail</v>
      </c>
      <c r="AZ64" t="str" cm="1">
        <f t="array" ref="AZ64">IF(LOWER(H64)=_xlfn.XLOOKUP($B64,VmSpecs[[#All],[VM Name]],VmSpecs[[#All],[Availability Set Name]],"Failed",0,1),"Pass","Fail")</f>
        <v>Fail</v>
      </c>
      <c r="BA64" t="str" cm="1">
        <f t="array" ref="BA64">IF(J64=_xlfn.XLOOKUP($B64,VmSpecs[[#All],[VM Name]],VmSpecs[[#All],[Virtual Network]],"Failed",0,1),"Pass","Fail")</f>
        <v>Fail</v>
      </c>
      <c r="BB64" t="str" cm="1">
        <f t="array" ref="BB64">IF(K64=_xlfn.XLOOKUP($B64,VmSpecs[[#All],[VM Name]],VmSpecs[[#All],[Subnet]],"Failed",0,1),"Pass","Fail")</f>
        <v>Fail</v>
      </c>
      <c r="BC64" t="str" cm="1">
        <f t="array" ref="BC64">IF(M64=_xlfn.XLOOKUP($B64,VmSpecs[[#All],[VM Name]],VmSpecs[[#All],[IP]],"Failed",0,1),"Pass","Fail")</f>
        <v>Fail</v>
      </c>
      <c r="BD64" t="str" cm="1">
        <f t="array" ref="BD64">IF(N64=_xlfn.XLOOKUP($B64,VmSpecs[[#All],[VM Name]],VmSpecs[[#All],[Network Security Group]],"Failed",0,1),"Pass","Fail")</f>
        <v>Fail</v>
      </c>
      <c r="BE64" t="str" cm="1">
        <f t="array" ref="BE64">IF(O64=_xlfn.XLOOKUP($B64,VmSpecs[[#All],[VM Name]],VmSpecs[[#All],[Route Table Name]],"Failed",0,1),"Pass","Fail")</f>
        <v>Fail</v>
      </c>
      <c r="BF64" t="str" cm="1">
        <f t="array" ref="BF64">IF(P64=_xlfn.XLOOKUP($B64,VmSpecs[[#All],[VM Name]],VmSpecs[[#All],[Operating System]],"Failed",0,1),"Pass","Fail")</f>
        <v>Fail</v>
      </c>
      <c r="BG64" t="str" cm="1">
        <f t="array" ref="BG64">IF(R64=_xlfn.XLOOKUP($B64,VmSpecs[[#All],[VM Name]],VmSpecs[[#All],[NIC name]],"Failed",0,1),"Pass","Fail")</f>
        <v>Fail</v>
      </c>
      <c r="BH64" t="str" cm="1">
        <f t="array" ref="BH64">IF(U64=_xlfn.XLOOKUP($B64,VmSpecs[[#All],[VM Name]],VmSpecs[[#All],[OS Disk Name]],"Failed",0,1),"Pass","Fail")</f>
        <v>Fail</v>
      </c>
      <c r="BI64" t="str" cm="1">
        <f t="array" ref="BI64">IF(W64=_xlfn.XLOOKUP($B64,VmSpecs[[#All],[VM Name]],VmSpecs[[#All],[OS Disk Size]],"Failed",0,1),"Pass","Fail")</f>
        <v>Fail</v>
      </c>
      <c r="BJ64" t="str" cm="1">
        <f t="array" ref="BJ64">IF(LEFT(X64,4)=LEFT(_xlfn.XLOOKUP($B64,VmSpecs[[#All],[VM Name]],VmSpecs[[#All],[OS Disk Type (Standard SSD etc)]],"Failed",0,1),4),"Pass","Fail")</f>
        <v>Fail</v>
      </c>
      <c r="BK64" t="str" cm="1">
        <f t="array" ref="BK64">IF(Z64=_xlfn.XLOOKUP($B64,VmSpecs[[#All],[VM Name]],VmSpecs[[#All],[Data Disk1 Name]],"Failed",0,1),"Pass","Fail")</f>
        <v>Fail</v>
      </c>
      <c r="BL64" t="str" cm="1">
        <f t="array" ref="BL64">IF(AA64=_xlfn.XLOOKUP($B64,VmSpecs[[#All],[VM Name]],VmSpecs[[#All],[Data Disk1 Size]],"Failed",0,1),"Pass","Fail")</f>
        <v>Fail</v>
      </c>
      <c r="BM64" t="str" cm="1">
        <f t="array" ref="BM64">IF(LEFT(AC64,4)=LEFT(_xlfn.XLOOKUP($B64,VmSpecs[[#All],[VM Name]],VmSpecs[[#All],[Data Disk1 Type]],"Failed",0,1),4),"Pass","Fail")</f>
        <v>Fail</v>
      </c>
      <c r="BO64" t="e">
        <f>VLOOKUP('VM Specs'!K64,'As Built'!B:B,1,FALSE)</f>
        <v>#N/A</v>
      </c>
      <c r="BP64" t="str">
        <f>IF(ISNA(Table613[[#This Row],[VM Build Sheet Check]]),'VM Specs'!K64,"")</f>
        <v>vmpfbpf2hdr19</v>
      </c>
    </row>
    <row r="65" spans="1:68" ht="33" customHeight="1" x14ac:dyDescent="0.35">
      <c r="A65" t="str">
        <f>IF(COUNTIF(AsBuilt[[#This Row],[VM Check]:[Data Disk 1 Type Check]],"Fail")&gt;0,"Fail","Pass")</f>
        <v>Fail</v>
      </c>
      <c r="B65" t="s">
        <v>1207</v>
      </c>
      <c r="C65" t="s">
        <v>754</v>
      </c>
      <c r="D65" t="s">
        <v>755</v>
      </c>
      <c r="E65" t="s">
        <v>756</v>
      </c>
      <c r="F65" t="s">
        <v>801</v>
      </c>
      <c r="G65" t="s">
        <v>758</v>
      </c>
      <c r="H65" t="s">
        <v>1076</v>
      </c>
      <c r="J65" t="s">
        <v>760</v>
      </c>
      <c r="K65" t="s">
        <v>761</v>
      </c>
      <c r="L65" t="s">
        <v>754</v>
      </c>
      <c r="M65" t="s">
        <v>1208</v>
      </c>
      <c r="N65" t="s">
        <v>763</v>
      </c>
      <c r="O65" t="s">
        <v>764</v>
      </c>
      <c r="P65" t="s">
        <v>63</v>
      </c>
      <c r="R65" t="s">
        <v>1209</v>
      </c>
      <c r="S65" t="s">
        <v>754</v>
      </c>
      <c r="U65" t="s">
        <v>1210</v>
      </c>
      <c r="V65" t="s">
        <v>767</v>
      </c>
      <c r="W65">
        <v>64</v>
      </c>
      <c r="X65" t="s">
        <v>768</v>
      </c>
      <c r="Y65">
        <v>2</v>
      </c>
      <c r="Z65" t="s">
        <v>1211</v>
      </c>
      <c r="AA65">
        <v>8</v>
      </c>
      <c r="AB65" t="s">
        <v>770</v>
      </c>
      <c r="AC65" t="s">
        <v>768</v>
      </c>
      <c r="AD65" t="s">
        <v>1212</v>
      </c>
      <c r="AE65">
        <v>32</v>
      </c>
      <c r="AF65" t="s">
        <v>770</v>
      </c>
      <c r="AG65" t="s">
        <v>768</v>
      </c>
      <c r="AT65" t="s">
        <v>772</v>
      </c>
      <c r="AU65" t="s">
        <v>1200</v>
      </c>
      <c r="AV65" t="str" cm="1">
        <f t="array" ref="AV65">IF(B65=_xlfn.XLOOKUP(B65,VmSpecs[[#All],[VM Name]],VmSpecs[[#All],[VM Name]],"Failed",0,1),"Pass","Fail")</f>
        <v>Fail</v>
      </c>
      <c r="AW65" t="str" cm="1">
        <f t="array" ref="AW65">IF(D65=_xlfn.XLOOKUP($B65,VmSpecs[[#All],[VM Name]],VmSpecs[[#All],[Virtual Machine Resource Groups]],"Failed",0,1),"Pass","Fail")</f>
        <v>Fail</v>
      </c>
      <c r="AX65" t="str" cm="1">
        <f t="array" ref="AX65">IF(_xlfn.IFS(E65="australiacentral","Australia Central 1",E65="australiaeast","Australia East",E65="australiasoutheast","Australia SouthEast")=_xlfn.XLOOKUP($B65,VmSpecs[[#All],[VM Name]],VmSpecs[[#All],[Region]],"Failed",0,1),"Pass","Fail")</f>
        <v>Fail</v>
      </c>
      <c r="AY65" t="str" cm="1">
        <f t="array" ref="AY65">IF(F65=_xlfn.XLOOKUP($B65,VmSpecs[[#All],[VM Name]],VmSpecs[[#All],[Instance size]],"Failed",0,1),"Pass","Fail")</f>
        <v>Fail</v>
      </c>
      <c r="AZ65" t="str" cm="1">
        <f t="array" ref="AZ65">IF(LOWER(H65)=_xlfn.XLOOKUP($B65,VmSpecs[[#All],[VM Name]],VmSpecs[[#All],[Availability Set Name]],"Failed",0,1),"Pass","Fail")</f>
        <v>Fail</v>
      </c>
      <c r="BA65" t="str" cm="1">
        <f t="array" ref="BA65">IF(J65=_xlfn.XLOOKUP($B65,VmSpecs[[#All],[VM Name]],VmSpecs[[#All],[Virtual Network]],"Failed",0,1),"Pass","Fail")</f>
        <v>Fail</v>
      </c>
      <c r="BB65" t="str" cm="1">
        <f t="array" ref="BB65">IF(K65=_xlfn.XLOOKUP($B65,VmSpecs[[#All],[VM Name]],VmSpecs[[#All],[Subnet]],"Failed",0,1),"Pass","Fail")</f>
        <v>Fail</v>
      </c>
      <c r="BC65" t="str" cm="1">
        <f t="array" ref="BC65">IF(M65=_xlfn.XLOOKUP($B65,VmSpecs[[#All],[VM Name]],VmSpecs[[#All],[IP]],"Failed",0,1),"Pass","Fail")</f>
        <v>Fail</v>
      </c>
      <c r="BD65" t="str" cm="1">
        <f t="array" ref="BD65">IF(N65=_xlfn.XLOOKUP($B65,VmSpecs[[#All],[VM Name]],VmSpecs[[#All],[Network Security Group]],"Failed",0,1),"Pass","Fail")</f>
        <v>Fail</v>
      </c>
      <c r="BE65" t="str" cm="1">
        <f t="array" ref="BE65">IF(O65=_xlfn.XLOOKUP($B65,VmSpecs[[#All],[VM Name]],VmSpecs[[#All],[Route Table Name]],"Failed",0,1),"Pass","Fail")</f>
        <v>Fail</v>
      </c>
      <c r="BF65" t="str" cm="1">
        <f t="array" ref="BF65">IF(P65=_xlfn.XLOOKUP($B65,VmSpecs[[#All],[VM Name]],VmSpecs[[#All],[Operating System]],"Failed",0,1),"Pass","Fail")</f>
        <v>Fail</v>
      </c>
      <c r="BG65" t="str" cm="1">
        <f t="array" ref="BG65">IF(R65=_xlfn.XLOOKUP($B65,VmSpecs[[#All],[VM Name]],VmSpecs[[#All],[NIC name]],"Failed",0,1),"Pass","Fail")</f>
        <v>Fail</v>
      </c>
      <c r="BH65" t="str" cm="1">
        <f t="array" ref="BH65">IF(U65=_xlfn.XLOOKUP($B65,VmSpecs[[#All],[VM Name]],VmSpecs[[#All],[OS Disk Name]],"Failed",0,1),"Pass","Fail")</f>
        <v>Fail</v>
      </c>
      <c r="BI65" t="str" cm="1">
        <f t="array" ref="BI65">IF(W65=_xlfn.XLOOKUP($B65,VmSpecs[[#All],[VM Name]],VmSpecs[[#All],[OS Disk Size]],"Failed",0,1),"Pass","Fail")</f>
        <v>Fail</v>
      </c>
      <c r="BJ65" t="str" cm="1">
        <f t="array" ref="BJ65">IF(LEFT(X65,4)=LEFT(_xlfn.XLOOKUP($B65,VmSpecs[[#All],[VM Name]],VmSpecs[[#All],[OS Disk Type (Standard SSD etc)]],"Failed",0,1),4),"Pass","Fail")</f>
        <v>Fail</v>
      </c>
      <c r="BK65" t="str" cm="1">
        <f t="array" ref="BK65">IF(Z65=_xlfn.XLOOKUP($B65,VmSpecs[[#All],[VM Name]],VmSpecs[[#All],[Data Disk1 Name]],"Failed",0,1),"Pass","Fail")</f>
        <v>Fail</v>
      </c>
      <c r="BL65" t="str" cm="1">
        <f t="array" ref="BL65">IF(AA65=_xlfn.XLOOKUP($B65,VmSpecs[[#All],[VM Name]],VmSpecs[[#All],[Data Disk1 Size]],"Failed",0,1),"Pass","Fail")</f>
        <v>Fail</v>
      </c>
      <c r="BM65" t="str" cm="1">
        <f t="array" ref="BM65">IF(LEFT(AC65,4)=LEFT(_xlfn.XLOOKUP($B65,VmSpecs[[#All],[VM Name]],VmSpecs[[#All],[Data Disk1 Type]],"Failed",0,1),4),"Pass","Fail")</f>
        <v>Fail</v>
      </c>
      <c r="BO65" t="e">
        <f>VLOOKUP('VM Specs'!K65,'As Built'!B:B,1,FALSE)</f>
        <v>#N/A</v>
      </c>
      <c r="BP65" t="str">
        <f>IF(ISNA(Table613[[#This Row],[VM Build Sheet Check]]),'VM Specs'!K65,"")</f>
        <v>vmpfbpf2hdr20</v>
      </c>
    </row>
    <row r="66" spans="1:68" ht="33" customHeight="1" x14ac:dyDescent="0.35">
      <c r="A66" t="str">
        <f>IF(COUNTIF(AsBuilt[[#This Row],[VM Check]:[Data Disk 1 Type Check]],"Fail")&gt;0,"Fail","Pass")</f>
        <v>Fail</v>
      </c>
      <c r="B66" t="s">
        <v>1213</v>
      </c>
      <c r="C66" t="s">
        <v>754</v>
      </c>
      <c r="D66" t="s">
        <v>755</v>
      </c>
      <c r="E66" t="s">
        <v>756</v>
      </c>
      <c r="F66" t="s">
        <v>801</v>
      </c>
      <c r="G66" t="s">
        <v>758</v>
      </c>
      <c r="H66" t="s">
        <v>1076</v>
      </c>
      <c r="J66" t="s">
        <v>760</v>
      </c>
      <c r="K66" t="s">
        <v>761</v>
      </c>
      <c r="L66" t="s">
        <v>754</v>
      </c>
      <c r="M66" t="s">
        <v>1214</v>
      </c>
      <c r="N66" t="s">
        <v>763</v>
      </c>
      <c r="O66" t="s">
        <v>764</v>
      </c>
      <c r="P66" t="s">
        <v>63</v>
      </c>
      <c r="R66" t="s">
        <v>1215</v>
      </c>
      <c r="S66" t="s">
        <v>754</v>
      </c>
      <c r="U66" t="s">
        <v>1216</v>
      </c>
      <c r="V66" t="s">
        <v>767</v>
      </c>
      <c r="W66">
        <v>64</v>
      </c>
      <c r="X66" t="s">
        <v>768</v>
      </c>
      <c r="Y66">
        <v>2</v>
      </c>
      <c r="Z66" t="s">
        <v>1217</v>
      </c>
      <c r="AA66">
        <v>8</v>
      </c>
      <c r="AB66" t="s">
        <v>770</v>
      </c>
      <c r="AC66" t="s">
        <v>768</v>
      </c>
      <c r="AD66" t="s">
        <v>1218</v>
      </c>
      <c r="AE66">
        <v>32</v>
      </c>
      <c r="AF66" t="s">
        <v>770</v>
      </c>
      <c r="AG66" t="s">
        <v>768</v>
      </c>
      <c r="AT66" t="s">
        <v>772</v>
      </c>
      <c r="AU66" t="s">
        <v>1200</v>
      </c>
      <c r="AV66" t="str" cm="1">
        <f t="array" ref="AV66">IF(B66=_xlfn.XLOOKUP(B66,VmSpecs[[#All],[VM Name]],VmSpecs[[#All],[VM Name]],"Failed",0,1),"Pass","Fail")</f>
        <v>Fail</v>
      </c>
      <c r="AW66" t="str" cm="1">
        <f t="array" ref="AW66">IF(D66=_xlfn.XLOOKUP($B66,VmSpecs[[#All],[VM Name]],VmSpecs[[#All],[Virtual Machine Resource Groups]],"Failed",0,1),"Pass","Fail")</f>
        <v>Fail</v>
      </c>
      <c r="AX66" t="str" cm="1">
        <f t="array" ref="AX66">IF(_xlfn.IFS(E66="australiacentral","Australia Central 1",E66="australiaeast","Australia East",E66="australiasoutheast","Australia SouthEast")=_xlfn.XLOOKUP($B66,VmSpecs[[#All],[VM Name]],VmSpecs[[#All],[Region]],"Failed",0,1),"Pass","Fail")</f>
        <v>Fail</v>
      </c>
      <c r="AY66" t="str" cm="1">
        <f t="array" ref="AY66">IF(F66=_xlfn.XLOOKUP($B66,VmSpecs[[#All],[VM Name]],VmSpecs[[#All],[Instance size]],"Failed",0,1),"Pass","Fail")</f>
        <v>Fail</v>
      </c>
      <c r="AZ66" t="str" cm="1">
        <f t="array" ref="AZ66">IF(LOWER(H66)=_xlfn.XLOOKUP($B66,VmSpecs[[#All],[VM Name]],VmSpecs[[#All],[Availability Set Name]],"Failed",0,1),"Pass","Fail")</f>
        <v>Fail</v>
      </c>
      <c r="BA66" t="str" cm="1">
        <f t="array" ref="BA66">IF(J66=_xlfn.XLOOKUP($B66,VmSpecs[[#All],[VM Name]],VmSpecs[[#All],[Virtual Network]],"Failed",0,1),"Pass","Fail")</f>
        <v>Fail</v>
      </c>
      <c r="BB66" t="str" cm="1">
        <f t="array" ref="BB66">IF(K66=_xlfn.XLOOKUP($B66,VmSpecs[[#All],[VM Name]],VmSpecs[[#All],[Subnet]],"Failed",0,1),"Pass","Fail")</f>
        <v>Fail</v>
      </c>
      <c r="BC66" t="str" cm="1">
        <f t="array" ref="BC66">IF(M66=_xlfn.XLOOKUP($B66,VmSpecs[[#All],[VM Name]],VmSpecs[[#All],[IP]],"Failed",0,1),"Pass","Fail")</f>
        <v>Fail</v>
      </c>
      <c r="BD66" t="str" cm="1">
        <f t="array" ref="BD66">IF(N66=_xlfn.XLOOKUP($B66,VmSpecs[[#All],[VM Name]],VmSpecs[[#All],[Network Security Group]],"Failed",0,1),"Pass","Fail")</f>
        <v>Fail</v>
      </c>
      <c r="BE66" t="str" cm="1">
        <f t="array" ref="BE66">IF(O66=_xlfn.XLOOKUP($B66,VmSpecs[[#All],[VM Name]],VmSpecs[[#All],[Route Table Name]],"Failed",0,1),"Pass","Fail")</f>
        <v>Fail</v>
      </c>
      <c r="BF66" t="str" cm="1">
        <f t="array" ref="BF66">IF(P66=_xlfn.XLOOKUP($B66,VmSpecs[[#All],[VM Name]],VmSpecs[[#All],[Operating System]],"Failed",0,1),"Pass","Fail")</f>
        <v>Fail</v>
      </c>
      <c r="BG66" t="str" cm="1">
        <f t="array" ref="BG66">IF(R66=_xlfn.XLOOKUP($B66,VmSpecs[[#All],[VM Name]],VmSpecs[[#All],[NIC name]],"Failed",0,1),"Pass","Fail")</f>
        <v>Fail</v>
      </c>
      <c r="BH66" t="str" cm="1">
        <f t="array" ref="BH66">IF(U66=_xlfn.XLOOKUP($B66,VmSpecs[[#All],[VM Name]],VmSpecs[[#All],[OS Disk Name]],"Failed",0,1),"Pass","Fail")</f>
        <v>Fail</v>
      </c>
      <c r="BI66" t="str" cm="1">
        <f t="array" ref="BI66">IF(W66=_xlfn.XLOOKUP($B66,VmSpecs[[#All],[VM Name]],VmSpecs[[#All],[OS Disk Size]],"Failed",0,1),"Pass","Fail")</f>
        <v>Fail</v>
      </c>
      <c r="BJ66" t="str" cm="1">
        <f t="array" ref="BJ66">IF(LEFT(X66,4)=LEFT(_xlfn.XLOOKUP($B66,VmSpecs[[#All],[VM Name]],VmSpecs[[#All],[OS Disk Type (Standard SSD etc)]],"Failed",0,1),4),"Pass","Fail")</f>
        <v>Fail</v>
      </c>
      <c r="BK66" t="str" cm="1">
        <f t="array" ref="BK66">IF(Z66=_xlfn.XLOOKUP($B66,VmSpecs[[#All],[VM Name]],VmSpecs[[#All],[Data Disk1 Name]],"Failed",0,1),"Pass","Fail")</f>
        <v>Fail</v>
      </c>
      <c r="BL66" t="str" cm="1">
        <f t="array" ref="BL66">IF(AA66=_xlfn.XLOOKUP($B66,VmSpecs[[#All],[VM Name]],VmSpecs[[#All],[Data Disk1 Size]],"Failed",0,1),"Pass","Fail")</f>
        <v>Fail</v>
      </c>
      <c r="BM66" t="str" cm="1">
        <f t="array" ref="BM66">IF(LEFT(AC66,4)=LEFT(_xlfn.XLOOKUP($B66,VmSpecs[[#All],[VM Name]],VmSpecs[[#All],[Data Disk1 Type]],"Failed",0,1),4),"Pass","Fail")</f>
        <v>Fail</v>
      </c>
      <c r="BO66" t="e">
        <f>VLOOKUP('VM Specs'!K66,'As Built'!B:B,1,FALSE)</f>
        <v>#N/A</v>
      </c>
      <c r="BP66" t="str">
        <f>IF(ISNA(Table613[[#This Row],[VM Build Sheet Check]]),'VM Specs'!K66,"")</f>
        <v>vmpfbpf2hdr21</v>
      </c>
    </row>
    <row r="67" spans="1:68" ht="33" customHeight="1" x14ac:dyDescent="0.35">
      <c r="A67" t="str">
        <f>IF(COUNTIF(AsBuilt[[#This Row],[VM Check]:[Data Disk 1 Type Check]],"Fail")&gt;0,"Fail","Pass")</f>
        <v>Fail</v>
      </c>
      <c r="B67" t="s">
        <v>1219</v>
      </c>
      <c r="C67" t="s">
        <v>754</v>
      </c>
      <c r="D67" t="s">
        <v>755</v>
      </c>
      <c r="E67" t="s">
        <v>756</v>
      </c>
      <c r="F67" t="s">
        <v>801</v>
      </c>
      <c r="G67" t="s">
        <v>758</v>
      </c>
      <c r="H67" t="s">
        <v>1076</v>
      </c>
      <c r="J67" t="s">
        <v>760</v>
      </c>
      <c r="K67" t="s">
        <v>761</v>
      </c>
      <c r="L67" t="s">
        <v>754</v>
      </c>
      <c r="M67" t="s">
        <v>1220</v>
      </c>
      <c r="N67" t="s">
        <v>763</v>
      </c>
      <c r="O67" t="s">
        <v>764</v>
      </c>
      <c r="P67" t="s">
        <v>63</v>
      </c>
      <c r="R67" t="s">
        <v>1221</v>
      </c>
      <c r="S67" t="s">
        <v>754</v>
      </c>
      <c r="U67" t="s">
        <v>1222</v>
      </c>
      <c r="V67" t="s">
        <v>767</v>
      </c>
      <c r="W67">
        <v>64</v>
      </c>
      <c r="X67" t="s">
        <v>768</v>
      </c>
      <c r="Y67">
        <v>2</v>
      </c>
      <c r="Z67" t="s">
        <v>1223</v>
      </c>
      <c r="AA67">
        <v>8</v>
      </c>
      <c r="AB67" t="s">
        <v>770</v>
      </c>
      <c r="AC67" t="s">
        <v>768</v>
      </c>
      <c r="AD67" t="s">
        <v>1224</v>
      </c>
      <c r="AE67">
        <v>32</v>
      </c>
      <c r="AF67" t="s">
        <v>770</v>
      </c>
      <c r="AG67" t="s">
        <v>768</v>
      </c>
      <c r="AT67" t="s">
        <v>772</v>
      </c>
      <c r="AU67" t="s">
        <v>1200</v>
      </c>
      <c r="AV67" t="str" cm="1">
        <f t="array" ref="AV67">IF(B67=_xlfn.XLOOKUP(B67,VmSpecs[[#All],[VM Name]],VmSpecs[[#All],[VM Name]],"Failed",0,1),"Pass","Fail")</f>
        <v>Fail</v>
      </c>
      <c r="AW67" t="str" cm="1">
        <f t="array" ref="AW67">IF(D67=_xlfn.XLOOKUP($B67,VmSpecs[[#All],[VM Name]],VmSpecs[[#All],[Virtual Machine Resource Groups]],"Failed",0,1),"Pass","Fail")</f>
        <v>Fail</v>
      </c>
      <c r="AX67" t="str" cm="1">
        <f t="array" ref="AX67">IF(_xlfn.IFS(E67="australiacentral","Australia Central 1",E67="australiaeast","Australia East",E67="australiasoutheast","Australia SouthEast")=_xlfn.XLOOKUP($B67,VmSpecs[[#All],[VM Name]],VmSpecs[[#All],[Region]],"Failed",0,1),"Pass","Fail")</f>
        <v>Fail</v>
      </c>
      <c r="AY67" t="str" cm="1">
        <f t="array" ref="AY67">IF(F67=_xlfn.XLOOKUP($B67,VmSpecs[[#All],[VM Name]],VmSpecs[[#All],[Instance size]],"Failed",0,1),"Pass","Fail")</f>
        <v>Fail</v>
      </c>
      <c r="AZ67" t="str" cm="1">
        <f t="array" ref="AZ67">IF(LOWER(H67)=_xlfn.XLOOKUP($B67,VmSpecs[[#All],[VM Name]],VmSpecs[[#All],[Availability Set Name]],"Failed",0,1),"Pass","Fail")</f>
        <v>Fail</v>
      </c>
      <c r="BA67" t="str" cm="1">
        <f t="array" ref="BA67">IF(J67=_xlfn.XLOOKUP($B67,VmSpecs[[#All],[VM Name]],VmSpecs[[#All],[Virtual Network]],"Failed",0,1),"Pass","Fail")</f>
        <v>Fail</v>
      </c>
      <c r="BB67" t="str" cm="1">
        <f t="array" ref="BB67">IF(K67=_xlfn.XLOOKUP($B67,VmSpecs[[#All],[VM Name]],VmSpecs[[#All],[Subnet]],"Failed",0,1),"Pass","Fail")</f>
        <v>Fail</v>
      </c>
      <c r="BC67" t="str" cm="1">
        <f t="array" ref="BC67">IF(M67=_xlfn.XLOOKUP($B67,VmSpecs[[#All],[VM Name]],VmSpecs[[#All],[IP]],"Failed",0,1),"Pass","Fail")</f>
        <v>Fail</v>
      </c>
      <c r="BD67" t="str" cm="1">
        <f t="array" ref="BD67">IF(N67=_xlfn.XLOOKUP($B67,VmSpecs[[#All],[VM Name]],VmSpecs[[#All],[Network Security Group]],"Failed",0,1),"Pass","Fail")</f>
        <v>Fail</v>
      </c>
      <c r="BE67" t="str" cm="1">
        <f t="array" ref="BE67">IF(O67=_xlfn.XLOOKUP($B67,VmSpecs[[#All],[VM Name]],VmSpecs[[#All],[Route Table Name]],"Failed",0,1),"Pass","Fail")</f>
        <v>Fail</v>
      </c>
      <c r="BF67" t="str" cm="1">
        <f t="array" ref="BF67">IF(P67=_xlfn.XLOOKUP($B67,VmSpecs[[#All],[VM Name]],VmSpecs[[#All],[Operating System]],"Failed",0,1),"Pass","Fail")</f>
        <v>Fail</v>
      </c>
      <c r="BG67" t="str" cm="1">
        <f t="array" ref="BG67">IF(R67=_xlfn.XLOOKUP($B67,VmSpecs[[#All],[VM Name]],VmSpecs[[#All],[NIC name]],"Failed",0,1),"Pass","Fail")</f>
        <v>Fail</v>
      </c>
      <c r="BH67" t="str" cm="1">
        <f t="array" ref="BH67">IF(U67=_xlfn.XLOOKUP($B67,VmSpecs[[#All],[VM Name]],VmSpecs[[#All],[OS Disk Name]],"Failed",0,1),"Pass","Fail")</f>
        <v>Fail</v>
      </c>
      <c r="BI67" t="str" cm="1">
        <f t="array" ref="BI67">IF(W67=_xlfn.XLOOKUP($B67,VmSpecs[[#All],[VM Name]],VmSpecs[[#All],[OS Disk Size]],"Failed",0,1),"Pass","Fail")</f>
        <v>Fail</v>
      </c>
      <c r="BJ67" t="str" cm="1">
        <f t="array" ref="BJ67">IF(LEFT(X67,4)=LEFT(_xlfn.XLOOKUP($B67,VmSpecs[[#All],[VM Name]],VmSpecs[[#All],[OS Disk Type (Standard SSD etc)]],"Failed",0,1),4),"Pass","Fail")</f>
        <v>Fail</v>
      </c>
      <c r="BK67" t="str" cm="1">
        <f t="array" ref="BK67">IF(Z67=_xlfn.XLOOKUP($B67,VmSpecs[[#All],[VM Name]],VmSpecs[[#All],[Data Disk1 Name]],"Failed",0,1),"Pass","Fail")</f>
        <v>Fail</v>
      </c>
      <c r="BL67" t="str" cm="1">
        <f t="array" ref="BL67">IF(AA67=_xlfn.XLOOKUP($B67,VmSpecs[[#All],[VM Name]],VmSpecs[[#All],[Data Disk1 Size]],"Failed",0,1),"Pass","Fail")</f>
        <v>Fail</v>
      </c>
      <c r="BM67" t="str" cm="1">
        <f t="array" ref="BM67">IF(LEFT(AC67,4)=LEFT(_xlfn.XLOOKUP($B67,VmSpecs[[#All],[VM Name]],VmSpecs[[#All],[Data Disk1 Type]],"Failed",0,1),4),"Pass","Fail")</f>
        <v>Fail</v>
      </c>
      <c r="BO67" t="e">
        <f>VLOOKUP('VM Specs'!K67,'As Built'!B:B,1,FALSE)</f>
        <v>#N/A</v>
      </c>
      <c r="BP67" t="str">
        <f>IF(ISNA(Table613[[#This Row],[VM Build Sheet Check]]),'VM Specs'!K67,"")</f>
        <v>vmpfbpf2hdr22</v>
      </c>
    </row>
    <row r="68" spans="1:68" ht="33" customHeight="1" x14ac:dyDescent="0.35">
      <c r="A68" t="str">
        <f>IF(COUNTIF(AsBuilt[[#This Row],[VM Check]:[Data Disk 1 Type Check]],"Fail")&gt;0,"Fail","Pass")</f>
        <v>Fail</v>
      </c>
      <c r="B68" t="s">
        <v>1225</v>
      </c>
      <c r="C68" t="s">
        <v>754</v>
      </c>
      <c r="D68" t="s">
        <v>755</v>
      </c>
      <c r="E68" t="s">
        <v>756</v>
      </c>
      <c r="F68" t="s">
        <v>801</v>
      </c>
      <c r="G68" t="s">
        <v>758</v>
      </c>
      <c r="H68" t="s">
        <v>1076</v>
      </c>
      <c r="J68" t="s">
        <v>760</v>
      </c>
      <c r="K68" t="s">
        <v>761</v>
      </c>
      <c r="L68" t="s">
        <v>754</v>
      </c>
      <c r="M68" t="s">
        <v>1226</v>
      </c>
      <c r="N68" t="s">
        <v>763</v>
      </c>
      <c r="O68" t="s">
        <v>764</v>
      </c>
      <c r="P68" t="s">
        <v>63</v>
      </c>
      <c r="R68" t="s">
        <v>1227</v>
      </c>
      <c r="S68" t="s">
        <v>754</v>
      </c>
      <c r="U68" t="s">
        <v>1228</v>
      </c>
      <c r="V68" t="s">
        <v>767</v>
      </c>
      <c r="W68">
        <v>64</v>
      </c>
      <c r="X68" t="s">
        <v>768</v>
      </c>
      <c r="Y68">
        <v>2</v>
      </c>
      <c r="Z68" t="s">
        <v>1229</v>
      </c>
      <c r="AA68">
        <v>8</v>
      </c>
      <c r="AB68" t="s">
        <v>770</v>
      </c>
      <c r="AC68" t="s">
        <v>768</v>
      </c>
      <c r="AD68" t="s">
        <v>1230</v>
      </c>
      <c r="AE68">
        <v>32</v>
      </c>
      <c r="AF68" t="s">
        <v>770</v>
      </c>
      <c r="AG68" t="s">
        <v>768</v>
      </c>
      <c r="AT68" t="s">
        <v>772</v>
      </c>
      <c r="AU68" t="s">
        <v>1231</v>
      </c>
      <c r="AV68" t="str" cm="1">
        <f t="array" ref="AV68">IF(B68=_xlfn.XLOOKUP(B68,VmSpecs[[#All],[VM Name]],VmSpecs[[#All],[VM Name]],"Failed",0,1),"Pass","Fail")</f>
        <v>Fail</v>
      </c>
      <c r="AW68" t="str" cm="1">
        <f t="array" ref="AW68">IF(D68=_xlfn.XLOOKUP($B68,VmSpecs[[#All],[VM Name]],VmSpecs[[#All],[Virtual Machine Resource Groups]],"Failed",0,1),"Pass","Fail")</f>
        <v>Fail</v>
      </c>
      <c r="AX68" t="str" cm="1">
        <f t="array" ref="AX68">IF(_xlfn.IFS(E68="australiacentral","Australia Central 1",E68="australiaeast","Australia East",E68="australiasoutheast","Australia SouthEast")=_xlfn.XLOOKUP($B68,VmSpecs[[#All],[VM Name]],VmSpecs[[#All],[Region]],"Failed",0,1),"Pass","Fail")</f>
        <v>Fail</v>
      </c>
      <c r="AY68" t="str" cm="1">
        <f t="array" ref="AY68">IF(F68=_xlfn.XLOOKUP($B68,VmSpecs[[#All],[VM Name]],VmSpecs[[#All],[Instance size]],"Failed",0,1),"Pass","Fail")</f>
        <v>Fail</v>
      </c>
      <c r="AZ68" t="str" cm="1">
        <f t="array" ref="AZ68">IF(LOWER(H68)=_xlfn.XLOOKUP($B68,VmSpecs[[#All],[VM Name]],VmSpecs[[#All],[Availability Set Name]],"Failed",0,1),"Pass","Fail")</f>
        <v>Fail</v>
      </c>
      <c r="BA68" t="str" cm="1">
        <f t="array" ref="BA68">IF(J68=_xlfn.XLOOKUP($B68,VmSpecs[[#All],[VM Name]],VmSpecs[[#All],[Virtual Network]],"Failed",0,1),"Pass","Fail")</f>
        <v>Fail</v>
      </c>
      <c r="BB68" t="str" cm="1">
        <f t="array" ref="BB68">IF(K68=_xlfn.XLOOKUP($B68,VmSpecs[[#All],[VM Name]],VmSpecs[[#All],[Subnet]],"Failed",0,1),"Pass","Fail")</f>
        <v>Fail</v>
      </c>
      <c r="BC68" t="str" cm="1">
        <f t="array" ref="BC68">IF(M68=_xlfn.XLOOKUP($B68,VmSpecs[[#All],[VM Name]],VmSpecs[[#All],[IP]],"Failed",0,1),"Pass","Fail")</f>
        <v>Fail</v>
      </c>
      <c r="BD68" t="str" cm="1">
        <f t="array" ref="BD68">IF(N68=_xlfn.XLOOKUP($B68,VmSpecs[[#All],[VM Name]],VmSpecs[[#All],[Network Security Group]],"Failed",0,1),"Pass","Fail")</f>
        <v>Fail</v>
      </c>
      <c r="BE68" t="str" cm="1">
        <f t="array" ref="BE68">IF(O68=_xlfn.XLOOKUP($B68,VmSpecs[[#All],[VM Name]],VmSpecs[[#All],[Route Table Name]],"Failed",0,1),"Pass","Fail")</f>
        <v>Fail</v>
      </c>
      <c r="BF68" t="str" cm="1">
        <f t="array" ref="BF68">IF(P68=_xlfn.XLOOKUP($B68,VmSpecs[[#All],[VM Name]],VmSpecs[[#All],[Operating System]],"Failed",0,1),"Pass","Fail")</f>
        <v>Fail</v>
      </c>
      <c r="BG68" t="str" cm="1">
        <f t="array" ref="BG68">IF(R68=_xlfn.XLOOKUP($B68,VmSpecs[[#All],[VM Name]],VmSpecs[[#All],[NIC name]],"Failed",0,1),"Pass","Fail")</f>
        <v>Fail</v>
      </c>
      <c r="BH68" t="str" cm="1">
        <f t="array" ref="BH68">IF(U68=_xlfn.XLOOKUP($B68,VmSpecs[[#All],[VM Name]],VmSpecs[[#All],[OS Disk Name]],"Failed",0,1),"Pass","Fail")</f>
        <v>Fail</v>
      </c>
      <c r="BI68" t="str" cm="1">
        <f t="array" ref="BI68">IF(W68=_xlfn.XLOOKUP($B68,VmSpecs[[#All],[VM Name]],VmSpecs[[#All],[OS Disk Size]],"Failed",0,1),"Pass","Fail")</f>
        <v>Fail</v>
      </c>
      <c r="BJ68" t="str" cm="1">
        <f t="array" ref="BJ68">IF(LEFT(X68,4)=LEFT(_xlfn.XLOOKUP($B68,VmSpecs[[#All],[VM Name]],VmSpecs[[#All],[OS Disk Type (Standard SSD etc)]],"Failed",0,1),4),"Pass","Fail")</f>
        <v>Fail</v>
      </c>
      <c r="BK68" t="str" cm="1">
        <f t="array" ref="BK68">IF(Z68=_xlfn.XLOOKUP($B68,VmSpecs[[#All],[VM Name]],VmSpecs[[#All],[Data Disk1 Name]],"Failed",0,1),"Pass","Fail")</f>
        <v>Fail</v>
      </c>
      <c r="BL68" t="str" cm="1">
        <f t="array" ref="BL68">IF(AA68=_xlfn.XLOOKUP($B68,VmSpecs[[#All],[VM Name]],VmSpecs[[#All],[Data Disk1 Size]],"Failed",0,1),"Pass","Fail")</f>
        <v>Fail</v>
      </c>
      <c r="BM68" t="str" cm="1">
        <f t="array" ref="BM68">IF(LEFT(AC68,4)=LEFT(_xlfn.XLOOKUP($B68,VmSpecs[[#All],[VM Name]],VmSpecs[[#All],[Data Disk1 Type]],"Failed",0,1),4),"Pass","Fail")</f>
        <v>Fail</v>
      </c>
      <c r="BO68" t="e">
        <f>VLOOKUP('VM Specs'!K68,'As Built'!B:B,1,FALSE)</f>
        <v>#N/A</v>
      </c>
      <c r="BP68" t="str">
        <f>IF(ISNA(Table613[[#This Row],[VM Build Sheet Check]]),'VM Specs'!K68,"")</f>
        <v>vmpfbpf2hdr23</v>
      </c>
    </row>
    <row r="69" spans="1:68" ht="33" customHeight="1" x14ac:dyDescent="0.35">
      <c r="A69" t="str">
        <f>IF(COUNTIF(AsBuilt[[#This Row],[VM Check]:[Data Disk 1 Type Check]],"Fail")&gt;0,"Fail","Pass")</f>
        <v>Fail</v>
      </c>
      <c r="B69" t="s">
        <v>1232</v>
      </c>
      <c r="C69" t="s">
        <v>754</v>
      </c>
      <c r="D69" t="s">
        <v>755</v>
      </c>
      <c r="E69" t="s">
        <v>756</v>
      </c>
      <c r="F69" t="s">
        <v>801</v>
      </c>
      <c r="G69" t="s">
        <v>758</v>
      </c>
      <c r="H69" t="s">
        <v>1076</v>
      </c>
      <c r="J69" t="s">
        <v>760</v>
      </c>
      <c r="K69" t="s">
        <v>761</v>
      </c>
      <c r="L69" t="s">
        <v>754</v>
      </c>
      <c r="M69" t="s">
        <v>1233</v>
      </c>
      <c r="N69" t="s">
        <v>763</v>
      </c>
      <c r="O69" t="s">
        <v>764</v>
      </c>
      <c r="P69" t="s">
        <v>63</v>
      </c>
      <c r="R69" t="s">
        <v>1234</v>
      </c>
      <c r="S69" t="s">
        <v>754</v>
      </c>
      <c r="U69" t="s">
        <v>1235</v>
      </c>
      <c r="V69" t="s">
        <v>767</v>
      </c>
      <c r="W69">
        <v>64</v>
      </c>
      <c r="X69" t="s">
        <v>768</v>
      </c>
      <c r="Y69">
        <v>2</v>
      </c>
      <c r="Z69" t="s">
        <v>1236</v>
      </c>
      <c r="AA69">
        <v>8</v>
      </c>
      <c r="AB69" t="s">
        <v>770</v>
      </c>
      <c r="AC69" t="s">
        <v>768</v>
      </c>
      <c r="AD69" t="s">
        <v>1237</v>
      </c>
      <c r="AE69">
        <v>32</v>
      </c>
      <c r="AF69" t="s">
        <v>770</v>
      </c>
      <c r="AG69" t="s">
        <v>768</v>
      </c>
      <c r="AT69" t="s">
        <v>772</v>
      </c>
      <c r="AU69" t="s">
        <v>1231</v>
      </c>
      <c r="AV69" t="str" cm="1">
        <f t="array" ref="AV69">IF(B69=_xlfn.XLOOKUP(B69,VmSpecs[[#All],[VM Name]],VmSpecs[[#All],[VM Name]],"Failed",0,1),"Pass","Fail")</f>
        <v>Fail</v>
      </c>
      <c r="AW69" t="str" cm="1">
        <f t="array" ref="AW69">IF(D69=_xlfn.XLOOKUP($B69,VmSpecs[[#All],[VM Name]],VmSpecs[[#All],[Virtual Machine Resource Groups]],"Failed",0,1),"Pass","Fail")</f>
        <v>Fail</v>
      </c>
      <c r="AX69" t="str" cm="1">
        <f t="array" ref="AX69">IF(_xlfn.IFS(E69="australiacentral","Australia Central 1",E69="australiaeast","Australia East",E69="australiasoutheast","Australia SouthEast")=_xlfn.XLOOKUP($B69,VmSpecs[[#All],[VM Name]],VmSpecs[[#All],[Region]],"Failed",0,1),"Pass","Fail")</f>
        <v>Fail</v>
      </c>
      <c r="AY69" t="str" cm="1">
        <f t="array" ref="AY69">IF(F69=_xlfn.XLOOKUP($B69,VmSpecs[[#All],[VM Name]],VmSpecs[[#All],[Instance size]],"Failed",0,1),"Pass","Fail")</f>
        <v>Fail</v>
      </c>
      <c r="AZ69" t="str" cm="1">
        <f t="array" ref="AZ69">IF(LOWER(H69)=_xlfn.XLOOKUP($B69,VmSpecs[[#All],[VM Name]],VmSpecs[[#All],[Availability Set Name]],"Failed",0,1),"Pass","Fail")</f>
        <v>Fail</v>
      </c>
      <c r="BA69" t="str" cm="1">
        <f t="array" ref="BA69">IF(J69=_xlfn.XLOOKUP($B69,VmSpecs[[#All],[VM Name]],VmSpecs[[#All],[Virtual Network]],"Failed",0,1),"Pass","Fail")</f>
        <v>Fail</v>
      </c>
      <c r="BB69" t="str" cm="1">
        <f t="array" ref="BB69">IF(K69=_xlfn.XLOOKUP($B69,VmSpecs[[#All],[VM Name]],VmSpecs[[#All],[Subnet]],"Failed",0,1),"Pass","Fail")</f>
        <v>Fail</v>
      </c>
      <c r="BC69" t="str" cm="1">
        <f t="array" ref="BC69">IF(M69=_xlfn.XLOOKUP($B69,VmSpecs[[#All],[VM Name]],VmSpecs[[#All],[IP]],"Failed",0,1),"Pass","Fail")</f>
        <v>Fail</v>
      </c>
      <c r="BD69" t="str" cm="1">
        <f t="array" ref="BD69">IF(N69=_xlfn.XLOOKUP($B69,VmSpecs[[#All],[VM Name]],VmSpecs[[#All],[Network Security Group]],"Failed",0,1),"Pass","Fail")</f>
        <v>Fail</v>
      </c>
      <c r="BE69" t="str" cm="1">
        <f t="array" ref="BE69">IF(O69=_xlfn.XLOOKUP($B69,VmSpecs[[#All],[VM Name]],VmSpecs[[#All],[Route Table Name]],"Failed",0,1),"Pass","Fail")</f>
        <v>Fail</v>
      </c>
      <c r="BF69" t="str" cm="1">
        <f t="array" ref="BF69">IF(P69=_xlfn.XLOOKUP($B69,VmSpecs[[#All],[VM Name]],VmSpecs[[#All],[Operating System]],"Failed",0,1),"Pass","Fail")</f>
        <v>Fail</v>
      </c>
      <c r="BG69" t="str" cm="1">
        <f t="array" ref="BG69">IF(R69=_xlfn.XLOOKUP($B69,VmSpecs[[#All],[VM Name]],VmSpecs[[#All],[NIC name]],"Failed",0,1),"Pass","Fail")</f>
        <v>Fail</v>
      </c>
      <c r="BH69" t="str" cm="1">
        <f t="array" ref="BH69">IF(U69=_xlfn.XLOOKUP($B69,VmSpecs[[#All],[VM Name]],VmSpecs[[#All],[OS Disk Name]],"Failed",0,1),"Pass","Fail")</f>
        <v>Fail</v>
      </c>
      <c r="BI69" t="str" cm="1">
        <f t="array" ref="BI69">IF(W69=_xlfn.XLOOKUP($B69,VmSpecs[[#All],[VM Name]],VmSpecs[[#All],[OS Disk Size]],"Failed",0,1),"Pass","Fail")</f>
        <v>Fail</v>
      </c>
      <c r="BJ69" t="str" cm="1">
        <f t="array" ref="BJ69">IF(LEFT(X69,4)=LEFT(_xlfn.XLOOKUP($B69,VmSpecs[[#All],[VM Name]],VmSpecs[[#All],[OS Disk Type (Standard SSD etc)]],"Failed",0,1),4),"Pass","Fail")</f>
        <v>Fail</v>
      </c>
      <c r="BK69" t="str" cm="1">
        <f t="array" ref="BK69">IF(Z69=_xlfn.XLOOKUP($B69,VmSpecs[[#All],[VM Name]],VmSpecs[[#All],[Data Disk1 Name]],"Failed",0,1),"Pass","Fail")</f>
        <v>Fail</v>
      </c>
      <c r="BL69" t="str" cm="1">
        <f t="array" ref="BL69">IF(AA69=_xlfn.XLOOKUP($B69,VmSpecs[[#All],[VM Name]],VmSpecs[[#All],[Data Disk1 Size]],"Failed",0,1),"Pass","Fail")</f>
        <v>Fail</v>
      </c>
      <c r="BM69" t="str" cm="1">
        <f t="array" ref="BM69">IF(LEFT(AC69,4)=LEFT(_xlfn.XLOOKUP($B69,VmSpecs[[#All],[VM Name]],VmSpecs[[#All],[Data Disk1 Type]],"Failed",0,1),4),"Pass","Fail")</f>
        <v>Fail</v>
      </c>
      <c r="BO69" t="e">
        <f>VLOOKUP('VM Specs'!K69,'As Built'!B:B,1,FALSE)</f>
        <v>#N/A</v>
      </c>
      <c r="BP69" t="str">
        <f>IF(ISNA(Table613[[#This Row],[VM Build Sheet Check]]),'VM Specs'!K69,"")</f>
        <v>vmpfbpf2hdr24</v>
      </c>
    </row>
    <row r="70" spans="1:68" ht="33" customHeight="1" x14ac:dyDescent="0.35">
      <c r="A70" t="str">
        <f>IF(COUNTIF(AsBuilt[[#This Row],[VM Check]:[Data Disk 1 Type Check]],"Fail")&gt;0,"Fail","Pass")</f>
        <v>Fail</v>
      </c>
      <c r="B70" t="s">
        <v>1238</v>
      </c>
      <c r="C70" t="s">
        <v>754</v>
      </c>
      <c r="D70" t="s">
        <v>755</v>
      </c>
      <c r="E70" t="s">
        <v>756</v>
      </c>
      <c r="F70" t="s">
        <v>801</v>
      </c>
      <c r="G70" t="s">
        <v>758</v>
      </c>
      <c r="H70" t="s">
        <v>1076</v>
      </c>
      <c r="J70" t="s">
        <v>760</v>
      </c>
      <c r="K70" t="s">
        <v>761</v>
      </c>
      <c r="L70" t="s">
        <v>754</v>
      </c>
      <c r="M70" t="s">
        <v>1239</v>
      </c>
      <c r="N70" t="s">
        <v>763</v>
      </c>
      <c r="O70" t="s">
        <v>764</v>
      </c>
      <c r="P70" t="s">
        <v>63</v>
      </c>
      <c r="R70" t="s">
        <v>1240</v>
      </c>
      <c r="S70" t="s">
        <v>754</v>
      </c>
      <c r="U70" t="s">
        <v>1241</v>
      </c>
      <c r="V70" t="s">
        <v>767</v>
      </c>
      <c r="W70">
        <v>64</v>
      </c>
      <c r="X70" t="s">
        <v>768</v>
      </c>
      <c r="Y70">
        <v>2</v>
      </c>
      <c r="Z70" t="s">
        <v>1242</v>
      </c>
      <c r="AA70">
        <v>8</v>
      </c>
      <c r="AB70" t="s">
        <v>770</v>
      </c>
      <c r="AC70" t="s">
        <v>768</v>
      </c>
      <c r="AD70" t="s">
        <v>1243</v>
      </c>
      <c r="AE70">
        <v>32</v>
      </c>
      <c r="AF70" t="s">
        <v>770</v>
      </c>
      <c r="AG70" t="s">
        <v>768</v>
      </c>
      <c r="AT70" t="s">
        <v>772</v>
      </c>
      <c r="AU70" t="s">
        <v>1231</v>
      </c>
      <c r="AV70" t="str" cm="1">
        <f t="array" ref="AV70">IF(B70=_xlfn.XLOOKUP(B70,VmSpecs[[#All],[VM Name]],VmSpecs[[#All],[VM Name]],"Failed",0,1),"Pass","Fail")</f>
        <v>Fail</v>
      </c>
      <c r="AW70" t="str" cm="1">
        <f t="array" ref="AW70">IF(D70=_xlfn.XLOOKUP($B70,VmSpecs[[#All],[VM Name]],VmSpecs[[#All],[Virtual Machine Resource Groups]],"Failed",0,1),"Pass","Fail")</f>
        <v>Fail</v>
      </c>
      <c r="AX70" t="str" cm="1">
        <f t="array" ref="AX70">IF(_xlfn.IFS(E70="australiacentral","Australia Central 1",E70="australiaeast","Australia East",E70="australiasoutheast","Australia SouthEast")=_xlfn.XLOOKUP($B70,VmSpecs[[#All],[VM Name]],VmSpecs[[#All],[Region]],"Failed",0,1),"Pass","Fail")</f>
        <v>Fail</v>
      </c>
      <c r="AY70" t="str" cm="1">
        <f t="array" ref="AY70">IF(F70=_xlfn.XLOOKUP($B70,VmSpecs[[#All],[VM Name]],VmSpecs[[#All],[Instance size]],"Failed",0,1),"Pass","Fail")</f>
        <v>Fail</v>
      </c>
      <c r="AZ70" t="str" cm="1">
        <f t="array" ref="AZ70">IF(LOWER(H70)=_xlfn.XLOOKUP($B70,VmSpecs[[#All],[VM Name]],VmSpecs[[#All],[Availability Set Name]],"Failed",0,1),"Pass","Fail")</f>
        <v>Fail</v>
      </c>
      <c r="BA70" t="str" cm="1">
        <f t="array" ref="BA70">IF(J70=_xlfn.XLOOKUP($B70,VmSpecs[[#All],[VM Name]],VmSpecs[[#All],[Virtual Network]],"Failed",0,1),"Pass","Fail")</f>
        <v>Fail</v>
      </c>
      <c r="BB70" t="str" cm="1">
        <f t="array" ref="BB70">IF(K70=_xlfn.XLOOKUP($B70,VmSpecs[[#All],[VM Name]],VmSpecs[[#All],[Subnet]],"Failed",0,1),"Pass","Fail")</f>
        <v>Fail</v>
      </c>
      <c r="BC70" t="str" cm="1">
        <f t="array" ref="BC70">IF(M70=_xlfn.XLOOKUP($B70,VmSpecs[[#All],[VM Name]],VmSpecs[[#All],[IP]],"Failed",0,1),"Pass","Fail")</f>
        <v>Fail</v>
      </c>
      <c r="BD70" t="str" cm="1">
        <f t="array" ref="BD70">IF(N70=_xlfn.XLOOKUP($B70,VmSpecs[[#All],[VM Name]],VmSpecs[[#All],[Network Security Group]],"Failed",0,1),"Pass","Fail")</f>
        <v>Fail</v>
      </c>
      <c r="BE70" t="str" cm="1">
        <f t="array" ref="BE70">IF(O70=_xlfn.XLOOKUP($B70,VmSpecs[[#All],[VM Name]],VmSpecs[[#All],[Route Table Name]],"Failed",0,1),"Pass","Fail")</f>
        <v>Fail</v>
      </c>
      <c r="BF70" t="str" cm="1">
        <f t="array" ref="BF70">IF(P70=_xlfn.XLOOKUP($B70,VmSpecs[[#All],[VM Name]],VmSpecs[[#All],[Operating System]],"Failed",0,1),"Pass","Fail")</f>
        <v>Fail</v>
      </c>
      <c r="BG70" t="str" cm="1">
        <f t="array" ref="BG70">IF(R70=_xlfn.XLOOKUP($B70,VmSpecs[[#All],[VM Name]],VmSpecs[[#All],[NIC name]],"Failed",0,1),"Pass","Fail")</f>
        <v>Fail</v>
      </c>
      <c r="BH70" t="str" cm="1">
        <f t="array" ref="BH70">IF(U70=_xlfn.XLOOKUP($B70,VmSpecs[[#All],[VM Name]],VmSpecs[[#All],[OS Disk Name]],"Failed",0,1),"Pass","Fail")</f>
        <v>Fail</v>
      </c>
      <c r="BI70" t="str" cm="1">
        <f t="array" ref="BI70">IF(W70=_xlfn.XLOOKUP($B70,VmSpecs[[#All],[VM Name]],VmSpecs[[#All],[OS Disk Size]],"Failed",0,1),"Pass","Fail")</f>
        <v>Fail</v>
      </c>
      <c r="BJ70" t="str" cm="1">
        <f t="array" ref="BJ70">IF(LEFT(X70,4)=LEFT(_xlfn.XLOOKUP($B70,VmSpecs[[#All],[VM Name]],VmSpecs[[#All],[OS Disk Type (Standard SSD etc)]],"Failed",0,1),4),"Pass","Fail")</f>
        <v>Fail</v>
      </c>
      <c r="BK70" t="str" cm="1">
        <f t="array" ref="BK70">IF(Z70=_xlfn.XLOOKUP($B70,VmSpecs[[#All],[VM Name]],VmSpecs[[#All],[Data Disk1 Name]],"Failed",0,1),"Pass","Fail")</f>
        <v>Fail</v>
      </c>
      <c r="BL70" t="str" cm="1">
        <f t="array" ref="BL70">IF(AA70=_xlfn.XLOOKUP($B70,VmSpecs[[#All],[VM Name]],VmSpecs[[#All],[Data Disk1 Size]],"Failed",0,1),"Pass","Fail")</f>
        <v>Fail</v>
      </c>
      <c r="BM70" t="str" cm="1">
        <f t="array" ref="BM70">IF(LEFT(AC70,4)=LEFT(_xlfn.XLOOKUP($B70,VmSpecs[[#All],[VM Name]],VmSpecs[[#All],[Data Disk1 Type]],"Failed",0,1),4),"Pass","Fail")</f>
        <v>Fail</v>
      </c>
      <c r="BO70" t="e">
        <f>VLOOKUP('VM Specs'!K70,'As Built'!B:B,1,FALSE)</f>
        <v>#N/A</v>
      </c>
      <c r="BP70" t="str">
        <f>IF(ISNA(Table613[[#This Row],[VM Build Sheet Check]]),'VM Specs'!K70,"")</f>
        <v>vmpfbpf2hdr25</v>
      </c>
    </row>
    <row r="71" spans="1:68" ht="33" customHeight="1" x14ac:dyDescent="0.35">
      <c r="A71" t="str">
        <f>IF(COUNTIF(AsBuilt[[#This Row],[VM Check]:[Data Disk 1 Type Check]],"Fail")&gt;0,"Fail","Pass")</f>
        <v>Fail</v>
      </c>
      <c r="B71" t="s">
        <v>1244</v>
      </c>
      <c r="C71" t="s">
        <v>754</v>
      </c>
      <c r="D71" t="s">
        <v>755</v>
      </c>
      <c r="E71" t="s">
        <v>756</v>
      </c>
      <c r="F71" t="s">
        <v>801</v>
      </c>
      <c r="G71" t="s">
        <v>758</v>
      </c>
      <c r="H71" t="s">
        <v>1076</v>
      </c>
      <c r="J71" t="s">
        <v>760</v>
      </c>
      <c r="K71" t="s">
        <v>761</v>
      </c>
      <c r="L71" t="s">
        <v>754</v>
      </c>
      <c r="M71" t="s">
        <v>1245</v>
      </c>
      <c r="N71" t="s">
        <v>763</v>
      </c>
      <c r="O71" t="s">
        <v>764</v>
      </c>
      <c r="P71" t="s">
        <v>63</v>
      </c>
      <c r="R71" t="s">
        <v>1246</v>
      </c>
      <c r="S71" t="s">
        <v>754</v>
      </c>
      <c r="U71" t="s">
        <v>1247</v>
      </c>
      <c r="V71" t="s">
        <v>767</v>
      </c>
      <c r="W71">
        <v>64</v>
      </c>
      <c r="X71" t="s">
        <v>768</v>
      </c>
      <c r="Y71">
        <v>2</v>
      </c>
      <c r="Z71" t="s">
        <v>1248</v>
      </c>
      <c r="AA71">
        <v>8</v>
      </c>
      <c r="AB71" t="s">
        <v>770</v>
      </c>
      <c r="AC71" t="s">
        <v>768</v>
      </c>
      <c r="AD71" t="s">
        <v>1249</v>
      </c>
      <c r="AE71">
        <v>32</v>
      </c>
      <c r="AF71" t="s">
        <v>770</v>
      </c>
      <c r="AG71" t="s">
        <v>768</v>
      </c>
      <c r="AT71" t="s">
        <v>772</v>
      </c>
      <c r="AU71" t="s">
        <v>1231</v>
      </c>
      <c r="AV71" t="str" cm="1">
        <f t="array" ref="AV71">IF(B71=_xlfn.XLOOKUP(B71,VmSpecs[[#All],[VM Name]],VmSpecs[[#All],[VM Name]],"Failed",0,1),"Pass","Fail")</f>
        <v>Fail</v>
      </c>
      <c r="AW71" t="str" cm="1">
        <f t="array" ref="AW71">IF(D71=_xlfn.XLOOKUP($B71,VmSpecs[[#All],[VM Name]],VmSpecs[[#All],[Virtual Machine Resource Groups]],"Failed",0,1),"Pass","Fail")</f>
        <v>Fail</v>
      </c>
      <c r="AX71" t="str" cm="1">
        <f t="array" ref="AX71">IF(_xlfn.IFS(E71="australiacentral","Australia Central 1",E71="australiaeast","Australia East",E71="australiasoutheast","Australia SouthEast")=_xlfn.XLOOKUP($B71,VmSpecs[[#All],[VM Name]],VmSpecs[[#All],[Region]],"Failed",0,1),"Pass","Fail")</f>
        <v>Fail</v>
      </c>
      <c r="AY71" t="str" cm="1">
        <f t="array" ref="AY71">IF(F71=_xlfn.XLOOKUP($B71,VmSpecs[[#All],[VM Name]],VmSpecs[[#All],[Instance size]],"Failed",0,1),"Pass","Fail")</f>
        <v>Fail</v>
      </c>
      <c r="AZ71" t="str" cm="1">
        <f t="array" ref="AZ71">IF(LOWER(H71)=_xlfn.XLOOKUP($B71,VmSpecs[[#All],[VM Name]],VmSpecs[[#All],[Availability Set Name]],"Failed",0,1),"Pass","Fail")</f>
        <v>Fail</v>
      </c>
      <c r="BA71" t="str" cm="1">
        <f t="array" ref="BA71">IF(J71=_xlfn.XLOOKUP($B71,VmSpecs[[#All],[VM Name]],VmSpecs[[#All],[Virtual Network]],"Failed",0,1),"Pass","Fail")</f>
        <v>Fail</v>
      </c>
      <c r="BB71" t="str" cm="1">
        <f t="array" ref="BB71">IF(K71=_xlfn.XLOOKUP($B71,VmSpecs[[#All],[VM Name]],VmSpecs[[#All],[Subnet]],"Failed",0,1),"Pass","Fail")</f>
        <v>Fail</v>
      </c>
      <c r="BC71" t="str" cm="1">
        <f t="array" ref="BC71">IF(M71=_xlfn.XLOOKUP($B71,VmSpecs[[#All],[VM Name]],VmSpecs[[#All],[IP]],"Failed",0,1),"Pass","Fail")</f>
        <v>Fail</v>
      </c>
      <c r="BD71" t="str" cm="1">
        <f t="array" ref="BD71">IF(N71=_xlfn.XLOOKUP($B71,VmSpecs[[#All],[VM Name]],VmSpecs[[#All],[Network Security Group]],"Failed",0,1),"Pass","Fail")</f>
        <v>Fail</v>
      </c>
      <c r="BE71" t="str" cm="1">
        <f t="array" ref="BE71">IF(O71=_xlfn.XLOOKUP($B71,VmSpecs[[#All],[VM Name]],VmSpecs[[#All],[Route Table Name]],"Failed",0,1),"Pass","Fail")</f>
        <v>Fail</v>
      </c>
      <c r="BF71" t="str" cm="1">
        <f t="array" ref="BF71">IF(P71=_xlfn.XLOOKUP($B71,VmSpecs[[#All],[VM Name]],VmSpecs[[#All],[Operating System]],"Failed",0,1),"Pass","Fail")</f>
        <v>Fail</v>
      </c>
      <c r="BG71" t="str" cm="1">
        <f t="array" ref="BG71">IF(R71=_xlfn.XLOOKUP($B71,VmSpecs[[#All],[VM Name]],VmSpecs[[#All],[NIC name]],"Failed",0,1),"Pass","Fail")</f>
        <v>Fail</v>
      </c>
      <c r="BH71" t="str" cm="1">
        <f t="array" ref="BH71">IF(U71=_xlfn.XLOOKUP($B71,VmSpecs[[#All],[VM Name]],VmSpecs[[#All],[OS Disk Name]],"Failed",0,1),"Pass","Fail")</f>
        <v>Fail</v>
      </c>
      <c r="BI71" t="str" cm="1">
        <f t="array" ref="BI71">IF(W71=_xlfn.XLOOKUP($B71,VmSpecs[[#All],[VM Name]],VmSpecs[[#All],[OS Disk Size]],"Failed",0,1),"Pass","Fail")</f>
        <v>Fail</v>
      </c>
      <c r="BJ71" t="str" cm="1">
        <f t="array" ref="BJ71">IF(LEFT(X71,4)=LEFT(_xlfn.XLOOKUP($B71,VmSpecs[[#All],[VM Name]],VmSpecs[[#All],[OS Disk Type (Standard SSD etc)]],"Failed",0,1),4),"Pass","Fail")</f>
        <v>Fail</v>
      </c>
      <c r="BK71" t="str" cm="1">
        <f t="array" ref="BK71">IF(Z71=_xlfn.XLOOKUP($B71,VmSpecs[[#All],[VM Name]],VmSpecs[[#All],[Data Disk1 Name]],"Failed",0,1),"Pass","Fail")</f>
        <v>Fail</v>
      </c>
      <c r="BL71" t="str" cm="1">
        <f t="array" ref="BL71">IF(AA71=_xlfn.XLOOKUP($B71,VmSpecs[[#All],[VM Name]],VmSpecs[[#All],[Data Disk1 Size]],"Failed",0,1),"Pass","Fail")</f>
        <v>Fail</v>
      </c>
      <c r="BM71" t="str" cm="1">
        <f t="array" ref="BM71">IF(LEFT(AC71,4)=LEFT(_xlfn.XLOOKUP($B71,VmSpecs[[#All],[VM Name]],VmSpecs[[#All],[Data Disk1 Type]],"Failed",0,1),4),"Pass","Fail")</f>
        <v>Fail</v>
      </c>
      <c r="BO71" t="e">
        <f>VLOOKUP('VM Specs'!K71,'As Built'!B:B,1,FALSE)</f>
        <v>#N/A</v>
      </c>
      <c r="BP71" t="str">
        <f>IF(ISNA(Table613[[#This Row],[VM Build Sheet Check]]),'VM Specs'!K71,"")</f>
        <v>vmpfbpf2hdr26</v>
      </c>
    </row>
    <row r="72" spans="1:68" ht="33" customHeight="1" x14ac:dyDescent="0.35">
      <c r="A72" t="str">
        <f>IF(COUNTIF(AsBuilt[[#This Row],[VM Check]:[Data Disk 1 Type Check]],"Fail")&gt;0,"Fail","Pass")</f>
        <v>Fail</v>
      </c>
      <c r="B72" t="s">
        <v>1250</v>
      </c>
      <c r="C72" t="s">
        <v>754</v>
      </c>
      <c r="D72" t="s">
        <v>755</v>
      </c>
      <c r="E72" t="s">
        <v>756</v>
      </c>
      <c r="F72" t="s">
        <v>801</v>
      </c>
      <c r="G72" t="s">
        <v>758</v>
      </c>
      <c r="H72" t="s">
        <v>1076</v>
      </c>
      <c r="J72" t="s">
        <v>760</v>
      </c>
      <c r="K72" t="s">
        <v>761</v>
      </c>
      <c r="L72" t="s">
        <v>754</v>
      </c>
      <c r="M72" t="s">
        <v>1251</v>
      </c>
      <c r="N72" t="s">
        <v>763</v>
      </c>
      <c r="O72" t="s">
        <v>764</v>
      </c>
      <c r="P72" t="s">
        <v>63</v>
      </c>
      <c r="R72" t="s">
        <v>1252</v>
      </c>
      <c r="S72" t="s">
        <v>754</v>
      </c>
      <c r="U72" t="s">
        <v>1253</v>
      </c>
      <c r="V72" t="s">
        <v>767</v>
      </c>
      <c r="W72">
        <v>64</v>
      </c>
      <c r="X72" t="s">
        <v>768</v>
      </c>
      <c r="Y72">
        <v>2</v>
      </c>
      <c r="Z72" t="s">
        <v>1254</v>
      </c>
      <c r="AA72">
        <v>8</v>
      </c>
      <c r="AB72" t="s">
        <v>770</v>
      </c>
      <c r="AC72" t="s">
        <v>768</v>
      </c>
      <c r="AD72" t="s">
        <v>1255</v>
      </c>
      <c r="AE72">
        <v>32</v>
      </c>
      <c r="AF72" t="s">
        <v>770</v>
      </c>
      <c r="AG72" t="s">
        <v>768</v>
      </c>
      <c r="AT72" t="s">
        <v>772</v>
      </c>
      <c r="AU72" t="s">
        <v>1231</v>
      </c>
      <c r="AV72" t="str" cm="1">
        <f t="array" ref="AV72">IF(B72=_xlfn.XLOOKUP(B72,VmSpecs[[#All],[VM Name]],VmSpecs[[#All],[VM Name]],"Failed",0,1),"Pass","Fail")</f>
        <v>Fail</v>
      </c>
      <c r="AW72" t="str" cm="1">
        <f t="array" ref="AW72">IF(D72=_xlfn.XLOOKUP($B72,VmSpecs[[#All],[VM Name]],VmSpecs[[#All],[Virtual Machine Resource Groups]],"Failed",0,1),"Pass","Fail")</f>
        <v>Fail</v>
      </c>
      <c r="AX72" t="str" cm="1">
        <f t="array" ref="AX72">IF(_xlfn.IFS(E72="australiacentral","Australia Central 1",E72="australiaeast","Australia East",E72="australiasoutheast","Australia SouthEast")=_xlfn.XLOOKUP($B72,VmSpecs[[#All],[VM Name]],VmSpecs[[#All],[Region]],"Failed",0,1),"Pass","Fail")</f>
        <v>Fail</v>
      </c>
      <c r="AY72" t="str" cm="1">
        <f t="array" ref="AY72">IF(F72=_xlfn.XLOOKUP($B72,VmSpecs[[#All],[VM Name]],VmSpecs[[#All],[Instance size]],"Failed",0,1),"Pass","Fail")</f>
        <v>Fail</v>
      </c>
      <c r="AZ72" t="str" cm="1">
        <f t="array" ref="AZ72">IF(LOWER(H72)=_xlfn.XLOOKUP($B72,VmSpecs[[#All],[VM Name]],VmSpecs[[#All],[Availability Set Name]],"Failed",0,1),"Pass","Fail")</f>
        <v>Fail</v>
      </c>
      <c r="BA72" t="str" cm="1">
        <f t="array" ref="BA72">IF(J72=_xlfn.XLOOKUP($B72,VmSpecs[[#All],[VM Name]],VmSpecs[[#All],[Virtual Network]],"Failed",0,1),"Pass","Fail")</f>
        <v>Fail</v>
      </c>
      <c r="BB72" t="str" cm="1">
        <f t="array" ref="BB72">IF(K72=_xlfn.XLOOKUP($B72,VmSpecs[[#All],[VM Name]],VmSpecs[[#All],[Subnet]],"Failed",0,1),"Pass","Fail")</f>
        <v>Fail</v>
      </c>
      <c r="BC72" t="str" cm="1">
        <f t="array" ref="BC72">IF(M72=_xlfn.XLOOKUP($B72,VmSpecs[[#All],[VM Name]],VmSpecs[[#All],[IP]],"Failed",0,1),"Pass","Fail")</f>
        <v>Fail</v>
      </c>
      <c r="BD72" t="str" cm="1">
        <f t="array" ref="BD72">IF(N72=_xlfn.XLOOKUP($B72,VmSpecs[[#All],[VM Name]],VmSpecs[[#All],[Network Security Group]],"Failed",0,1),"Pass","Fail")</f>
        <v>Fail</v>
      </c>
      <c r="BE72" t="str" cm="1">
        <f t="array" ref="BE72">IF(O72=_xlfn.XLOOKUP($B72,VmSpecs[[#All],[VM Name]],VmSpecs[[#All],[Route Table Name]],"Failed",0,1),"Pass","Fail")</f>
        <v>Fail</v>
      </c>
      <c r="BF72" t="str" cm="1">
        <f t="array" ref="BF72">IF(P72=_xlfn.XLOOKUP($B72,VmSpecs[[#All],[VM Name]],VmSpecs[[#All],[Operating System]],"Failed",0,1),"Pass","Fail")</f>
        <v>Fail</v>
      </c>
      <c r="BG72" t="str" cm="1">
        <f t="array" ref="BG72">IF(R72=_xlfn.XLOOKUP($B72,VmSpecs[[#All],[VM Name]],VmSpecs[[#All],[NIC name]],"Failed",0,1),"Pass","Fail")</f>
        <v>Fail</v>
      </c>
      <c r="BH72" t="str" cm="1">
        <f t="array" ref="BH72">IF(U72=_xlfn.XLOOKUP($B72,VmSpecs[[#All],[VM Name]],VmSpecs[[#All],[OS Disk Name]],"Failed",0,1),"Pass","Fail")</f>
        <v>Fail</v>
      </c>
      <c r="BI72" t="str" cm="1">
        <f t="array" ref="BI72">IF(W72=_xlfn.XLOOKUP($B72,VmSpecs[[#All],[VM Name]],VmSpecs[[#All],[OS Disk Size]],"Failed",0,1),"Pass","Fail")</f>
        <v>Fail</v>
      </c>
      <c r="BJ72" t="str" cm="1">
        <f t="array" ref="BJ72">IF(LEFT(X72,4)=LEFT(_xlfn.XLOOKUP($B72,VmSpecs[[#All],[VM Name]],VmSpecs[[#All],[OS Disk Type (Standard SSD etc)]],"Failed",0,1),4),"Pass","Fail")</f>
        <v>Fail</v>
      </c>
      <c r="BK72" t="str" cm="1">
        <f t="array" ref="BK72">IF(Z72=_xlfn.XLOOKUP($B72,VmSpecs[[#All],[VM Name]],VmSpecs[[#All],[Data Disk1 Name]],"Failed",0,1),"Pass","Fail")</f>
        <v>Fail</v>
      </c>
      <c r="BL72" t="str" cm="1">
        <f t="array" ref="BL72">IF(AA72=_xlfn.XLOOKUP($B72,VmSpecs[[#All],[VM Name]],VmSpecs[[#All],[Data Disk1 Size]],"Failed",0,1),"Pass","Fail")</f>
        <v>Fail</v>
      </c>
      <c r="BM72" t="str" cm="1">
        <f t="array" ref="BM72">IF(LEFT(AC72,4)=LEFT(_xlfn.XLOOKUP($B72,VmSpecs[[#All],[VM Name]],VmSpecs[[#All],[Data Disk1 Type]],"Failed",0,1),4),"Pass","Fail")</f>
        <v>Fail</v>
      </c>
      <c r="BO72" t="e">
        <f>VLOOKUP('VM Specs'!K72,'As Built'!B:B,1,FALSE)</f>
        <v>#N/A</v>
      </c>
      <c r="BP72" t="str">
        <f>IF(ISNA(Table613[[#This Row],[VM Build Sheet Check]]),'VM Specs'!K72,"")</f>
        <v>vmpfbpf2hdr27</v>
      </c>
    </row>
    <row r="73" spans="1:68" ht="33" customHeight="1" x14ac:dyDescent="0.35">
      <c r="A73" t="str">
        <f>IF(COUNTIF(AsBuilt[[#This Row],[VM Check]:[Data Disk 1 Type Check]],"Fail")&gt;0,"Fail","Pass")</f>
        <v>Fail</v>
      </c>
      <c r="B73" t="s">
        <v>1256</v>
      </c>
      <c r="C73" t="s">
        <v>754</v>
      </c>
      <c r="D73" t="s">
        <v>755</v>
      </c>
      <c r="E73" t="s">
        <v>756</v>
      </c>
      <c r="F73" t="s">
        <v>801</v>
      </c>
      <c r="G73" t="s">
        <v>758</v>
      </c>
      <c r="H73" t="s">
        <v>1076</v>
      </c>
      <c r="J73" t="s">
        <v>760</v>
      </c>
      <c r="K73" t="s">
        <v>761</v>
      </c>
      <c r="L73" t="s">
        <v>754</v>
      </c>
      <c r="M73" t="s">
        <v>1257</v>
      </c>
      <c r="N73" t="s">
        <v>763</v>
      </c>
      <c r="O73" t="s">
        <v>764</v>
      </c>
      <c r="P73" t="s">
        <v>63</v>
      </c>
      <c r="R73" t="s">
        <v>1258</v>
      </c>
      <c r="S73" t="s">
        <v>754</v>
      </c>
      <c r="U73" t="s">
        <v>1259</v>
      </c>
      <c r="V73" t="s">
        <v>767</v>
      </c>
      <c r="W73">
        <v>64</v>
      </c>
      <c r="X73" t="s">
        <v>768</v>
      </c>
      <c r="Y73">
        <v>2</v>
      </c>
      <c r="Z73" t="s">
        <v>1260</v>
      </c>
      <c r="AA73">
        <v>8</v>
      </c>
      <c r="AB73" t="s">
        <v>770</v>
      </c>
      <c r="AC73" t="s">
        <v>768</v>
      </c>
      <c r="AD73" t="s">
        <v>1261</v>
      </c>
      <c r="AE73">
        <v>32</v>
      </c>
      <c r="AF73" t="s">
        <v>770</v>
      </c>
      <c r="AG73" t="s">
        <v>768</v>
      </c>
      <c r="AT73" t="s">
        <v>772</v>
      </c>
      <c r="AU73" t="s">
        <v>1231</v>
      </c>
      <c r="AV73" t="str" cm="1">
        <f t="array" ref="AV73">IF(B73=_xlfn.XLOOKUP(B73,VmSpecs[[#All],[VM Name]],VmSpecs[[#All],[VM Name]],"Failed",0,1),"Pass","Fail")</f>
        <v>Fail</v>
      </c>
      <c r="AW73" t="str" cm="1">
        <f t="array" ref="AW73">IF(D73=_xlfn.XLOOKUP($B73,VmSpecs[[#All],[VM Name]],VmSpecs[[#All],[Virtual Machine Resource Groups]],"Failed",0,1),"Pass","Fail")</f>
        <v>Fail</v>
      </c>
      <c r="AX73" t="str" cm="1">
        <f t="array" ref="AX73">IF(_xlfn.IFS(E73="australiacentral","Australia Central 1",E73="australiaeast","Australia East",E73="australiasoutheast","Australia SouthEast")=_xlfn.XLOOKUP($B73,VmSpecs[[#All],[VM Name]],VmSpecs[[#All],[Region]],"Failed",0,1),"Pass","Fail")</f>
        <v>Fail</v>
      </c>
      <c r="AY73" t="str" cm="1">
        <f t="array" ref="AY73">IF(F73=_xlfn.XLOOKUP($B73,VmSpecs[[#All],[VM Name]],VmSpecs[[#All],[Instance size]],"Failed",0,1),"Pass","Fail")</f>
        <v>Fail</v>
      </c>
      <c r="AZ73" t="str" cm="1">
        <f t="array" ref="AZ73">IF(LOWER(H73)=_xlfn.XLOOKUP($B73,VmSpecs[[#All],[VM Name]],VmSpecs[[#All],[Availability Set Name]],"Failed",0,1),"Pass","Fail")</f>
        <v>Fail</v>
      </c>
      <c r="BA73" t="str" cm="1">
        <f t="array" ref="BA73">IF(J73=_xlfn.XLOOKUP($B73,VmSpecs[[#All],[VM Name]],VmSpecs[[#All],[Virtual Network]],"Failed",0,1),"Pass","Fail")</f>
        <v>Fail</v>
      </c>
      <c r="BB73" t="str" cm="1">
        <f t="array" ref="BB73">IF(K73=_xlfn.XLOOKUP($B73,VmSpecs[[#All],[VM Name]],VmSpecs[[#All],[Subnet]],"Failed",0,1),"Pass","Fail")</f>
        <v>Fail</v>
      </c>
      <c r="BC73" t="str" cm="1">
        <f t="array" ref="BC73">IF(M73=_xlfn.XLOOKUP($B73,VmSpecs[[#All],[VM Name]],VmSpecs[[#All],[IP]],"Failed",0,1),"Pass","Fail")</f>
        <v>Fail</v>
      </c>
      <c r="BD73" t="str" cm="1">
        <f t="array" ref="BD73">IF(N73=_xlfn.XLOOKUP($B73,VmSpecs[[#All],[VM Name]],VmSpecs[[#All],[Network Security Group]],"Failed",0,1),"Pass","Fail")</f>
        <v>Fail</v>
      </c>
      <c r="BE73" t="str" cm="1">
        <f t="array" ref="BE73">IF(O73=_xlfn.XLOOKUP($B73,VmSpecs[[#All],[VM Name]],VmSpecs[[#All],[Route Table Name]],"Failed",0,1),"Pass","Fail")</f>
        <v>Fail</v>
      </c>
      <c r="BF73" t="str" cm="1">
        <f t="array" ref="BF73">IF(P73=_xlfn.XLOOKUP($B73,VmSpecs[[#All],[VM Name]],VmSpecs[[#All],[Operating System]],"Failed",0,1),"Pass","Fail")</f>
        <v>Fail</v>
      </c>
      <c r="BG73" t="str" cm="1">
        <f t="array" ref="BG73">IF(R73=_xlfn.XLOOKUP($B73,VmSpecs[[#All],[VM Name]],VmSpecs[[#All],[NIC name]],"Failed",0,1),"Pass","Fail")</f>
        <v>Fail</v>
      </c>
      <c r="BH73" t="str" cm="1">
        <f t="array" ref="BH73">IF(U73=_xlfn.XLOOKUP($B73,VmSpecs[[#All],[VM Name]],VmSpecs[[#All],[OS Disk Name]],"Failed",0,1),"Pass","Fail")</f>
        <v>Fail</v>
      </c>
      <c r="BI73" t="str" cm="1">
        <f t="array" ref="BI73">IF(W73=_xlfn.XLOOKUP($B73,VmSpecs[[#All],[VM Name]],VmSpecs[[#All],[OS Disk Size]],"Failed",0,1),"Pass","Fail")</f>
        <v>Fail</v>
      </c>
      <c r="BJ73" t="str" cm="1">
        <f t="array" ref="BJ73">IF(LEFT(X73,4)=LEFT(_xlfn.XLOOKUP($B73,VmSpecs[[#All],[VM Name]],VmSpecs[[#All],[OS Disk Type (Standard SSD etc)]],"Failed",0,1),4),"Pass","Fail")</f>
        <v>Fail</v>
      </c>
      <c r="BK73" t="str" cm="1">
        <f t="array" ref="BK73">IF(Z73=_xlfn.XLOOKUP($B73,VmSpecs[[#All],[VM Name]],VmSpecs[[#All],[Data Disk1 Name]],"Failed",0,1),"Pass","Fail")</f>
        <v>Fail</v>
      </c>
      <c r="BL73" t="str" cm="1">
        <f t="array" ref="BL73">IF(AA73=_xlfn.XLOOKUP($B73,VmSpecs[[#All],[VM Name]],VmSpecs[[#All],[Data Disk1 Size]],"Failed",0,1),"Pass","Fail")</f>
        <v>Fail</v>
      </c>
      <c r="BM73" t="str" cm="1">
        <f t="array" ref="BM73">IF(LEFT(AC73,4)=LEFT(_xlfn.XLOOKUP($B73,VmSpecs[[#All],[VM Name]],VmSpecs[[#All],[Data Disk1 Type]],"Failed",0,1),4),"Pass","Fail")</f>
        <v>Fail</v>
      </c>
      <c r="BO73" t="e">
        <f>VLOOKUP('VM Specs'!K73,'As Built'!B:B,1,FALSE)</f>
        <v>#N/A</v>
      </c>
      <c r="BP73" t="str">
        <f>IF(ISNA(Table613[[#This Row],[VM Build Sheet Check]]),'VM Specs'!K73,"")</f>
        <v>vmpfbpf2hdr28</v>
      </c>
    </row>
    <row r="74" spans="1:68" ht="33" customHeight="1" x14ac:dyDescent="0.35">
      <c r="A74" t="str">
        <f>IF(COUNTIF(AsBuilt[[#This Row],[VM Check]:[Data Disk 1 Type Check]],"Fail")&gt;0,"Fail","Pass")</f>
        <v>Fail</v>
      </c>
      <c r="B74" t="s">
        <v>1262</v>
      </c>
      <c r="C74" t="s">
        <v>754</v>
      </c>
      <c r="D74" t="s">
        <v>755</v>
      </c>
      <c r="E74" t="s">
        <v>756</v>
      </c>
      <c r="F74" t="s">
        <v>801</v>
      </c>
      <c r="G74" t="s">
        <v>758</v>
      </c>
      <c r="H74" t="s">
        <v>1076</v>
      </c>
      <c r="J74" t="s">
        <v>760</v>
      </c>
      <c r="K74" t="s">
        <v>761</v>
      </c>
      <c r="L74" t="s">
        <v>754</v>
      </c>
      <c r="M74" t="s">
        <v>1263</v>
      </c>
      <c r="N74" t="s">
        <v>763</v>
      </c>
      <c r="O74" t="s">
        <v>764</v>
      </c>
      <c r="P74" t="s">
        <v>63</v>
      </c>
      <c r="R74" t="s">
        <v>1264</v>
      </c>
      <c r="S74" t="s">
        <v>754</v>
      </c>
      <c r="U74" t="s">
        <v>1265</v>
      </c>
      <c r="V74" t="s">
        <v>767</v>
      </c>
      <c r="W74">
        <v>64</v>
      </c>
      <c r="X74" t="s">
        <v>768</v>
      </c>
      <c r="Y74">
        <v>2</v>
      </c>
      <c r="Z74" t="s">
        <v>1266</v>
      </c>
      <c r="AA74">
        <v>8</v>
      </c>
      <c r="AB74" t="s">
        <v>770</v>
      </c>
      <c r="AC74" t="s">
        <v>768</v>
      </c>
      <c r="AD74" t="s">
        <v>1267</v>
      </c>
      <c r="AE74">
        <v>32</v>
      </c>
      <c r="AF74" t="s">
        <v>770</v>
      </c>
      <c r="AG74" t="s">
        <v>768</v>
      </c>
      <c r="AT74" t="s">
        <v>772</v>
      </c>
      <c r="AU74" t="s">
        <v>1231</v>
      </c>
      <c r="AV74" t="str" cm="1">
        <f t="array" ref="AV74">IF(B74=_xlfn.XLOOKUP(B74,VmSpecs[[#All],[VM Name]],VmSpecs[[#All],[VM Name]],"Failed",0,1),"Pass","Fail")</f>
        <v>Fail</v>
      </c>
      <c r="AW74" t="str" cm="1">
        <f t="array" ref="AW74">IF(D74=_xlfn.XLOOKUP($B74,VmSpecs[[#All],[VM Name]],VmSpecs[[#All],[Virtual Machine Resource Groups]],"Failed",0,1),"Pass","Fail")</f>
        <v>Fail</v>
      </c>
      <c r="AX74" t="str" cm="1">
        <f t="array" ref="AX74">IF(_xlfn.IFS(E74="australiacentral","Australia Central 1",E74="australiaeast","Australia East",E74="australiasoutheast","Australia SouthEast")=_xlfn.XLOOKUP($B74,VmSpecs[[#All],[VM Name]],VmSpecs[[#All],[Region]],"Failed",0,1),"Pass","Fail")</f>
        <v>Fail</v>
      </c>
      <c r="AY74" t="str" cm="1">
        <f t="array" ref="AY74">IF(F74=_xlfn.XLOOKUP($B74,VmSpecs[[#All],[VM Name]],VmSpecs[[#All],[Instance size]],"Failed",0,1),"Pass","Fail")</f>
        <v>Fail</v>
      </c>
      <c r="AZ74" t="str" cm="1">
        <f t="array" ref="AZ74">IF(LOWER(H74)=_xlfn.XLOOKUP($B74,VmSpecs[[#All],[VM Name]],VmSpecs[[#All],[Availability Set Name]],"Failed",0,1),"Pass","Fail")</f>
        <v>Fail</v>
      </c>
      <c r="BA74" t="str" cm="1">
        <f t="array" ref="BA74">IF(J74=_xlfn.XLOOKUP($B74,VmSpecs[[#All],[VM Name]],VmSpecs[[#All],[Virtual Network]],"Failed",0,1),"Pass","Fail")</f>
        <v>Fail</v>
      </c>
      <c r="BB74" t="str" cm="1">
        <f t="array" ref="BB74">IF(K74=_xlfn.XLOOKUP($B74,VmSpecs[[#All],[VM Name]],VmSpecs[[#All],[Subnet]],"Failed",0,1),"Pass","Fail")</f>
        <v>Fail</v>
      </c>
      <c r="BC74" t="str" cm="1">
        <f t="array" ref="BC74">IF(M74=_xlfn.XLOOKUP($B74,VmSpecs[[#All],[VM Name]],VmSpecs[[#All],[IP]],"Failed",0,1),"Pass","Fail")</f>
        <v>Fail</v>
      </c>
      <c r="BD74" t="str" cm="1">
        <f t="array" ref="BD74">IF(N74=_xlfn.XLOOKUP($B74,VmSpecs[[#All],[VM Name]],VmSpecs[[#All],[Network Security Group]],"Failed",0,1),"Pass","Fail")</f>
        <v>Fail</v>
      </c>
      <c r="BE74" t="str" cm="1">
        <f t="array" ref="BE74">IF(O74=_xlfn.XLOOKUP($B74,VmSpecs[[#All],[VM Name]],VmSpecs[[#All],[Route Table Name]],"Failed",0,1),"Pass","Fail")</f>
        <v>Fail</v>
      </c>
      <c r="BF74" t="str" cm="1">
        <f t="array" ref="BF74">IF(P74=_xlfn.XLOOKUP($B74,VmSpecs[[#All],[VM Name]],VmSpecs[[#All],[Operating System]],"Failed",0,1),"Pass","Fail")</f>
        <v>Fail</v>
      </c>
      <c r="BG74" t="str" cm="1">
        <f t="array" ref="BG74">IF(R74=_xlfn.XLOOKUP($B74,VmSpecs[[#All],[VM Name]],VmSpecs[[#All],[NIC name]],"Failed",0,1),"Pass","Fail")</f>
        <v>Fail</v>
      </c>
      <c r="BH74" t="str" cm="1">
        <f t="array" ref="BH74">IF(U74=_xlfn.XLOOKUP($B74,VmSpecs[[#All],[VM Name]],VmSpecs[[#All],[OS Disk Name]],"Failed",0,1),"Pass","Fail")</f>
        <v>Fail</v>
      </c>
      <c r="BI74" t="str" cm="1">
        <f t="array" ref="BI74">IF(W74=_xlfn.XLOOKUP($B74,VmSpecs[[#All],[VM Name]],VmSpecs[[#All],[OS Disk Size]],"Failed",0,1),"Pass","Fail")</f>
        <v>Fail</v>
      </c>
      <c r="BJ74" t="str" cm="1">
        <f t="array" ref="BJ74">IF(LEFT(X74,4)=LEFT(_xlfn.XLOOKUP($B74,VmSpecs[[#All],[VM Name]],VmSpecs[[#All],[OS Disk Type (Standard SSD etc)]],"Failed",0,1),4),"Pass","Fail")</f>
        <v>Fail</v>
      </c>
      <c r="BK74" t="str" cm="1">
        <f t="array" ref="BK74">IF(Z74=_xlfn.XLOOKUP($B74,VmSpecs[[#All],[VM Name]],VmSpecs[[#All],[Data Disk1 Name]],"Failed",0,1),"Pass","Fail")</f>
        <v>Fail</v>
      </c>
      <c r="BL74" t="str" cm="1">
        <f t="array" ref="BL74">IF(AA74=_xlfn.XLOOKUP($B74,VmSpecs[[#All],[VM Name]],VmSpecs[[#All],[Data Disk1 Size]],"Failed",0,1),"Pass","Fail")</f>
        <v>Fail</v>
      </c>
      <c r="BM74" t="str" cm="1">
        <f t="array" ref="BM74">IF(LEFT(AC74,4)=LEFT(_xlfn.XLOOKUP($B74,VmSpecs[[#All],[VM Name]],VmSpecs[[#All],[Data Disk1 Type]],"Failed",0,1),4),"Pass","Fail")</f>
        <v>Fail</v>
      </c>
      <c r="BO74" t="e">
        <f>VLOOKUP('VM Specs'!K74,'As Built'!B:B,1,FALSE)</f>
        <v>#N/A</v>
      </c>
      <c r="BP74" t="str">
        <f>IF(ISNA(Table613[[#This Row],[VM Build Sheet Check]]),'VM Specs'!K74,"")</f>
        <v>vmpfbpf2hdr29</v>
      </c>
    </row>
    <row r="75" spans="1:68" ht="33" customHeight="1" x14ac:dyDescent="0.35">
      <c r="A75" t="str">
        <f>IF(COUNTIF(AsBuilt[[#This Row],[VM Check]:[Data Disk 1 Type Check]],"Fail")&gt;0,"Fail","Pass")</f>
        <v>Fail</v>
      </c>
      <c r="B75" t="s">
        <v>1268</v>
      </c>
      <c r="C75" t="s">
        <v>754</v>
      </c>
      <c r="D75" t="s">
        <v>755</v>
      </c>
      <c r="E75" t="s">
        <v>756</v>
      </c>
      <c r="F75" t="s">
        <v>801</v>
      </c>
      <c r="G75" t="s">
        <v>758</v>
      </c>
      <c r="H75" t="s">
        <v>1076</v>
      </c>
      <c r="J75" t="s">
        <v>760</v>
      </c>
      <c r="K75" t="s">
        <v>761</v>
      </c>
      <c r="L75" t="s">
        <v>754</v>
      </c>
      <c r="M75" t="s">
        <v>1269</v>
      </c>
      <c r="N75" t="s">
        <v>763</v>
      </c>
      <c r="O75" t="s">
        <v>764</v>
      </c>
      <c r="P75" t="s">
        <v>63</v>
      </c>
      <c r="R75" t="s">
        <v>1270</v>
      </c>
      <c r="S75" t="s">
        <v>754</v>
      </c>
      <c r="U75" t="s">
        <v>1271</v>
      </c>
      <c r="V75" t="s">
        <v>767</v>
      </c>
      <c r="W75">
        <v>64</v>
      </c>
      <c r="X75" t="s">
        <v>768</v>
      </c>
      <c r="Y75">
        <v>2</v>
      </c>
      <c r="Z75" t="s">
        <v>1272</v>
      </c>
      <c r="AA75">
        <v>8</v>
      </c>
      <c r="AB75" t="s">
        <v>770</v>
      </c>
      <c r="AC75" t="s">
        <v>768</v>
      </c>
      <c r="AD75" t="s">
        <v>1273</v>
      </c>
      <c r="AE75">
        <v>32</v>
      </c>
      <c r="AF75" t="s">
        <v>770</v>
      </c>
      <c r="AG75" t="s">
        <v>768</v>
      </c>
      <c r="AT75" t="s">
        <v>772</v>
      </c>
      <c r="AU75" t="s">
        <v>1231</v>
      </c>
      <c r="AV75" t="str" cm="1">
        <f t="array" ref="AV75">IF(B75=_xlfn.XLOOKUP(B75,VmSpecs[[#All],[VM Name]],VmSpecs[[#All],[VM Name]],"Failed",0,1),"Pass","Fail")</f>
        <v>Fail</v>
      </c>
      <c r="AW75" t="str" cm="1">
        <f t="array" ref="AW75">IF(D75=_xlfn.XLOOKUP($B75,VmSpecs[[#All],[VM Name]],VmSpecs[[#All],[Virtual Machine Resource Groups]],"Failed",0,1),"Pass","Fail")</f>
        <v>Fail</v>
      </c>
      <c r="AX75" t="str" cm="1">
        <f t="array" ref="AX75">IF(_xlfn.IFS(E75="australiacentral","Australia Central 1",E75="australiaeast","Australia East",E75="australiasoutheast","Australia SouthEast")=_xlfn.XLOOKUP($B75,VmSpecs[[#All],[VM Name]],VmSpecs[[#All],[Region]],"Failed",0,1),"Pass","Fail")</f>
        <v>Fail</v>
      </c>
      <c r="AY75" t="str" cm="1">
        <f t="array" ref="AY75">IF(F75=_xlfn.XLOOKUP($B75,VmSpecs[[#All],[VM Name]],VmSpecs[[#All],[Instance size]],"Failed",0,1),"Pass","Fail")</f>
        <v>Fail</v>
      </c>
      <c r="AZ75" t="str" cm="1">
        <f t="array" ref="AZ75">IF(LOWER(H75)=_xlfn.XLOOKUP($B75,VmSpecs[[#All],[VM Name]],VmSpecs[[#All],[Availability Set Name]],"Failed",0,1),"Pass","Fail")</f>
        <v>Fail</v>
      </c>
      <c r="BA75" t="str" cm="1">
        <f t="array" ref="BA75">IF(J75=_xlfn.XLOOKUP($B75,VmSpecs[[#All],[VM Name]],VmSpecs[[#All],[Virtual Network]],"Failed",0,1),"Pass","Fail")</f>
        <v>Fail</v>
      </c>
      <c r="BB75" t="str" cm="1">
        <f t="array" ref="BB75">IF(K75=_xlfn.XLOOKUP($B75,VmSpecs[[#All],[VM Name]],VmSpecs[[#All],[Subnet]],"Failed",0,1),"Pass","Fail")</f>
        <v>Fail</v>
      </c>
      <c r="BC75" t="str" cm="1">
        <f t="array" ref="BC75">IF(M75=_xlfn.XLOOKUP($B75,VmSpecs[[#All],[VM Name]],VmSpecs[[#All],[IP]],"Failed",0,1),"Pass","Fail")</f>
        <v>Fail</v>
      </c>
      <c r="BD75" t="str" cm="1">
        <f t="array" ref="BD75">IF(N75=_xlfn.XLOOKUP($B75,VmSpecs[[#All],[VM Name]],VmSpecs[[#All],[Network Security Group]],"Failed",0,1),"Pass","Fail")</f>
        <v>Fail</v>
      </c>
      <c r="BE75" t="str" cm="1">
        <f t="array" ref="BE75">IF(O75=_xlfn.XLOOKUP($B75,VmSpecs[[#All],[VM Name]],VmSpecs[[#All],[Route Table Name]],"Failed",0,1),"Pass","Fail")</f>
        <v>Fail</v>
      </c>
      <c r="BF75" t="str" cm="1">
        <f t="array" ref="BF75">IF(P75=_xlfn.XLOOKUP($B75,VmSpecs[[#All],[VM Name]],VmSpecs[[#All],[Operating System]],"Failed",0,1),"Pass","Fail")</f>
        <v>Fail</v>
      </c>
      <c r="BG75" t="str" cm="1">
        <f t="array" ref="BG75">IF(R75=_xlfn.XLOOKUP($B75,VmSpecs[[#All],[VM Name]],VmSpecs[[#All],[NIC name]],"Failed",0,1),"Pass","Fail")</f>
        <v>Fail</v>
      </c>
      <c r="BH75" t="str" cm="1">
        <f t="array" ref="BH75">IF(U75=_xlfn.XLOOKUP($B75,VmSpecs[[#All],[VM Name]],VmSpecs[[#All],[OS Disk Name]],"Failed",0,1),"Pass","Fail")</f>
        <v>Fail</v>
      </c>
      <c r="BI75" t="str" cm="1">
        <f t="array" ref="BI75">IF(W75=_xlfn.XLOOKUP($B75,VmSpecs[[#All],[VM Name]],VmSpecs[[#All],[OS Disk Size]],"Failed",0,1),"Pass","Fail")</f>
        <v>Fail</v>
      </c>
      <c r="BJ75" t="str" cm="1">
        <f t="array" ref="BJ75">IF(LEFT(X75,4)=LEFT(_xlfn.XLOOKUP($B75,VmSpecs[[#All],[VM Name]],VmSpecs[[#All],[OS Disk Type (Standard SSD etc)]],"Failed",0,1),4),"Pass","Fail")</f>
        <v>Fail</v>
      </c>
      <c r="BK75" t="str" cm="1">
        <f t="array" ref="BK75">IF(Z75=_xlfn.XLOOKUP($B75,VmSpecs[[#All],[VM Name]],VmSpecs[[#All],[Data Disk1 Name]],"Failed",0,1),"Pass","Fail")</f>
        <v>Fail</v>
      </c>
      <c r="BL75" t="str" cm="1">
        <f t="array" ref="BL75">IF(AA75=_xlfn.XLOOKUP($B75,VmSpecs[[#All],[VM Name]],VmSpecs[[#All],[Data Disk1 Size]],"Failed",0,1),"Pass","Fail")</f>
        <v>Fail</v>
      </c>
      <c r="BM75" t="str" cm="1">
        <f t="array" ref="BM75">IF(LEFT(AC75,4)=LEFT(_xlfn.XLOOKUP($B75,VmSpecs[[#All],[VM Name]],VmSpecs[[#All],[Data Disk1 Type]],"Failed",0,1),4),"Pass","Fail")</f>
        <v>Fail</v>
      </c>
      <c r="BO75" t="e">
        <f>VLOOKUP('VM Specs'!K75,'As Built'!B:B,1,FALSE)</f>
        <v>#N/A</v>
      </c>
      <c r="BP75" t="str">
        <f>IF(ISNA(Table613[[#This Row],[VM Build Sheet Check]]),'VM Specs'!K75,"")</f>
        <v>vmpfbpf2hdr30</v>
      </c>
    </row>
    <row r="76" spans="1:68" ht="33" customHeight="1" x14ac:dyDescent="0.35">
      <c r="A76" t="str">
        <f>IF(COUNTIF(AsBuilt[[#This Row],[VM Check]:[Data Disk 1 Type Check]],"Fail")&gt;0,"Fail","Pass")</f>
        <v>Fail</v>
      </c>
      <c r="B76" t="s">
        <v>1274</v>
      </c>
      <c r="C76" t="s">
        <v>754</v>
      </c>
      <c r="D76" t="s">
        <v>755</v>
      </c>
      <c r="E76" t="s">
        <v>756</v>
      </c>
      <c r="F76" t="s">
        <v>801</v>
      </c>
      <c r="G76" t="s">
        <v>758</v>
      </c>
      <c r="H76" t="s">
        <v>1076</v>
      </c>
      <c r="J76" t="s">
        <v>760</v>
      </c>
      <c r="K76" t="s">
        <v>761</v>
      </c>
      <c r="L76" t="s">
        <v>754</v>
      </c>
      <c r="M76" t="s">
        <v>1275</v>
      </c>
      <c r="N76" t="s">
        <v>763</v>
      </c>
      <c r="O76" t="s">
        <v>764</v>
      </c>
      <c r="P76" t="s">
        <v>63</v>
      </c>
      <c r="R76" t="s">
        <v>1276</v>
      </c>
      <c r="S76" t="s">
        <v>754</v>
      </c>
      <c r="U76" t="s">
        <v>1277</v>
      </c>
      <c r="V76" t="s">
        <v>767</v>
      </c>
      <c r="W76">
        <v>64</v>
      </c>
      <c r="X76" t="s">
        <v>768</v>
      </c>
      <c r="Y76">
        <v>2</v>
      </c>
      <c r="Z76" t="s">
        <v>1278</v>
      </c>
      <c r="AA76">
        <v>8</v>
      </c>
      <c r="AB76" t="s">
        <v>770</v>
      </c>
      <c r="AC76" t="s">
        <v>768</v>
      </c>
      <c r="AD76" t="s">
        <v>1279</v>
      </c>
      <c r="AE76">
        <v>32</v>
      </c>
      <c r="AF76" t="s">
        <v>770</v>
      </c>
      <c r="AG76" t="s">
        <v>768</v>
      </c>
      <c r="AT76" t="s">
        <v>772</v>
      </c>
      <c r="AU76" t="s">
        <v>1231</v>
      </c>
      <c r="AV76" t="str" cm="1">
        <f t="array" ref="AV76">IF(B76=_xlfn.XLOOKUP(B76,VmSpecs[[#All],[VM Name]],VmSpecs[[#All],[VM Name]],"Failed",0,1),"Pass","Fail")</f>
        <v>Fail</v>
      </c>
      <c r="AW76" t="str" cm="1">
        <f t="array" ref="AW76">IF(D76=_xlfn.XLOOKUP($B76,VmSpecs[[#All],[VM Name]],VmSpecs[[#All],[Virtual Machine Resource Groups]],"Failed",0,1),"Pass","Fail")</f>
        <v>Fail</v>
      </c>
      <c r="AX76" t="str" cm="1">
        <f t="array" ref="AX76">IF(_xlfn.IFS(E76="australiacentral","Australia Central 1",E76="australiaeast","Australia East",E76="australiasoutheast","Australia SouthEast")=_xlfn.XLOOKUP($B76,VmSpecs[[#All],[VM Name]],VmSpecs[[#All],[Region]],"Failed",0,1),"Pass","Fail")</f>
        <v>Fail</v>
      </c>
      <c r="AY76" t="str" cm="1">
        <f t="array" ref="AY76">IF(F76=_xlfn.XLOOKUP($B76,VmSpecs[[#All],[VM Name]],VmSpecs[[#All],[Instance size]],"Failed",0,1),"Pass","Fail")</f>
        <v>Fail</v>
      </c>
      <c r="AZ76" t="str" cm="1">
        <f t="array" ref="AZ76">IF(LOWER(H76)=_xlfn.XLOOKUP($B76,VmSpecs[[#All],[VM Name]],VmSpecs[[#All],[Availability Set Name]],"Failed",0,1),"Pass","Fail")</f>
        <v>Fail</v>
      </c>
      <c r="BA76" t="str" cm="1">
        <f t="array" ref="BA76">IF(J76=_xlfn.XLOOKUP($B76,VmSpecs[[#All],[VM Name]],VmSpecs[[#All],[Virtual Network]],"Failed",0,1),"Pass","Fail")</f>
        <v>Fail</v>
      </c>
      <c r="BB76" t="str" cm="1">
        <f t="array" ref="BB76">IF(K76=_xlfn.XLOOKUP($B76,VmSpecs[[#All],[VM Name]],VmSpecs[[#All],[Subnet]],"Failed",0,1),"Pass","Fail")</f>
        <v>Fail</v>
      </c>
      <c r="BC76" t="str" cm="1">
        <f t="array" ref="BC76">IF(M76=_xlfn.XLOOKUP($B76,VmSpecs[[#All],[VM Name]],VmSpecs[[#All],[IP]],"Failed",0,1),"Pass","Fail")</f>
        <v>Fail</v>
      </c>
      <c r="BD76" t="str" cm="1">
        <f t="array" ref="BD76">IF(N76=_xlfn.XLOOKUP($B76,VmSpecs[[#All],[VM Name]],VmSpecs[[#All],[Network Security Group]],"Failed",0,1),"Pass","Fail")</f>
        <v>Fail</v>
      </c>
      <c r="BE76" t="str" cm="1">
        <f t="array" ref="BE76">IF(O76=_xlfn.XLOOKUP($B76,VmSpecs[[#All],[VM Name]],VmSpecs[[#All],[Route Table Name]],"Failed",0,1),"Pass","Fail")</f>
        <v>Fail</v>
      </c>
      <c r="BF76" t="str" cm="1">
        <f t="array" ref="BF76">IF(P76=_xlfn.XLOOKUP($B76,VmSpecs[[#All],[VM Name]],VmSpecs[[#All],[Operating System]],"Failed",0,1),"Pass","Fail")</f>
        <v>Fail</v>
      </c>
      <c r="BG76" t="str" cm="1">
        <f t="array" ref="BG76">IF(R76=_xlfn.XLOOKUP($B76,VmSpecs[[#All],[VM Name]],VmSpecs[[#All],[NIC name]],"Failed",0,1),"Pass","Fail")</f>
        <v>Fail</v>
      </c>
      <c r="BH76" t="str" cm="1">
        <f t="array" ref="BH76">IF(U76=_xlfn.XLOOKUP($B76,VmSpecs[[#All],[VM Name]],VmSpecs[[#All],[OS Disk Name]],"Failed",0,1),"Pass","Fail")</f>
        <v>Fail</v>
      </c>
      <c r="BI76" t="str" cm="1">
        <f t="array" ref="BI76">IF(W76=_xlfn.XLOOKUP($B76,VmSpecs[[#All],[VM Name]],VmSpecs[[#All],[OS Disk Size]],"Failed",0,1),"Pass","Fail")</f>
        <v>Fail</v>
      </c>
      <c r="BJ76" t="str" cm="1">
        <f t="array" ref="BJ76">IF(LEFT(X76,4)=LEFT(_xlfn.XLOOKUP($B76,VmSpecs[[#All],[VM Name]],VmSpecs[[#All],[OS Disk Type (Standard SSD etc)]],"Failed",0,1),4),"Pass","Fail")</f>
        <v>Fail</v>
      </c>
      <c r="BK76" t="str" cm="1">
        <f t="array" ref="BK76">IF(Z76=_xlfn.XLOOKUP($B76,VmSpecs[[#All],[VM Name]],VmSpecs[[#All],[Data Disk1 Name]],"Failed",0,1),"Pass","Fail")</f>
        <v>Fail</v>
      </c>
      <c r="BL76" t="str" cm="1">
        <f t="array" ref="BL76">IF(AA76=_xlfn.XLOOKUP($B76,VmSpecs[[#All],[VM Name]],VmSpecs[[#All],[Data Disk1 Size]],"Failed",0,1),"Pass","Fail")</f>
        <v>Fail</v>
      </c>
      <c r="BM76" t="str" cm="1">
        <f t="array" ref="BM76">IF(LEFT(AC76,4)=LEFT(_xlfn.XLOOKUP($B76,VmSpecs[[#All],[VM Name]],VmSpecs[[#All],[Data Disk1 Type]],"Failed",0,1),4),"Pass","Fail")</f>
        <v>Fail</v>
      </c>
      <c r="BO76" t="e">
        <f>VLOOKUP('VM Specs'!K76,'As Built'!B:B,1,FALSE)</f>
        <v>#N/A</v>
      </c>
      <c r="BP76" t="str">
        <f>IF(ISNA(Table613[[#This Row],[VM Build Sheet Check]]),'VM Specs'!K76,"")</f>
        <v>vmpfbpf2hdr31</v>
      </c>
    </row>
    <row r="77" spans="1:68" ht="33" customHeight="1" x14ac:dyDescent="0.35">
      <c r="A77" t="str">
        <f>IF(COUNTIF(AsBuilt[[#This Row],[VM Check]:[Data Disk 1 Type Check]],"Fail")&gt;0,"Fail","Pass")</f>
        <v>Fail</v>
      </c>
      <c r="B77" t="s">
        <v>1280</v>
      </c>
      <c r="C77" t="s">
        <v>754</v>
      </c>
      <c r="D77" t="s">
        <v>755</v>
      </c>
      <c r="E77" t="s">
        <v>756</v>
      </c>
      <c r="F77" t="s">
        <v>801</v>
      </c>
      <c r="G77" t="s">
        <v>758</v>
      </c>
      <c r="H77" t="s">
        <v>1076</v>
      </c>
      <c r="J77" t="s">
        <v>760</v>
      </c>
      <c r="K77" t="s">
        <v>761</v>
      </c>
      <c r="L77" t="s">
        <v>754</v>
      </c>
      <c r="M77" t="s">
        <v>1281</v>
      </c>
      <c r="N77" t="s">
        <v>763</v>
      </c>
      <c r="O77" t="s">
        <v>764</v>
      </c>
      <c r="P77" t="s">
        <v>63</v>
      </c>
      <c r="R77" t="s">
        <v>1282</v>
      </c>
      <c r="S77" t="s">
        <v>754</v>
      </c>
      <c r="U77" t="s">
        <v>1283</v>
      </c>
      <c r="V77" t="s">
        <v>767</v>
      </c>
      <c r="W77">
        <v>64</v>
      </c>
      <c r="X77" t="s">
        <v>768</v>
      </c>
      <c r="Y77">
        <v>2</v>
      </c>
      <c r="Z77" t="s">
        <v>1284</v>
      </c>
      <c r="AA77">
        <v>8</v>
      </c>
      <c r="AB77" t="s">
        <v>770</v>
      </c>
      <c r="AC77" t="s">
        <v>768</v>
      </c>
      <c r="AD77" t="s">
        <v>1285</v>
      </c>
      <c r="AE77">
        <v>32</v>
      </c>
      <c r="AF77" t="s">
        <v>770</v>
      </c>
      <c r="AG77" t="s">
        <v>768</v>
      </c>
      <c r="AT77" t="s">
        <v>772</v>
      </c>
      <c r="AU77" t="s">
        <v>1231</v>
      </c>
      <c r="AV77" t="str" cm="1">
        <f t="array" ref="AV77">IF(B77=_xlfn.XLOOKUP(B77,VmSpecs[[#All],[VM Name]],VmSpecs[[#All],[VM Name]],"Failed",0,1),"Pass","Fail")</f>
        <v>Fail</v>
      </c>
      <c r="AW77" t="str" cm="1">
        <f t="array" ref="AW77">IF(D77=_xlfn.XLOOKUP($B77,VmSpecs[[#All],[VM Name]],VmSpecs[[#All],[Virtual Machine Resource Groups]],"Failed",0,1),"Pass","Fail")</f>
        <v>Fail</v>
      </c>
      <c r="AX77" t="str" cm="1">
        <f t="array" ref="AX77">IF(_xlfn.IFS(E77="australiacentral","Australia Central 1",E77="australiaeast","Australia East",E77="australiasoutheast","Australia SouthEast")=_xlfn.XLOOKUP($B77,VmSpecs[[#All],[VM Name]],VmSpecs[[#All],[Region]],"Failed",0,1),"Pass","Fail")</f>
        <v>Fail</v>
      </c>
      <c r="AY77" t="str" cm="1">
        <f t="array" ref="AY77">IF(F77=_xlfn.XLOOKUP($B77,VmSpecs[[#All],[VM Name]],VmSpecs[[#All],[Instance size]],"Failed",0,1),"Pass","Fail")</f>
        <v>Fail</v>
      </c>
      <c r="AZ77" t="str" cm="1">
        <f t="array" ref="AZ77">IF(LOWER(H77)=_xlfn.XLOOKUP($B77,VmSpecs[[#All],[VM Name]],VmSpecs[[#All],[Availability Set Name]],"Failed",0,1),"Pass","Fail")</f>
        <v>Fail</v>
      </c>
      <c r="BA77" t="str" cm="1">
        <f t="array" ref="BA77">IF(J77=_xlfn.XLOOKUP($B77,VmSpecs[[#All],[VM Name]],VmSpecs[[#All],[Virtual Network]],"Failed",0,1),"Pass","Fail")</f>
        <v>Fail</v>
      </c>
      <c r="BB77" t="str" cm="1">
        <f t="array" ref="BB77">IF(K77=_xlfn.XLOOKUP($B77,VmSpecs[[#All],[VM Name]],VmSpecs[[#All],[Subnet]],"Failed",0,1),"Pass","Fail")</f>
        <v>Fail</v>
      </c>
      <c r="BC77" t="str" cm="1">
        <f t="array" ref="BC77">IF(M77=_xlfn.XLOOKUP($B77,VmSpecs[[#All],[VM Name]],VmSpecs[[#All],[IP]],"Failed",0,1),"Pass","Fail")</f>
        <v>Fail</v>
      </c>
      <c r="BD77" t="str" cm="1">
        <f t="array" ref="BD77">IF(N77=_xlfn.XLOOKUP($B77,VmSpecs[[#All],[VM Name]],VmSpecs[[#All],[Network Security Group]],"Failed",0,1),"Pass","Fail")</f>
        <v>Fail</v>
      </c>
      <c r="BE77" t="str" cm="1">
        <f t="array" ref="BE77">IF(O77=_xlfn.XLOOKUP($B77,VmSpecs[[#All],[VM Name]],VmSpecs[[#All],[Route Table Name]],"Failed",0,1),"Pass","Fail")</f>
        <v>Fail</v>
      </c>
      <c r="BF77" t="str" cm="1">
        <f t="array" ref="BF77">IF(P77=_xlfn.XLOOKUP($B77,VmSpecs[[#All],[VM Name]],VmSpecs[[#All],[Operating System]],"Failed",0,1),"Pass","Fail")</f>
        <v>Fail</v>
      </c>
      <c r="BG77" t="str" cm="1">
        <f t="array" ref="BG77">IF(R77=_xlfn.XLOOKUP($B77,VmSpecs[[#All],[VM Name]],VmSpecs[[#All],[NIC name]],"Failed",0,1),"Pass","Fail")</f>
        <v>Fail</v>
      </c>
      <c r="BH77" t="str" cm="1">
        <f t="array" ref="BH77">IF(U77=_xlfn.XLOOKUP($B77,VmSpecs[[#All],[VM Name]],VmSpecs[[#All],[OS Disk Name]],"Failed",0,1),"Pass","Fail")</f>
        <v>Fail</v>
      </c>
      <c r="BI77" t="str" cm="1">
        <f t="array" ref="BI77">IF(W77=_xlfn.XLOOKUP($B77,VmSpecs[[#All],[VM Name]],VmSpecs[[#All],[OS Disk Size]],"Failed",0,1),"Pass","Fail")</f>
        <v>Fail</v>
      </c>
      <c r="BJ77" t="str" cm="1">
        <f t="array" ref="BJ77">IF(LEFT(X77,4)=LEFT(_xlfn.XLOOKUP($B77,VmSpecs[[#All],[VM Name]],VmSpecs[[#All],[OS Disk Type (Standard SSD etc)]],"Failed",0,1),4),"Pass","Fail")</f>
        <v>Fail</v>
      </c>
      <c r="BK77" t="str" cm="1">
        <f t="array" ref="BK77">IF(Z77=_xlfn.XLOOKUP($B77,VmSpecs[[#All],[VM Name]],VmSpecs[[#All],[Data Disk1 Name]],"Failed",0,1),"Pass","Fail")</f>
        <v>Fail</v>
      </c>
      <c r="BL77" t="str" cm="1">
        <f t="array" ref="BL77">IF(AA77=_xlfn.XLOOKUP($B77,VmSpecs[[#All],[VM Name]],VmSpecs[[#All],[Data Disk1 Size]],"Failed",0,1),"Pass","Fail")</f>
        <v>Fail</v>
      </c>
      <c r="BM77" t="str" cm="1">
        <f t="array" ref="BM77">IF(LEFT(AC77,4)=LEFT(_xlfn.XLOOKUP($B77,VmSpecs[[#All],[VM Name]],VmSpecs[[#All],[Data Disk1 Type]],"Failed",0,1),4),"Pass","Fail")</f>
        <v>Fail</v>
      </c>
      <c r="BO77" t="e">
        <f>VLOOKUP('VM Specs'!K77,'As Built'!B:B,1,FALSE)</f>
        <v>#N/A</v>
      </c>
      <c r="BP77" t="str">
        <f>IF(ISNA(Table613[[#This Row],[VM Build Sheet Check]]),'VM Specs'!K77,"")</f>
        <v>vmpfbpf2hdr32</v>
      </c>
    </row>
    <row r="78" spans="1:68" ht="33" customHeight="1" x14ac:dyDescent="0.35">
      <c r="A78" t="str">
        <f>IF(COUNTIF(AsBuilt[[#This Row],[VM Check]:[Data Disk 1 Type Check]],"Fail")&gt;0,"Fail","Pass")</f>
        <v>Fail</v>
      </c>
      <c r="B78" t="s">
        <v>1286</v>
      </c>
      <c r="C78" t="s">
        <v>754</v>
      </c>
      <c r="D78" t="s">
        <v>755</v>
      </c>
      <c r="E78" t="s">
        <v>756</v>
      </c>
      <c r="F78" t="s">
        <v>801</v>
      </c>
      <c r="G78" t="s">
        <v>758</v>
      </c>
      <c r="H78" t="s">
        <v>1076</v>
      </c>
      <c r="J78" t="s">
        <v>760</v>
      </c>
      <c r="K78" t="s">
        <v>761</v>
      </c>
      <c r="L78" t="s">
        <v>754</v>
      </c>
      <c r="M78" t="s">
        <v>1287</v>
      </c>
      <c r="N78" t="s">
        <v>763</v>
      </c>
      <c r="O78" t="s">
        <v>764</v>
      </c>
      <c r="P78" t="s">
        <v>63</v>
      </c>
      <c r="R78" t="s">
        <v>1288</v>
      </c>
      <c r="S78" t="s">
        <v>754</v>
      </c>
      <c r="U78" t="s">
        <v>1289</v>
      </c>
      <c r="V78" t="s">
        <v>767</v>
      </c>
      <c r="W78">
        <v>64</v>
      </c>
      <c r="X78" t="s">
        <v>768</v>
      </c>
      <c r="Y78">
        <v>2</v>
      </c>
      <c r="Z78" t="s">
        <v>1290</v>
      </c>
      <c r="AA78">
        <v>8</v>
      </c>
      <c r="AB78" t="s">
        <v>770</v>
      </c>
      <c r="AC78" t="s">
        <v>768</v>
      </c>
      <c r="AD78" t="s">
        <v>1291</v>
      </c>
      <c r="AE78">
        <v>32</v>
      </c>
      <c r="AF78" t="s">
        <v>770</v>
      </c>
      <c r="AG78" t="s">
        <v>768</v>
      </c>
      <c r="AT78" t="s">
        <v>772</v>
      </c>
      <c r="AU78" t="s">
        <v>1231</v>
      </c>
      <c r="AV78" t="str" cm="1">
        <f t="array" ref="AV78">IF(B78=_xlfn.XLOOKUP(B78,VmSpecs[[#All],[VM Name]],VmSpecs[[#All],[VM Name]],"Failed",0,1),"Pass","Fail")</f>
        <v>Fail</v>
      </c>
      <c r="AW78" t="str" cm="1">
        <f t="array" ref="AW78">IF(D78=_xlfn.XLOOKUP($B78,VmSpecs[[#All],[VM Name]],VmSpecs[[#All],[Virtual Machine Resource Groups]],"Failed",0,1),"Pass","Fail")</f>
        <v>Fail</v>
      </c>
      <c r="AX78" t="str" cm="1">
        <f t="array" ref="AX78">IF(_xlfn.IFS(E78="australiacentral","Australia Central 1",E78="australiaeast","Australia East",E78="australiasoutheast","Australia SouthEast")=_xlfn.XLOOKUP($B78,VmSpecs[[#All],[VM Name]],VmSpecs[[#All],[Region]],"Failed",0,1),"Pass","Fail")</f>
        <v>Fail</v>
      </c>
      <c r="AY78" t="str" cm="1">
        <f t="array" ref="AY78">IF(F78=_xlfn.XLOOKUP($B78,VmSpecs[[#All],[VM Name]],VmSpecs[[#All],[Instance size]],"Failed",0,1),"Pass","Fail")</f>
        <v>Fail</v>
      </c>
      <c r="AZ78" t="str" cm="1">
        <f t="array" ref="AZ78">IF(LOWER(H78)=_xlfn.XLOOKUP($B78,VmSpecs[[#All],[VM Name]],VmSpecs[[#All],[Availability Set Name]],"Failed",0,1),"Pass","Fail")</f>
        <v>Fail</v>
      </c>
      <c r="BA78" t="str" cm="1">
        <f t="array" ref="BA78">IF(J78=_xlfn.XLOOKUP($B78,VmSpecs[[#All],[VM Name]],VmSpecs[[#All],[Virtual Network]],"Failed",0,1),"Pass","Fail")</f>
        <v>Fail</v>
      </c>
      <c r="BB78" t="str" cm="1">
        <f t="array" ref="BB78">IF(K78=_xlfn.XLOOKUP($B78,VmSpecs[[#All],[VM Name]],VmSpecs[[#All],[Subnet]],"Failed",0,1),"Pass","Fail")</f>
        <v>Fail</v>
      </c>
      <c r="BC78" t="str" cm="1">
        <f t="array" ref="BC78">IF(M78=_xlfn.XLOOKUP($B78,VmSpecs[[#All],[VM Name]],VmSpecs[[#All],[IP]],"Failed",0,1),"Pass","Fail")</f>
        <v>Fail</v>
      </c>
      <c r="BD78" t="str" cm="1">
        <f t="array" ref="BD78">IF(N78=_xlfn.XLOOKUP($B78,VmSpecs[[#All],[VM Name]],VmSpecs[[#All],[Network Security Group]],"Failed",0,1),"Pass","Fail")</f>
        <v>Fail</v>
      </c>
      <c r="BE78" t="str" cm="1">
        <f t="array" ref="BE78">IF(O78=_xlfn.XLOOKUP($B78,VmSpecs[[#All],[VM Name]],VmSpecs[[#All],[Route Table Name]],"Failed",0,1),"Pass","Fail")</f>
        <v>Fail</v>
      </c>
      <c r="BF78" t="str" cm="1">
        <f t="array" ref="BF78">IF(P78=_xlfn.XLOOKUP($B78,VmSpecs[[#All],[VM Name]],VmSpecs[[#All],[Operating System]],"Failed",0,1),"Pass","Fail")</f>
        <v>Fail</v>
      </c>
      <c r="BG78" t="str" cm="1">
        <f t="array" ref="BG78">IF(R78=_xlfn.XLOOKUP($B78,VmSpecs[[#All],[VM Name]],VmSpecs[[#All],[NIC name]],"Failed",0,1),"Pass","Fail")</f>
        <v>Fail</v>
      </c>
      <c r="BH78" t="str" cm="1">
        <f t="array" ref="BH78">IF(U78=_xlfn.XLOOKUP($B78,VmSpecs[[#All],[VM Name]],VmSpecs[[#All],[OS Disk Name]],"Failed",0,1),"Pass","Fail")</f>
        <v>Fail</v>
      </c>
      <c r="BI78" t="str" cm="1">
        <f t="array" ref="BI78">IF(W78=_xlfn.XLOOKUP($B78,VmSpecs[[#All],[VM Name]],VmSpecs[[#All],[OS Disk Size]],"Failed",0,1),"Pass","Fail")</f>
        <v>Fail</v>
      </c>
      <c r="BJ78" t="str" cm="1">
        <f t="array" ref="BJ78">IF(LEFT(X78,4)=LEFT(_xlfn.XLOOKUP($B78,VmSpecs[[#All],[VM Name]],VmSpecs[[#All],[OS Disk Type (Standard SSD etc)]],"Failed",0,1),4),"Pass","Fail")</f>
        <v>Fail</v>
      </c>
      <c r="BK78" t="str" cm="1">
        <f t="array" ref="BK78">IF(Z78=_xlfn.XLOOKUP($B78,VmSpecs[[#All],[VM Name]],VmSpecs[[#All],[Data Disk1 Name]],"Failed",0,1),"Pass","Fail")</f>
        <v>Fail</v>
      </c>
      <c r="BL78" t="str" cm="1">
        <f t="array" ref="BL78">IF(AA78=_xlfn.XLOOKUP($B78,VmSpecs[[#All],[VM Name]],VmSpecs[[#All],[Data Disk1 Size]],"Failed",0,1),"Pass","Fail")</f>
        <v>Fail</v>
      </c>
      <c r="BM78" t="str" cm="1">
        <f t="array" ref="BM78">IF(LEFT(AC78,4)=LEFT(_xlfn.XLOOKUP($B78,VmSpecs[[#All],[VM Name]],VmSpecs[[#All],[Data Disk1 Type]],"Failed",0,1),4),"Pass","Fail")</f>
        <v>Fail</v>
      </c>
      <c r="BO78" t="e">
        <f>VLOOKUP('VM Specs'!K78,'As Built'!B:B,1,FALSE)</f>
        <v>#N/A</v>
      </c>
      <c r="BP78" t="str">
        <f>IF(ISNA(Table613[[#This Row],[VM Build Sheet Check]]),'VM Specs'!K78,"")</f>
        <v>vmpfbpf2hdr33</v>
      </c>
    </row>
    <row r="79" spans="1:68" ht="33" customHeight="1" x14ac:dyDescent="0.35">
      <c r="A79" t="str">
        <f>IF(COUNTIF(AsBuilt[[#This Row],[VM Check]:[Data Disk 1 Type Check]],"Fail")&gt;0,"Fail","Pass")</f>
        <v>Fail</v>
      </c>
      <c r="B79" t="s">
        <v>1292</v>
      </c>
      <c r="C79" t="s">
        <v>754</v>
      </c>
      <c r="D79" t="s">
        <v>755</v>
      </c>
      <c r="E79" t="s">
        <v>756</v>
      </c>
      <c r="F79" t="s">
        <v>801</v>
      </c>
      <c r="G79" t="s">
        <v>758</v>
      </c>
      <c r="H79" t="s">
        <v>1076</v>
      </c>
      <c r="J79" t="s">
        <v>760</v>
      </c>
      <c r="K79" t="s">
        <v>761</v>
      </c>
      <c r="L79" t="s">
        <v>754</v>
      </c>
      <c r="M79" t="s">
        <v>1293</v>
      </c>
      <c r="N79" t="s">
        <v>763</v>
      </c>
      <c r="O79" t="s">
        <v>764</v>
      </c>
      <c r="P79" t="s">
        <v>63</v>
      </c>
      <c r="R79" t="s">
        <v>1294</v>
      </c>
      <c r="S79" t="s">
        <v>754</v>
      </c>
      <c r="U79" t="s">
        <v>1295</v>
      </c>
      <c r="V79" t="s">
        <v>767</v>
      </c>
      <c r="W79">
        <v>64</v>
      </c>
      <c r="X79" t="s">
        <v>768</v>
      </c>
      <c r="Y79">
        <v>2</v>
      </c>
      <c r="Z79" t="s">
        <v>1296</v>
      </c>
      <c r="AA79">
        <v>8</v>
      </c>
      <c r="AB79" t="s">
        <v>770</v>
      </c>
      <c r="AC79" t="s">
        <v>768</v>
      </c>
      <c r="AD79" t="s">
        <v>1297</v>
      </c>
      <c r="AE79">
        <v>32</v>
      </c>
      <c r="AF79" t="s">
        <v>770</v>
      </c>
      <c r="AG79" t="s">
        <v>768</v>
      </c>
      <c r="AT79" t="s">
        <v>772</v>
      </c>
      <c r="AU79" t="s">
        <v>1231</v>
      </c>
      <c r="AV79" t="str" cm="1">
        <f t="array" ref="AV79">IF(B79=_xlfn.XLOOKUP(B79,VmSpecs[[#All],[VM Name]],VmSpecs[[#All],[VM Name]],"Failed",0,1),"Pass","Fail")</f>
        <v>Fail</v>
      </c>
      <c r="AW79" t="str" cm="1">
        <f t="array" ref="AW79">IF(D79=_xlfn.XLOOKUP($B79,VmSpecs[[#All],[VM Name]],VmSpecs[[#All],[Virtual Machine Resource Groups]],"Failed",0,1),"Pass","Fail")</f>
        <v>Fail</v>
      </c>
      <c r="AX79" t="str" cm="1">
        <f t="array" ref="AX79">IF(_xlfn.IFS(E79="australiacentral","Australia Central 1",E79="australiaeast","Australia East",E79="australiasoutheast","Australia SouthEast")=_xlfn.XLOOKUP($B79,VmSpecs[[#All],[VM Name]],VmSpecs[[#All],[Region]],"Failed",0,1),"Pass","Fail")</f>
        <v>Fail</v>
      </c>
      <c r="AY79" t="str" cm="1">
        <f t="array" ref="AY79">IF(F79=_xlfn.XLOOKUP($B79,VmSpecs[[#All],[VM Name]],VmSpecs[[#All],[Instance size]],"Failed",0,1),"Pass","Fail")</f>
        <v>Fail</v>
      </c>
      <c r="AZ79" t="str" cm="1">
        <f t="array" ref="AZ79">IF(LOWER(H79)=_xlfn.XLOOKUP($B79,VmSpecs[[#All],[VM Name]],VmSpecs[[#All],[Availability Set Name]],"Failed",0,1),"Pass","Fail")</f>
        <v>Fail</v>
      </c>
      <c r="BA79" t="str" cm="1">
        <f t="array" ref="BA79">IF(J79=_xlfn.XLOOKUP($B79,VmSpecs[[#All],[VM Name]],VmSpecs[[#All],[Virtual Network]],"Failed",0,1),"Pass","Fail")</f>
        <v>Fail</v>
      </c>
      <c r="BB79" t="str" cm="1">
        <f t="array" ref="BB79">IF(K79=_xlfn.XLOOKUP($B79,VmSpecs[[#All],[VM Name]],VmSpecs[[#All],[Subnet]],"Failed",0,1),"Pass","Fail")</f>
        <v>Fail</v>
      </c>
      <c r="BC79" t="str" cm="1">
        <f t="array" ref="BC79">IF(M79=_xlfn.XLOOKUP($B79,VmSpecs[[#All],[VM Name]],VmSpecs[[#All],[IP]],"Failed",0,1),"Pass","Fail")</f>
        <v>Fail</v>
      </c>
      <c r="BD79" t="str" cm="1">
        <f t="array" ref="BD79">IF(N79=_xlfn.XLOOKUP($B79,VmSpecs[[#All],[VM Name]],VmSpecs[[#All],[Network Security Group]],"Failed",0,1),"Pass","Fail")</f>
        <v>Fail</v>
      </c>
      <c r="BE79" t="str" cm="1">
        <f t="array" ref="BE79">IF(O79=_xlfn.XLOOKUP($B79,VmSpecs[[#All],[VM Name]],VmSpecs[[#All],[Route Table Name]],"Failed",0,1),"Pass","Fail")</f>
        <v>Fail</v>
      </c>
      <c r="BF79" t="str" cm="1">
        <f t="array" ref="BF79">IF(P79=_xlfn.XLOOKUP($B79,VmSpecs[[#All],[VM Name]],VmSpecs[[#All],[Operating System]],"Failed",0,1),"Pass","Fail")</f>
        <v>Fail</v>
      </c>
      <c r="BG79" t="str" cm="1">
        <f t="array" ref="BG79">IF(R79=_xlfn.XLOOKUP($B79,VmSpecs[[#All],[VM Name]],VmSpecs[[#All],[NIC name]],"Failed",0,1),"Pass","Fail")</f>
        <v>Fail</v>
      </c>
      <c r="BH79" t="str" cm="1">
        <f t="array" ref="BH79">IF(U79=_xlfn.XLOOKUP($B79,VmSpecs[[#All],[VM Name]],VmSpecs[[#All],[OS Disk Name]],"Failed",0,1),"Pass","Fail")</f>
        <v>Fail</v>
      </c>
      <c r="BI79" t="str" cm="1">
        <f t="array" ref="BI79">IF(W79=_xlfn.XLOOKUP($B79,VmSpecs[[#All],[VM Name]],VmSpecs[[#All],[OS Disk Size]],"Failed",0,1),"Pass","Fail")</f>
        <v>Fail</v>
      </c>
      <c r="BJ79" t="str" cm="1">
        <f t="array" ref="BJ79">IF(LEFT(X79,4)=LEFT(_xlfn.XLOOKUP($B79,VmSpecs[[#All],[VM Name]],VmSpecs[[#All],[OS Disk Type (Standard SSD etc)]],"Failed",0,1),4),"Pass","Fail")</f>
        <v>Fail</v>
      </c>
      <c r="BK79" t="str" cm="1">
        <f t="array" ref="BK79">IF(Z79=_xlfn.XLOOKUP($B79,VmSpecs[[#All],[VM Name]],VmSpecs[[#All],[Data Disk1 Name]],"Failed",0,1),"Pass","Fail")</f>
        <v>Fail</v>
      </c>
      <c r="BL79" t="str" cm="1">
        <f t="array" ref="BL79">IF(AA79=_xlfn.XLOOKUP($B79,VmSpecs[[#All],[VM Name]],VmSpecs[[#All],[Data Disk1 Size]],"Failed",0,1),"Pass","Fail")</f>
        <v>Fail</v>
      </c>
      <c r="BM79" t="str" cm="1">
        <f t="array" ref="BM79">IF(LEFT(AC79,4)=LEFT(_xlfn.XLOOKUP($B79,VmSpecs[[#All],[VM Name]],VmSpecs[[#All],[Data Disk1 Type]],"Failed",0,1),4),"Pass","Fail")</f>
        <v>Fail</v>
      </c>
      <c r="BO79" t="e">
        <f>VLOOKUP('VM Specs'!K79,'As Built'!B:B,1,FALSE)</f>
        <v>#N/A</v>
      </c>
      <c r="BP79" t="str">
        <f>IF(ISNA(Table613[[#This Row],[VM Build Sheet Check]]),'VM Specs'!K79,"")</f>
        <v>vmpfbpf2hdr34</v>
      </c>
    </row>
    <row r="80" spans="1:68" ht="33" customHeight="1" x14ac:dyDescent="0.35">
      <c r="A80" t="str">
        <f>IF(COUNTIF(AsBuilt[[#This Row],[VM Check]:[Data Disk 1 Type Check]],"Fail")&gt;0,"Fail","Pass")</f>
        <v>Fail</v>
      </c>
      <c r="B80" t="s">
        <v>1298</v>
      </c>
      <c r="C80" t="s">
        <v>754</v>
      </c>
      <c r="D80" t="s">
        <v>755</v>
      </c>
      <c r="E80" t="s">
        <v>756</v>
      </c>
      <c r="F80" t="s">
        <v>801</v>
      </c>
      <c r="G80" t="s">
        <v>758</v>
      </c>
      <c r="H80" t="s">
        <v>1076</v>
      </c>
      <c r="J80" t="s">
        <v>760</v>
      </c>
      <c r="K80" t="s">
        <v>761</v>
      </c>
      <c r="L80" t="s">
        <v>754</v>
      </c>
      <c r="M80" t="s">
        <v>1299</v>
      </c>
      <c r="N80" t="s">
        <v>763</v>
      </c>
      <c r="O80" t="s">
        <v>764</v>
      </c>
      <c r="P80" t="s">
        <v>63</v>
      </c>
      <c r="R80" t="s">
        <v>1300</v>
      </c>
      <c r="S80" t="s">
        <v>754</v>
      </c>
      <c r="U80" t="s">
        <v>1301</v>
      </c>
      <c r="V80" t="s">
        <v>767</v>
      </c>
      <c r="W80">
        <v>64</v>
      </c>
      <c r="X80" t="s">
        <v>768</v>
      </c>
      <c r="Y80">
        <v>2</v>
      </c>
      <c r="Z80" t="s">
        <v>1302</v>
      </c>
      <c r="AA80">
        <v>8</v>
      </c>
      <c r="AB80" t="s">
        <v>770</v>
      </c>
      <c r="AC80" t="s">
        <v>768</v>
      </c>
      <c r="AD80" t="s">
        <v>1303</v>
      </c>
      <c r="AE80">
        <v>32</v>
      </c>
      <c r="AF80" t="s">
        <v>770</v>
      </c>
      <c r="AG80" t="s">
        <v>768</v>
      </c>
      <c r="AT80" t="s">
        <v>772</v>
      </c>
      <c r="AU80" t="s">
        <v>1231</v>
      </c>
      <c r="AV80" t="str" cm="1">
        <f t="array" ref="AV80">IF(B80=_xlfn.XLOOKUP(B80,VmSpecs[[#All],[VM Name]],VmSpecs[[#All],[VM Name]],"Failed",0,1),"Pass","Fail")</f>
        <v>Fail</v>
      </c>
      <c r="AW80" t="str" cm="1">
        <f t="array" ref="AW80">IF(D80=_xlfn.XLOOKUP($B80,VmSpecs[[#All],[VM Name]],VmSpecs[[#All],[Virtual Machine Resource Groups]],"Failed",0,1),"Pass","Fail")</f>
        <v>Fail</v>
      </c>
      <c r="AX80" t="str" cm="1">
        <f t="array" ref="AX80">IF(_xlfn.IFS(E80="australiacentral","Australia Central 1",E80="australiaeast","Australia East",E80="australiasoutheast","Australia SouthEast")=_xlfn.XLOOKUP($B80,VmSpecs[[#All],[VM Name]],VmSpecs[[#All],[Region]],"Failed",0,1),"Pass","Fail")</f>
        <v>Fail</v>
      </c>
      <c r="AY80" t="str" cm="1">
        <f t="array" ref="AY80">IF(F80=_xlfn.XLOOKUP($B80,VmSpecs[[#All],[VM Name]],VmSpecs[[#All],[Instance size]],"Failed",0,1),"Pass","Fail")</f>
        <v>Fail</v>
      </c>
      <c r="AZ80" t="str" cm="1">
        <f t="array" ref="AZ80">IF(LOWER(H80)=_xlfn.XLOOKUP($B80,VmSpecs[[#All],[VM Name]],VmSpecs[[#All],[Availability Set Name]],"Failed",0,1),"Pass","Fail")</f>
        <v>Fail</v>
      </c>
      <c r="BA80" t="str" cm="1">
        <f t="array" ref="BA80">IF(J80=_xlfn.XLOOKUP($B80,VmSpecs[[#All],[VM Name]],VmSpecs[[#All],[Virtual Network]],"Failed",0,1),"Pass","Fail")</f>
        <v>Fail</v>
      </c>
      <c r="BB80" t="str" cm="1">
        <f t="array" ref="BB80">IF(K80=_xlfn.XLOOKUP($B80,VmSpecs[[#All],[VM Name]],VmSpecs[[#All],[Subnet]],"Failed",0,1),"Pass","Fail")</f>
        <v>Fail</v>
      </c>
      <c r="BC80" t="str" cm="1">
        <f t="array" ref="BC80">IF(M80=_xlfn.XLOOKUP($B80,VmSpecs[[#All],[VM Name]],VmSpecs[[#All],[IP]],"Failed",0,1),"Pass","Fail")</f>
        <v>Fail</v>
      </c>
      <c r="BD80" t="str" cm="1">
        <f t="array" ref="BD80">IF(N80=_xlfn.XLOOKUP($B80,VmSpecs[[#All],[VM Name]],VmSpecs[[#All],[Network Security Group]],"Failed",0,1),"Pass","Fail")</f>
        <v>Fail</v>
      </c>
      <c r="BE80" t="str" cm="1">
        <f t="array" ref="BE80">IF(O80=_xlfn.XLOOKUP($B80,VmSpecs[[#All],[VM Name]],VmSpecs[[#All],[Route Table Name]],"Failed",0,1),"Pass","Fail")</f>
        <v>Fail</v>
      </c>
      <c r="BF80" t="str" cm="1">
        <f t="array" ref="BF80">IF(P80=_xlfn.XLOOKUP($B80,VmSpecs[[#All],[VM Name]],VmSpecs[[#All],[Operating System]],"Failed",0,1),"Pass","Fail")</f>
        <v>Fail</v>
      </c>
      <c r="BG80" t="str" cm="1">
        <f t="array" ref="BG80">IF(R80=_xlfn.XLOOKUP($B80,VmSpecs[[#All],[VM Name]],VmSpecs[[#All],[NIC name]],"Failed",0,1),"Pass","Fail")</f>
        <v>Fail</v>
      </c>
      <c r="BH80" t="str" cm="1">
        <f t="array" ref="BH80">IF(U80=_xlfn.XLOOKUP($B80,VmSpecs[[#All],[VM Name]],VmSpecs[[#All],[OS Disk Name]],"Failed",0,1),"Pass","Fail")</f>
        <v>Fail</v>
      </c>
      <c r="BI80" t="str" cm="1">
        <f t="array" ref="BI80">IF(W80=_xlfn.XLOOKUP($B80,VmSpecs[[#All],[VM Name]],VmSpecs[[#All],[OS Disk Size]],"Failed",0,1),"Pass","Fail")</f>
        <v>Fail</v>
      </c>
      <c r="BJ80" t="str" cm="1">
        <f t="array" ref="BJ80">IF(LEFT(X80,4)=LEFT(_xlfn.XLOOKUP($B80,VmSpecs[[#All],[VM Name]],VmSpecs[[#All],[OS Disk Type (Standard SSD etc)]],"Failed",0,1),4),"Pass","Fail")</f>
        <v>Fail</v>
      </c>
      <c r="BK80" t="str" cm="1">
        <f t="array" ref="BK80">IF(Z80=_xlfn.XLOOKUP($B80,VmSpecs[[#All],[VM Name]],VmSpecs[[#All],[Data Disk1 Name]],"Failed",0,1),"Pass","Fail")</f>
        <v>Fail</v>
      </c>
      <c r="BL80" t="str" cm="1">
        <f t="array" ref="BL80">IF(AA80=_xlfn.XLOOKUP($B80,VmSpecs[[#All],[VM Name]],VmSpecs[[#All],[Data Disk1 Size]],"Failed",0,1),"Pass","Fail")</f>
        <v>Fail</v>
      </c>
      <c r="BM80" t="str" cm="1">
        <f t="array" ref="BM80">IF(LEFT(AC80,4)=LEFT(_xlfn.XLOOKUP($B80,VmSpecs[[#All],[VM Name]],VmSpecs[[#All],[Data Disk1 Type]],"Failed",0,1),4),"Pass","Fail")</f>
        <v>Fail</v>
      </c>
      <c r="BO80" t="e">
        <f>VLOOKUP('VM Specs'!K80,'As Built'!B:B,1,FALSE)</f>
        <v>#N/A</v>
      </c>
      <c r="BP80" t="str">
        <f>IF(ISNA(Table613[[#This Row],[VM Build Sheet Check]]),'VM Specs'!K80,"")</f>
        <v>vmpfbpf2hdr35</v>
      </c>
    </row>
    <row r="81" spans="1:68" ht="33" customHeight="1" x14ac:dyDescent="0.35">
      <c r="A81" t="str">
        <f>IF(COUNTIF(AsBuilt[[#This Row],[VM Check]:[Data Disk 1 Type Check]],"Fail")&gt;0,"Fail","Pass")</f>
        <v>Fail</v>
      </c>
      <c r="B81" t="s">
        <v>1304</v>
      </c>
      <c r="C81" t="s">
        <v>754</v>
      </c>
      <c r="D81" t="s">
        <v>755</v>
      </c>
      <c r="E81" t="s">
        <v>756</v>
      </c>
      <c r="F81" t="s">
        <v>801</v>
      </c>
      <c r="G81" t="s">
        <v>758</v>
      </c>
      <c r="H81" t="s">
        <v>1305</v>
      </c>
      <c r="J81" t="s">
        <v>760</v>
      </c>
      <c r="K81" t="s">
        <v>761</v>
      </c>
      <c r="L81" t="s">
        <v>754</v>
      </c>
      <c r="M81" t="s">
        <v>1306</v>
      </c>
      <c r="N81" t="s">
        <v>763</v>
      </c>
      <c r="O81" t="s">
        <v>764</v>
      </c>
      <c r="P81" t="s">
        <v>63</v>
      </c>
      <c r="R81" t="s">
        <v>1307</v>
      </c>
      <c r="S81" t="s">
        <v>754</v>
      </c>
      <c r="U81" t="s">
        <v>1308</v>
      </c>
      <c r="V81" t="s">
        <v>767</v>
      </c>
      <c r="W81">
        <v>64</v>
      </c>
      <c r="X81" t="s">
        <v>768</v>
      </c>
      <c r="Y81">
        <v>2</v>
      </c>
      <c r="Z81" t="s">
        <v>1309</v>
      </c>
      <c r="AA81">
        <v>8</v>
      </c>
      <c r="AB81" t="s">
        <v>770</v>
      </c>
      <c r="AC81" t="s">
        <v>768</v>
      </c>
      <c r="AD81" t="s">
        <v>1310</v>
      </c>
      <c r="AE81">
        <v>32</v>
      </c>
      <c r="AF81" t="s">
        <v>770</v>
      </c>
      <c r="AG81" t="s">
        <v>768</v>
      </c>
      <c r="AT81" t="s">
        <v>772</v>
      </c>
      <c r="AU81" t="s">
        <v>1311</v>
      </c>
      <c r="AV81" t="str" cm="1">
        <f t="array" ref="AV81">IF(B81=_xlfn.XLOOKUP(B81,VmSpecs[[#All],[VM Name]],VmSpecs[[#All],[VM Name]],"Failed",0,1),"Pass","Fail")</f>
        <v>Fail</v>
      </c>
      <c r="AW81" t="str" cm="1">
        <f t="array" ref="AW81">IF(D81=_xlfn.XLOOKUP($B81,VmSpecs[[#All],[VM Name]],VmSpecs[[#All],[Virtual Machine Resource Groups]],"Failed",0,1),"Pass","Fail")</f>
        <v>Fail</v>
      </c>
      <c r="AX81" t="str" cm="1">
        <f t="array" ref="AX81">IF(_xlfn.IFS(E81="australiacentral","Australia Central 1",E81="australiaeast","Australia East",E81="australiasoutheast","Australia SouthEast")=_xlfn.XLOOKUP($B81,VmSpecs[[#All],[VM Name]],VmSpecs[[#All],[Region]],"Failed",0,1),"Pass","Fail")</f>
        <v>Fail</v>
      </c>
      <c r="AY81" t="str" cm="1">
        <f t="array" ref="AY81">IF(F81=_xlfn.XLOOKUP($B81,VmSpecs[[#All],[VM Name]],VmSpecs[[#All],[Instance size]],"Failed",0,1),"Pass","Fail")</f>
        <v>Fail</v>
      </c>
      <c r="AZ81" t="str" cm="1">
        <f t="array" ref="AZ81">IF(LOWER(H81)=_xlfn.XLOOKUP($B81,VmSpecs[[#All],[VM Name]],VmSpecs[[#All],[Availability Set Name]],"Failed",0,1),"Pass","Fail")</f>
        <v>Fail</v>
      </c>
      <c r="BA81" t="str" cm="1">
        <f t="array" ref="BA81">IF(J81=_xlfn.XLOOKUP($B81,VmSpecs[[#All],[VM Name]],VmSpecs[[#All],[Virtual Network]],"Failed",0,1),"Pass","Fail")</f>
        <v>Fail</v>
      </c>
      <c r="BB81" t="str" cm="1">
        <f t="array" ref="BB81">IF(K81=_xlfn.XLOOKUP($B81,VmSpecs[[#All],[VM Name]],VmSpecs[[#All],[Subnet]],"Failed",0,1),"Pass","Fail")</f>
        <v>Fail</v>
      </c>
      <c r="BC81" t="str" cm="1">
        <f t="array" ref="BC81">IF(M81=_xlfn.XLOOKUP($B81,VmSpecs[[#All],[VM Name]],VmSpecs[[#All],[IP]],"Failed",0,1),"Pass","Fail")</f>
        <v>Fail</v>
      </c>
      <c r="BD81" t="str" cm="1">
        <f t="array" ref="BD81">IF(N81=_xlfn.XLOOKUP($B81,VmSpecs[[#All],[VM Name]],VmSpecs[[#All],[Network Security Group]],"Failed",0,1),"Pass","Fail")</f>
        <v>Fail</v>
      </c>
      <c r="BE81" t="str" cm="1">
        <f t="array" ref="BE81">IF(O81=_xlfn.XLOOKUP($B81,VmSpecs[[#All],[VM Name]],VmSpecs[[#All],[Route Table Name]],"Failed",0,1),"Pass","Fail")</f>
        <v>Fail</v>
      </c>
      <c r="BF81" t="str" cm="1">
        <f t="array" ref="BF81">IF(P81=_xlfn.XLOOKUP($B81,VmSpecs[[#All],[VM Name]],VmSpecs[[#All],[Operating System]],"Failed",0,1),"Pass","Fail")</f>
        <v>Fail</v>
      </c>
      <c r="BG81" t="str" cm="1">
        <f t="array" ref="BG81">IF(R81=_xlfn.XLOOKUP($B81,VmSpecs[[#All],[VM Name]],VmSpecs[[#All],[NIC name]],"Failed",0,1),"Pass","Fail")</f>
        <v>Fail</v>
      </c>
      <c r="BH81" t="str" cm="1">
        <f t="array" ref="BH81">IF(U81=_xlfn.XLOOKUP($B81,VmSpecs[[#All],[VM Name]],VmSpecs[[#All],[OS Disk Name]],"Failed",0,1),"Pass","Fail")</f>
        <v>Fail</v>
      </c>
      <c r="BI81" t="str" cm="1">
        <f t="array" ref="BI81">IF(W81=_xlfn.XLOOKUP($B81,VmSpecs[[#All],[VM Name]],VmSpecs[[#All],[OS Disk Size]],"Failed",0,1),"Pass","Fail")</f>
        <v>Fail</v>
      </c>
      <c r="BJ81" t="str" cm="1">
        <f t="array" ref="BJ81">IF(LEFT(X81,4)=LEFT(_xlfn.XLOOKUP($B81,VmSpecs[[#All],[VM Name]],VmSpecs[[#All],[OS Disk Type (Standard SSD etc)]],"Failed",0,1),4),"Pass","Fail")</f>
        <v>Fail</v>
      </c>
      <c r="BK81" t="str" cm="1">
        <f t="array" ref="BK81">IF(Z81=_xlfn.XLOOKUP($B81,VmSpecs[[#All],[VM Name]],VmSpecs[[#All],[Data Disk1 Name]],"Failed",0,1),"Pass","Fail")</f>
        <v>Fail</v>
      </c>
      <c r="BL81" t="str" cm="1">
        <f t="array" ref="BL81">IF(AA81=_xlfn.XLOOKUP($B81,VmSpecs[[#All],[VM Name]],VmSpecs[[#All],[Data Disk1 Size]],"Failed",0,1),"Pass","Fail")</f>
        <v>Fail</v>
      </c>
      <c r="BM81" t="str" cm="1">
        <f t="array" ref="BM81">IF(LEFT(AC81,4)=LEFT(_xlfn.XLOOKUP($B81,VmSpecs[[#All],[VM Name]],VmSpecs[[#All],[Data Disk1 Type]],"Failed",0,1),4),"Pass","Fail")</f>
        <v>Fail</v>
      </c>
      <c r="BO81" t="e">
        <f>VLOOKUP('VM Specs'!K81,'As Built'!B:B,1,FALSE)</f>
        <v>#N/A</v>
      </c>
      <c r="BP81" t="str">
        <f>IF(ISNA(Table613[[#This Row],[VM Build Sheet Check]]),'VM Specs'!K81,"")</f>
        <v>vmpfbpf2hmr01</v>
      </c>
    </row>
    <row r="82" spans="1:68" ht="33" customHeight="1" x14ac:dyDescent="0.35">
      <c r="A82" t="str">
        <f>IF(COUNTIF(AsBuilt[[#This Row],[VM Check]:[Data Disk 1 Type Check]],"Fail")&gt;0,"Fail","Pass")</f>
        <v>Fail</v>
      </c>
      <c r="B82" t="s">
        <v>1312</v>
      </c>
      <c r="C82" t="s">
        <v>754</v>
      </c>
      <c r="D82" t="s">
        <v>755</v>
      </c>
      <c r="E82" t="s">
        <v>756</v>
      </c>
      <c r="F82" t="s">
        <v>757</v>
      </c>
      <c r="G82" t="s">
        <v>758</v>
      </c>
      <c r="H82" t="s">
        <v>1305</v>
      </c>
      <c r="J82" t="s">
        <v>760</v>
      </c>
      <c r="K82" t="s">
        <v>761</v>
      </c>
      <c r="L82" t="s">
        <v>754</v>
      </c>
      <c r="M82" t="s">
        <v>1313</v>
      </c>
      <c r="N82" t="s">
        <v>763</v>
      </c>
      <c r="O82" t="s">
        <v>764</v>
      </c>
      <c r="P82" t="s">
        <v>63</v>
      </c>
      <c r="R82" t="s">
        <v>1314</v>
      </c>
      <c r="S82" t="s">
        <v>754</v>
      </c>
      <c r="U82" t="s">
        <v>1315</v>
      </c>
      <c r="V82" t="s">
        <v>767</v>
      </c>
      <c r="W82">
        <v>64</v>
      </c>
      <c r="X82" t="s">
        <v>768</v>
      </c>
      <c r="Y82">
        <v>2</v>
      </c>
      <c r="Z82" t="s">
        <v>1316</v>
      </c>
      <c r="AA82">
        <v>8</v>
      </c>
      <c r="AB82" t="s">
        <v>770</v>
      </c>
      <c r="AC82" t="s">
        <v>768</v>
      </c>
      <c r="AD82" t="s">
        <v>1317</v>
      </c>
      <c r="AE82">
        <v>32</v>
      </c>
      <c r="AF82" t="s">
        <v>770</v>
      </c>
      <c r="AG82" t="s">
        <v>768</v>
      </c>
      <c r="AT82" t="s">
        <v>772</v>
      </c>
      <c r="AU82" t="s">
        <v>1318</v>
      </c>
      <c r="AV82" t="str" cm="1">
        <f t="array" ref="AV82">IF(B82=_xlfn.XLOOKUP(B82,VmSpecs[[#All],[VM Name]],VmSpecs[[#All],[VM Name]],"Failed",0,1),"Pass","Fail")</f>
        <v>Fail</v>
      </c>
      <c r="AW82" t="str" cm="1">
        <f t="array" ref="AW82">IF(D82=_xlfn.XLOOKUP($B82,VmSpecs[[#All],[VM Name]],VmSpecs[[#All],[Virtual Machine Resource Groups]],"Failed",0,1),"Pass","Fail")</f>
        <v>Fail</v>
      </c>
      <c r="AX82" t="str" cm="1">
        <f t="array" ref="AX82">IF(_xlfn.IFS(E82="australiacentral","Australia Central 1",E82="australiaeast","Australia East",E82="australiasoutheast","Australia SouthEast")=_xlfn.XLOOKUP($B82,VmSpecs[[#All],[VM Name]],VmSpecs[[#All],[Region]],"Failed",0,1),"Pass","Fail")</f>
        <v>Fail</v>
      </c>
      <c r="AY82" t="str" cm="1">
        <f t="array" ref="AY82">IF(F82=_xlfn.XLOOKUP($B82,VmSpecs[[#All],[VM Name]],VmSpecs[[#All],[Instance size]],"Failed",0,1),"Pass","Fail")</f>
        <v>Fail</v>
      </c>
      <c r="AZ82" t="str" cm="1">
        <f t="array" ref="AZ82">IF(LOWER(H82)=_xlfn.XLOOKUP($B82,VmSpecs[[#All],[VM Name]],VmSpecs[[#All],[Availability Set Name]],"Failed",0,1),"Pass","Fail")</f>
        <v>Fail</v>
      </c>
      <c r="BA82" t="str" cm="1">
        <f t="array" ref="BA82">IF(J82=_xlfn.XLOOKUP($B82,VmSpecs[[#All],[VM Name]],VmSpecs[[#All],[Virtual Network]],"Failed",0,1),"Pass","Fail")</f>
        <v>Fail</v>
      </c>
      <c r="BB82" t="str" cm="1">
        <f t="array" ref="BB82">IF(K82=_xlfn.XLOOKUP($B82,VmSpecs[[#All],[VM Name]],VmSpecs[[#All],[Subnet]],"Failed",0,1),"Pass","Fail")</f>
        <v>Fail</v>
      </c>
      <c r="BC82" t="str" cm="1">
        <f t="array" ref="BC82">IF(M82=_xlfn.XLOOKUP($B82,VmSpecs[[#All],[VM Name]],VmSpecs[[#All],[IP]],"Failed",0,1),"Pass","Fail")</f>
        <v>Fail</v>
      </c>
      <c r="BD82" t="str" cm="1">
        <f t="array" ref="BD82">IF(N82=_xlfn.XLOOKUP($B82,VmSpecs[[#All],[VM Name]],VmSpecs[[#All],[Network Security Group]],"Failed",0,1),"Pass","Fail")</f>
        <v>Fail</v>
      </c>
      <c r="BE82" t="str" cm="1">
        <f t="array" ref="BE82">IF(O82=_xlfn.XLOOKUP($B82,VmSpecs[[#All],[VM Name]],VmSpecs[[#All],[Route Table Name]],"Failed",0,1),"Pass","Fail")</f>
        <v>Fail</v>
      </c>
      <c r="BF82" t="str" cm="1">
        <f t="array" ref="BF82">IF(P82=_xlfn.XLOOKUP($B82,VmSpecs[[#All],[VM Name]],VmSpecs[[#All],[Operating System]],"Failed",0,1),"Pass","Fail")</f>
        <v>Fail</v>
      </c>
      <c r="BG82" t="str" cm="1">
        <f t="array" ref="BG82">IF(R82=_xlfn.XLOOKUP($B82,VmSpecs[[#All],[VM Name]],VmSpecs[[#All],[NIC name]],"Failed",0,1),"Pass","Fail")</f>
        <v>Fail</v>
      </c>
      <c r="BH82" t="str" cm="1">
        <f t="array" ref="BH82">IF(U82=_xlfn.XLOOKUP($B82,VmSpecs[[#All],[VM Name]],VmSpecs[[#All],[OS Disk Name]],"Failed",0,1),"Pass","Fail")</f>
        <v>Fail</v>
      </c>
      <c r="BI82" t="str" cm="1">
        <f t="array" ref="BI82">IF(W82=_xlfn.XLOOKUP($B82,VmSpecs[[#All],[VM Name]],VmSpecs[[#All],[OS Disk Size]],"Failed",0,1),"Pass","Fail")</f>
        <v>Fail</v>
      </c>
      <c r="BJ82" t="str" cm="1">
        <f t="array" ref="BJ82">IF(LEFT(X82,4)=LEFT(_xlfn.XLOOKUP($B82,VmSpecs[[#All],[VM Name]],VmSpecs[[#All],[OS Disk Type (Standard SSD etc)]],"Failed",0,1),4),"Pass","Fail")</f>
        <v>Fail</v>
      </c>
      <c r="BK82" t="str" cm="1">
        <f t="array" ref="BK82">IF(Z82=_xlfn.XLOOKUP($B82,VmSpecs[[#All],[VM Name]],VmSpecs[[#All],[Data Disk1 Name]],"Failed",0,1),"Pass","Fail")</f>
        <v>Fail</v>
      </c>
      <c r="BL82" t="str" cm="1">
        <f t="array" ref="BL82">IF(AA82=_xlfn.XLOOKUP($B82,VmSpecs[[#All],[VM Name]],VmSpecs[[#All],[Data Disk1 Size]],"Failed",0,1),"Pass","Fail")</f>
        <v>Fail</v>
      </c>
      <c r="BM82" t="str" cm="1">
        <f t="array" ref="BM82">IF(LEFT(AC82,4)=LEFT(_xlfn.XLOOKUP($B82,VmSpecs[[#All],[VM Name]],VmSpecs[[#All],[Data Disk1 Type]],"Failed",0,1),4),"Pass","Fail")</f>
        <v>Fail</v>
      </c>
      <c r="BO82" t="e">
        <f>VLOOKUP('VM Specs'!K82,'As Built'!B:B,1,FALSE)</f>
        <v>#N/A</v>
      </c>
      <c r="BP82" t="str">
        <f>IF(ISNA(Table613[[#This Row],[VM Build Sheet Check]]),'VM Specs'!K82,"")</f>
        <v>vmpfbpf2hmr02</v>
      </c>
    </row>
    <row r="83" spans="1:68" ht="33" customHeight="1" x14ac:dyDescent="0.35">
      <c r="A83" t="str">
        <f>IF(COUNTIF(AsBuilt[[#This Row],[VM Check]:[Data Disk 1 Type Check]],"Fail")&gt;0,"Fail","Pass")</f>
        <v>Fail</v>
      </c>
      <c r="B83" t="s">
        <v>1319</v>
      </c>
      <c r="C83" t="s">
        <v>754</v>
      </c>
      <c r="D83" t="s">
        <v>755</v>
      </c>
      <c r="E83" t="s">
        <v>756</v>
      </c>
      <c r="F83" t="s">
        <v>801</v>
      </c>
      <c r="G83" t="s">
        <v>758</v>
      </c>
      <c r="H83" t="s">
        <v>1305</v>
      </c>
      <c r="J83" t="s">
        <v>760</v>
      </c>
      <c r="K83" t="s">
        <v>761</v>
      </c>
      <c r="L83" t="s">
        <v>754</v>
      </c>
      <c r="M83" t="s">
        <v>1320</v>
      </c>
      <c r="N83" t="s">
        <v>763</v>
      </c>
      <c r="O83" t="s">
        <v>764</v>
      </c>
      <c r="P83" t="s">
        <v>63</v>
      </c>
      <c r="R83" t="s">
        <v>1321</v>
      </c>
      <c r="S83" t="s">
        <v>754</v>
      </c>
      <c r="U83" t="s">
        <v>1322</v>
      </c>
      <c r="V83" t="s">
        <v>767</v>
      </c>
      <c r="W83">
        <v>64</v>
      </c>
      <c r="X83" t="s">
        <v>768</v>
      </c>
      <c r="Y83">
        <v>2</v>
      </c>
      <c r="Z83" t="s">
        <v>1323</v>
      </c>
      <c r="AA83">
        <v>8</v>
      </c>
      <c r="AB83" t="s">
        <v>770</v>
      </c>
      <c r="AC83" t="s">
        <v>768</v>
      </c>
      <c r="AD83" t="s">
        <v>1324</v>
      </c>
      <c r="AE83">
        <v>32</v>
      </c>
      <c r="AF83" t="s">
        <v>770</v>
      </c>
      <c r="AG83" t="s">
        <v>768</v>
      </c>
      <c r="AT83" t="s">
        <v>772</v>
      </c>
      <c r="AU83" t="s">
        <v>1325</v>
      </c>
      <c r="AV83" t="str" cm="1">
        <f t="array" ref="AV83">IF(B83=_xlfn.XLOOKUP(B83,VmSpecs[[#All],[VM Name]],VmSpecs[[#All],[VM Name]],"Failed",0,1),"Pass","Fail")</f>
        <v>Fail</v>
      </c>
      <c r="AW83" t="str" cm="1">
        <f t="array" ref="AW83">IF(D83=_xlfn.XLOOKUP($B83,VmSpecs[[#All],[VM Name]],VmSpecs[[#All],[Virtual Machine Resource Groups]],"Failed",0,1),"Pass","Fail")</f>
        <v>Fail</v>
      </c>
      <c r="AX83" t="str" cm="1">
        <f t="array" ref="AX83">IF(_xlfn.IFS(E83="australiacentral","Australia Central 1",E83="australiaeast","Australia East",E83="australiasoutheast","Australia SouthEast")=_xlfn.XLOOKUP($B83,VmSpecs[[#All],[VM Name]],VmSpecs[[#All],[Region]],"Failed",0,1),"Pass","Fail")</f>
        <v>Fail</v>
      </c>
      <c r="AY83" t="str" cm="1">
        <f t="array" ref="AY83">IF(F83=_xlfn.XLOOKUP($B83,VmSpecs[[#All],[VM Name]],VmSpecs[[#All],[Instance size]],"Failed",0,1),"Pass","Fail")</f>
        <v>Fail</v>
      </c>
      <c r="AZ83" t="str" cm="1">
        <f t="array" ref="AZ83">IF(LOWER(H83)=_xlfn.XLOOKUP($B83,VmSpecs[[#All],[VM Name]],VmSpecs[[#All],[Availability Set Name]],"Failed",0,1),"Pass","Fail")</f>
        <v>Fail</v>
      </c>
      <c r="BA83" t="str" cm="1">
        <f t="array" ref="BA83">IF(J83=_xlfn.XLOOKUP($B83,VmSpecs[[#All],[VM Name]],VmSpecs[[#All],[Virtual Network]],"Failed",0,1),"Pass","Fail")</f>
        <v>Fail</v>
      </c>
      <c r="BB83" t="str" cm="1">
        <f t="array" ref="BB83">IF(K83=_xlfn.XLOOKUP($B83,VmSpecs[[#All],[VM Name]],VmSpecs[[#All],[Subnet]],"Failed",0,1),"Pass","Fail")</f>
        <v>Fail</v>
      </c>
      <c r="BC83" t="str" cm="1">
        <f t="array" ref="BC83">IF(M83=_xlfn.XLOOKUP($B83,VmSpecs[[#All],[VM Name]],VmSpecs[[#All],[IP]],"Failed",0,1),"Pass","Fail")</f>
        <v>Fail</v>
      </c>
      <c r="BD83" t="str" cm="1">
        <f t="array" ref="BD83">IF(N83=_xlfn.XLOOKUP($B83,VmSpecs[[#All],[VM Name]],VmSpecs[[#All],[Network Security Group]],"Failed",0,1),"Pass","Fail")</f>
        <v>Fail</v>
      </c>
      <c r="BE83" t="str" cm="1">
        <f t="array" ref="BE83">IF(O83=_xlfn.XLOOKUP($B83,VmSpecs[[#All],[VM Name]],VmSpecs[[#All],[Route Table Name]],"Failed",0,1),"Pass","Fail")</f>
        <v>Fail</v>
      </c>
      <c r="BF83" t="str" cm="1">
        <f t="array" ref="BF83">IF(P83=_xlfn.XLOOKUP($B83,VmSpecs[[#All],[VM Name]],VmSpecs[[#All],[Operating System]],"Failed",0,1),"Pass","Fail")</f>
        <v>Fail</v>
      </c>
      <c r="BG83" t="str" cm="1">
        <f t="array" ref="BG83">IF(R83=_xlfn.XLOOKUP($B83,VmSpecs[[#All],[VM Name]],VmSpecs[[#All],[NIC name]],"Failed",0,1),"Pass","Fail")</f>
        <v>Fail</v>
      </c>
      <c r="BH83" t="str" cm="1">
        <f t="array" ref="BH83">IF(U83=_xlfn.XLOOKUP($B83,VmSpecs[[#All],[VM Name]],VmSpecs[[#All],[OS Disk Name]],"Failed",0,1),"Pass","Fail")</f>
        <v>Fail</v>
      </c>
      <c r="BI83" t="str" cm="1">
        <f t="array" ref="BI83">IF(W83=_xlfn.XLOOKUP($B83,VmSpecs[[#All],[VM Name]],VmSpecs[[#All],[OS Disk Size]],"Failed",0,1),"Pass","Fail")</f>
        <v>Fail</v>
      </c>
      <c r="BJ83" t="str" cm="1">
        <f t="array" ref="BJ83">IF(LEFT(X83,4)=LEFT(_xlfn.XLOOKUP($B83,VmSpecs[[#All],[VM Name]],VmSpecs[[#All],[OS Disk Type (Standard SSD etc)]],"Failed",0,1),4),"Pass","Fail")</f>
        <v>Fail</v>
      </c>
      <c r="BK83" t="str" cm="1">
        <f t="array" ref="BK83">IF(Z83=_xlfn.XLOOKUP($B83,VmSpecs[[#All],[VM Name]],VmSpecs[[#All],[Data Disk1 Name]],"Failed",0,1),"Pass","Fail")</f>
        <v>Fail</v>
      </c>
      <c r="BL83" t="str" cm="1">
        <f t="array" ref="BL83">IF(AA83=_xlfn.XLOOKUP($B83,VmSpecs[[#All],[VM Name]],VmSpecs[[#All],[Data Disk1 Size]],"Failed",0,1),"Pass","Fail")</f>
        <v>Fail</v>
      </c>
      <c r="BM83" t="str" cm="1">
        <f t="array" ref="BM83">IF(LEFT(AC83,4)=LEFT(_xlfn.XLOOKUP($B83,VmSpecs[[#All],[VM Name]],VmSpecs[[#All],[Data Disk1 Type]],"Failed",0,1),4),"Pass","Fail")</f>
        <v>Fail</v>
      </c>
      <c r="BO83" t="e">
        <f>VLOOKUP('VM Specs'!K83,'As Built'!B:B,1,FALSE)</f>
        <v>#N/A</v>
      </c>
      <c r="BP83" t="str">
        <f>IF(ISNA(Table613[[#This Row],[VM Build Sheet Check]]),'VM Specs'!K83,"")</f>
        <v>vmpfbpf2hmr03</v>
      </c>
    </row>
    <row r="84" spans="1:68" ht="33" customHeight="1" x14ac:dyDescent="0.35">
      <c r="A84" t="str">
        <f>IF(COUNTIF(AsBuilt[[#This Row],[VM Check]:[Data Disk 1 Type Check]],"Fail")&gt;0,"Fail","Pass")</f>
        <v>Fail</v>
      </c>
      <c r="B84" t="s">
        <v>1326</v>
      </c>
      <c r="C84" t="s">
        <v>754</v>
      </c>
      <c r="D84" t="s">
        <v>755</v>
      </c>
      <c r="E84" t="s">
        <v>756</v>
      </c>
      <c r="F84" t="s">
        <v>757</v>
      </c>
      <c r="G84" t="s">
        <v>758</v>
      </c>
      <c r="H84" t="s">
        <v>1305</v>
      </c>
      <c r="J84" t="s">
        <v>760</v>
      </c>
      <c r="K84" t="s">
        <v>761</v>
      </c>
      <c r="L84" t="s">
        <v>754</v>
      </c>
      <c r="M84" t="s">
        <v>1327</v>
      </c>
      <c r="N84" t="s">
        <v>763</v>
      </c>
      <c r="O84" t="s">
        <v>764</v>
      </c>
      <c r="P84" t="s">
        <v>63</v>
      </c>
      <c r="R84" t="s">
        <v>1328</v>
      </c>
      <c r="S84" t="s">
        <v>754</v>
      </c>
      <c r="U84" t="s">
        <v>1329</v>
      </c>
      <c r="V84" t="s">
        <v>767</v>
      </c>
      <c r="W84">
        <v>64</v>
      </c>
      <c r="X84" t="s">
        <v>768</v>
      </c>
      <c r="Y84">
        <v>2</v>
      </c>
      <c r="Z84" t="s">
        <v>1330</v>
      </c>
      <c r="AA84">
        <v>8</v>
      </c>
      <c r="AB84" t="s">
        <v>770</v>
      </c>
      <c r="AC84" t="s">
        <v>768</v>
      </c>
      <c r="AD84" t="s">
        <v>1331</v>
      </c>
      <c r="AE84">
        <v>32</v>
      </c>
      <c r="AF84" t="s">
        <v>770</v>
      </c>
      <c r="AG84" t="s">
        <v>768</v>
      </c>
      <c r="AT84" t="s">
        <v>772</v>
      </c>
      <c r="AU84" t="s">
        <v>1332</v>
      </c>
      <c r="AV84" t="str" cm="1">
        <f t="array" ref="AV84">IF(B84=_xlfn.XLOOKUP(B84,VmSpecs[[#All],[VM Name]],VmSpecs[[#All],[VM Name]],"Failed",0,1),"Pass","Fail")</f>
        <v>Fail</v>
      </c>
      <c r="AW84" t="str" cm="1">
        <f t="array" ref="AW84">IF(D84=_xlfn.XLOOKUP($B84,VmSpecs[[#All],[VM Name]],VmSpecs[[#All],[Virtual Machine Resource Groups]],"Failed",0,1),"Pass","Fail")</f>
        <v>Fail</v>
      </c>
      <c r="AX84" t="str" cm="1">
        <f t="array" ref="AX84">IF(_xlfn.IFS(E84="australiacentral","Australia Central 1",E84="australiaeast","Australia East",E84="australiasoutheast","Australia SouthEast")=_xlfn.XLOOKUP($B84,VmSpecs[[#All],[VM Name]],VmSpecs[[#All],[Region]],"Failed",0,1),"Pass","Fail")</f>
        <v>Fail</v>
      </c>
      <c r="AY84" t="str" cm="1">
        <f t="array" ref="AY84">IF(F84=_xlfn.XLOOKUP($B84,VmSpecs[[#All],[VM Name]],VmSpecs[[#All],[Instance size]],"Failed",0,1),"Pass","Fail")</f>
        <v>Fail</v>
      </c>
      <c r="AZ84" t="str" cm="1">
        <f t="array" ref="AZ84">IF(LOWER(H84)=_xlfn.XLOOKUP($B84,VmSpecs[[#All],[VM Name]],VmSpecs[[#All],[Availability Set Name]],"Failed",0,1),"Pass","Fail")</f>
        <v>Fail</v>
      </c>
      <c r="BA84" t="str" cm="1">
        <f t="array" ref="BA84">IF(J84=_xlfn.XLOOKUP($B84,VmSpecs[[#All],[VM Name]],VmSpecs[[#All],[Virtual Network]],"Failed",0,1),"Pass","Fail")</f>
        <v>Fail</v>
      </c>
      <c r="BB84" t="str" cm="1">
        <f t="array" ref="BB84">IF(K84=_xlfn.XLOOKUP($B84,VmSpecs[[#All],[VM Name]],VmSpecs[[#All],[Subnet]],"Failed",0,1),"Pass","Fail")</f>
        <v>Fail</v>
      </c>
      <c r="BC84" t="str" cm="1">
        <f t="array" ref="BC84">IF(M84=_xlfn.XLOOKUP($B84,VmSpecs[[#All],[VM Name]],VmSpecs[[#All],[IP]],"Failed",0,1),"Pass","Fail")</f>
        <v>Fail</v>
      </c>
      <c r="BD84" t="str" cm="1">
        <f t="array" ref="BD84">IF(N84=_xlfn.XLOOKUP($B84,VmSpecs[[#All],[VM Name]],VmSpecs[[#All],[Network Security Group]],"Failed",0,1),"Pass","Fail")</f>
        <v>Fail</v>
      </c>
      <c r="BE84" t="str" cm="1">
        <f t="array" ref="BE84">IF(O84=_xlfn.XLOOKUP($B84,VmSpecs[[#All],[VM Name]],VmSpecs[[#All],[Route Table Name]],"Failed",0,1),"Pass","Fail")</f>
        <v>Fail</v>
      </c>
      <c r="BF84" t="str" cm="1">
        <f t="array" ref="BF84">IF(P84=_xlfn.XLOOKUP($B84,VmSpecs[[#All],[VM Name]],VmSpecs[[#All],[Operating System]],"Failed",0,1),"Pass","Fail")</f>
        <v>Fail</v>
      </c>
      <c r="BG84" t="str" cm="1">
        <f t="array" ref="BG84">IF(R84=_xlfn.XLOOKUP($B84,VmSpecs[[#All],[VM Name]],VmSpecs[[#All],[NIC name]],"Failed",0,1),"Pass","Fail")</f>
        <v>Fail</v>
      </c>
      <c r="BH84" t="str" cm="1">
        <f t="array" ref="BH84">IF(U84=_xlfn.XLOOKUP($B84,VmSpecs[[#All],[VM Name]],VmSpecs[[#All],[OS Disk Name]],"Failed",0,1),"Pass","Fail")</f>
        <v>Fail</v>
      </c>
      <c r="BI84" t="str" cm="1">
        <f t="array" ref="BI84">IF(W84=_xlfn.XLOOKUP($B84,VmSpecs[[#All],[VM Name]],VmSpecs[[#All],[OS Disk Size]],"Failed",0,1),"Pass","Fail")</f>
        <v>Fail</v>
      </c>
      <c r="BJ84" t="str" cm="1">
        <f t="array" ref="BJ84">IF(LEFT(X84,4)=LEFT(_xlfn.XLOOKUP($B84,VmSpecs[[#All],[VM Name]],VmSpecs[[#All],[OS Disk Type (Standard SSD etc)]],"Failed",0,1),4),"Pass","Fail")</f>
        <v>Fail</v>
      </c>
      <c r="BK84" t="str" cm="1">
        <f t="array" ref="BK84">IF(Z84=_xlfn.XLOOKUP($B84,VmSpecs[[#All],[VM Name]],VmSpecs[[#All],[Data Disk1 Name]],"Failed",0,1),"Pass","Fail")</f>
        <v>Fail</v>
      </c>
      <c r="BL84" t="str" cm="1">
        <f t="array" ref="BL84">IF(AA84=_xlfn.XLOOKUP($B84,VmSpecs[[#All],[VM Name]],VmSpecs[[#All],[Data Disk1 Size]],"Failed",0,1),"Pass","Fail")</f>
        <v>Fail</v>
      </c>
      <c r="BM84" t="str" cm="1">
        <f t="array" ref="BM84">IF(LEFT(AC84,4)=LEFT(_xlfn.XLOOKUP($B84,VmSpecs[[#All],[VM Name]],VmSpecs[[#All],[Data Disk1 Type]],"Failed",0,1),4),"Pass","Fail")</f>
        <v>Fail</v>
      </c>
      <c r="BO84" t="e">
        <f>VLOOKUP('VM Specs'!K84,'As Built'!B:B,1,FALSE)</f>
        <v>#N/A</v>
      </c>
      <c r="BP84" t="str">
        <f>IF(ISNA(Table613[[#This Row],[VM Build Sheet Check]]),'VM Specs'!K84,"")</f>
        <v>vmpfbpf2hmr04</v>
      </c>
    </row>
    <row r="85" spans="1:68" ht="33" customHeight="1" x14ac:dyDescent="0.35">
      <c r="A85" t="str">
        <f>IF(COUNTIF(AsBuilt[[#This Row],[VM Check]:[Data Disk 1 Type Check]],"Fail")&gt;0,"Fail","Pass")</f>
        <v>Fail</v>
      </c>
      <c r="B85" t="s">
        <v>1333</v>
      </c>
      <c r="C85" t="s">
        <v>754</v>
      </c>
      <c r="D85" t="s">
        <v>755</v>
      </c>
      <c r="E85" t="s">
        <v>756</v>
      </c>
      <c r="F85" t="s">
        <v>801</v>
      </c>
      <c r="G85" t="s">
        <v>758</v>
      </c>
      <c r="H85" t="s">
        <v>1305</v>
      </c>
      <c r="J85" t="s">
        <v>760</v>
      </c>
      <c r="K85" t="s">
        <v>761</v>
      </c>
      <c r="L85" t="s">
        <v>754</v>
      </c>
      <c r="M85" t="s">
        <v>1334</v>
      </c>
      <c r="N85" t="s">
        <v>763</v>
      </c>
      <c r="O85" t="s">
        <v>764</v>
      </c>
      <c r="P85" t="s">
        <v>63</v>
      </c>
      <c r="R85" t="s">
        <v>1335</v>
      </c>
      <c r="S85" t="s">
        <v>754</v>
      </c>
      <c r="U85" t="s">
        <v>1336</v>
      </c>
      <c r="V85" t="s">
        <v>767</v>
      </c>
      <c r="W85">
        <v>64</v>
      </c>
      <c r="X85" t="s">
        <v>768</v>
      </c>
      <c r="Y85">
        <v>2</v>
      </c>
      <c r="Z85" t="s">
        <v>1337</v>
      </c>
      <c r="AA85">
        <v>8</v>
      </c>
      <c r="AB85" t="s">
        <v>770</v>
      </c>
      <c r="AC85" t="s">
        <v>768</v>
      </c>
      <c r="AD85" t="s">
        <v>1338</v>
      </c>
      <c r="AE85">
        <v>32</v>
      </c>
      <c r="AF85" t="s">
        <v>770</v>
      </c>
      <c r="AG85" t="s">
        <v>768</v>
      </c>
      <c r="AT85" t="s">
        <v>772</v>
      </c>
      <c r="AU85" t="s">
        <v>1339</v>
      </c>
      <c r="AV85" t="str" cm="1">
        <f t="array" ref="AV85">IF(B85=_xlfn.XLOOKUP(B85,VmSpecs[[#All],[VM Name]],VmSpecs[[#All],[VM Name]],"Failed",0,1),"Pass","Fail")</f>
        <v>Fail</v>
      </c>
      <c r="AW85" t="str" cm="1">
        <f t="array" ref="AW85">IF(D85=_xlfn.XLOOKUP($B85,VmSpecs[[#All],[VM Name]],VmSpecs[[#All],[Virtual Machine Resource Groups]],"Failed",0,1),"Pass","Fail")</f>
        <v>Fail</v>
      </c>
      <c r="AX85" t="str" cm="1">
        <f t="array" ref="AX85">IF(_xlfn.IFS(E85="australiacentral","Australia Central 1",E85="australiaeast","Australia East",E85="australiasoutheast","Australia SouthEast")=_xlfn.XLOOKUP($B85,VmSpecs[[#All],[VM Name]],VmSpecs[[#All],[Region]],"Failed",0,1),"Pass","Fail")</f>
        <v>Fail</v>
      </c>
      <c r="AY85" t="str" cm="1">
        <f t="array" ref="AY85">IF(F85=_xlfn.XLOOKUP($B85,VmSpecs[[#All],[VM Name]],VmSpecs[[#All],[Instance size]],"Failed",0,1),"Pass","Fail")</f>
        <v>Fail</v>
      </c>
      <c r="AZ85" t="str" cm="1">
        <f t="array" ref="AZ85">IF(LOWER(H85)=_xlfn.XLOOKUP($B85,VmSpecs[[#All],[VM Name]],VmSpecs[[#All],[Availability Set Name]],"Failed",0,1),"Pass","Fail")</f>
        <v>Fail</v>
      </c>
      <c r="BA85" t="str" cm="1">
        <f t="array" ref="BA85">IF(J85=_xlfn.XLOOKUP($B85,VmSpecs[[#All],[VM Name]],VmSpecs[[#All],[Virtual Network]],"Failed",0,1),"Pass","Fail")</f>
        <v>Fail</v>
      </c>
      <c r="BB85" t="str" cm="1">
        <f t="array" ref="BB85">IF(K85=_xlfn.XLOOKUP($B85,VmSpecs[[#All],[VM Name]],VmSpecs[[#All],[Subnet]],"Failed",0,1),"Pass","Fail")</f>
        <v>Fail</v>
      </c>
      <c r="BC85" t="str" cm="1">
        <f t="array" ref="BC85">IF(M85=_xlfn.XLOOKUP($B85,VmSpecs[[#All],[VM Name]],VmSpecs[[#All],[IP]],"Failed",0,1),"Pass","Fail")</f>
        <v>Fail</v>
      </c>
      <c r="BD85" t="str" cm="1">
        <f t="array" ref="BD85">IF(N85=_xlfn.XLOOKUP($B85,VmSpecs[[#All],[VM Name]],VmSpecs[[#All],[Network Security Group]],"Failed",0,1),"Pass","Fail")</f>
        <v>Fail</v>
      </c>
      <c r="BE85" t="str" cm="1">
        <f t="array" ref="BE85">IF(O85=_xlfn.XLOOKUP($B85,VmSpecs[[#All],[VM Name]],VmSpecs[[#All],[Route Table Name]],"Failed",0,1),"Pass","Fail")</f>
        <v>Fail</v>
      </c>
      <c r="BF85" t="str" cm="1">
        <f t="array" ref="BF85">IF(P85=_xlfn.XLOOKUP($B85,VmSpecs[[#All],[VM Name]],VmSpecs[[#All],[Operating System]],"Failed",0,1),"Pass","Fail")</f>
        <v>Fail</v>
      </c>
      <c r="BG85" t="str" cm="1">
        <f t="array" ref="BG85">IF(R85=_xlfn.XLOOKUP($B85,VmSpecs[[#All],[VM Name]],VmSpecs[[#All],[NIC name]],"Failed",0,1),"Pass","Fail")</f>
        <v>Fail</v>
      </c>
      <c r="BH85" t="str" cm="1">
        <f t="array" ref="BH85">IF(U85=_xlfn.XLOOKUP($B85,VmSpecs[[#All],[VM Name]],VmSpecs[[#All],[OS Disk Name]],"Failed",0,1),"Pass","Fail")</f>
        <v>Fail</v>
      </c>
      <c r="BI85" t="str" cm="1">
        <f t="array" ref="BI85">IF(W85=_xlfn.XLOOKUP($B85,VmSpecs[[#All],[VM Name]],VmSpecs[[#All],[OS Disk Size]],"Failed",0,1),"Pass","Fail")</f>
        <v>Fail</v>
      </c>
      <c r="BJ85" t="str" cm="1">
        <f t="array" ref="BJ85">IF(LEFT(X85,4)=LEFT(_xlfn.XLOOKUP($B85,VmSpecs[[#All],[VM Name]],VmSpecs[[#All],[OS Disk Type (Standard SSD etc)]],"Failed",0,1),4),"Pass","Fail")</f>
        <v>Fail</v>
      </c>
      <c r="BK85" t="str" cm="1">
        <f t="array" ref="BK85">IF(Z85=_xlfn.XLOOKUP($B85,VmSpecs[[#All],[VM Name]],VmSpecs[[#All],[Data Disk1 Name]],"Failed",0,1),"Pass","Fail")</f>
        <v>Fail</v>
      </c>
      <c r="BL85" t="str" cm="1">
        <f t="array" ref="BL85">IF(AA85=_xlfn.XLOOKUP($B85,VmSpecs[[#All],[VM Name]],VmSpecs[[#All],[Data Disk1 Size]],"Failed",0,1),"Pass","Fail")</f>
        <v>Fail</v>
      </c>
      <c r="BM85" t="str" cm="1">
        <f t="array" ref="BM85">IF(LEFT(AC85,4)=LEFT(_xlfn.XLOOKUP($B85,VmSpecs[[#All],[VM Name]],VmSpecs[[#All],[Data Disk1 Type]],"Failed",0,1),4),"Pass","Fail")</f>
        <v>Fail</v>
      </c>
      <c r="BO85" t="e">
        <f>VLOOKUP('VM Specs'!K85,'As Built'!B:B,1,FALSE)</f>
        <v>#N/A</v>
      </c>
      <c r="BP85" t="str">
        <f>IF(ISNA(Table613[[#This Row],[VM Build Sheet Check]]),'VM Specs'!K85,"")</f>
        <v>vmpfbpf2hmr05</v>
      </c>
    </row>
    <row r="86" spans="1:68" ht="33" customHeight="1" x14ac:dyDescent="0.35">
      <c r="A86" t="str">
        <f>IF(COUNTIF(AsBuilt[[#This Row],[VM Check]:[Data Disk 1 Type Check]],"Fail")&gt;0,"Fail","Pass")</f>
        <v>Fail</v>
      </c>
      <c r="B86" t="s">
        <v>1340</v>
      </c>
      <c r="C86" t="s">
        <v>754</v>
      </c>
      <c r="D86" t="s">
        <v>755</v>
      </c>
      <c r="E86" t="s">
        <v>756</v>
      </c>
      <c r="F86" t="s">
        <v>757</v>
      </c>
      <c r="G86" t="s">
        <v>758</v>
      </c>
      <c r="H86" t="s">
        <v>1305</v>
      </c>
      <c r="J86" t="s">
        <v>760</v>
      </c>
      <c r="K86" t="s">
        <v>761</v>
      </c>
      <c r="L86" t="s">
        <v>754</v>
      </c>
      <c r="M86" t="s">
        <v>1341</v>
      </c>
      <c r="N86" t="s">
        <v>763</v>
      </c>
      <c r="O86" t="s">
        <v>764</v>
      </c>
      <c r="P86" t="s">
        <v>63</v>
      </c>
      <c r="R86" t="s">
        <v>1342</v>
      </c>
      <c r="S86" t="s">
        <v>754</v>
      </c>
      <c r="U86" t="s">
        <v>1343</v>
      </c>
      <c r="V86" t="s">
        <v>767</v>
      </c>
      <c r="W86">
        <v>64</v>
      </c>
      <c r="X86" t="s">
        <v>768</v>
      </c>
      <c r="Y86">
        <v>2</v>
      </c>
      <c r="Z86" t="s">
        <v>1344</v>
      </c>
      <c r="AA86">
        <v>8</v>
      </c>
      <c r="AB86" t="s">
        <v>770</v>
      </c>
      <c r="AC86" t="s">
        <v>768</v>
      </c>
      <c r="AD86" t="s">
        <v>1345</v>
      </c>
      <c r="AE86">
        <v>32</v>
      </c>
      <c r="AF86" t="s">
        <v>770</v>
      </c>
      <c r="AG86" t="s">
        <v>768</v>
      </c>
      <c r="AT86" t="s">
        <v>772</v>
      </c>
      <c r="AU86" t="s">
        <v>1346</v>
      </c>
      <c r="AV86" t="str" cm="1">
        <f t="array" ref="AV86">IF(B86=_xlfn.XLOOKUP(B86,VmSpecs[[#All],[VM Name]],VmSpecs[[#All],[VM Name]],"Failed",0,1),"Pass","Fail")</f>
        <v>Fail</v>
      </c>
      <c r="AW86" t="str" cm="1">
        <f t="array" ref="AW86">IF(D86=_xlfn.XLOOKUP($B86,VmSpecs[[#All],[VM Name]],VmSpecs[[#All],[Virtual Machine Resource Groups]],"Failed",0,1),"Pass","Fail")</f>
        <v>Fail</v>
      </c>
      <c r="AX86" t="str" cm="1">
        <f t="array" ref="AX86">IF(_xlfn.IFS(E86="australiacentral","Australia Central 1",E86="australiaeast","Australia East",E86="australiasoutheast","Australia SouthEast")=_xlfn.XLOOKUP($B86,VmSpecs[[#All],[VM Name]],VmSpecs[[#All],[Region]],"Failed",0,1),"Pass","Fail")</f>
        <v>Fail</v>
      </c>
      <c r="AY86" t="str" cm="1">
        <f t="array" ref="AY86">IF(F86=_xlfn.XLOOKUP($B86,VmSpecs[[#All],[VM Name]],VmSpecs[[#All],[Instance size]],"Failed",0,1),"Pass","Fail")</f>
        <v>Fail</v>
      </c>
      <c r="AZ86" t="str" cm="1">
        <f t="array" ref="AZ86">IF(LOWER(H86)=_xlfn.XLOOKUP($B86,VmSpecs[[#All],[VM Name]],VmSpecs[[#All],[Availability Set Name]],"Failed",0,1),"Pass","Fail")</f>
        <v>Fail</v>
      </c>
      <c r="BA86" t="str" cm="1">
        <f t="array" ref="BA86">IF(J86=_xlfn.XLOOKUP($B86,VmSpecs[[#All],[VM Name]],VmSpecs[[#All],[Virtual Network]],"Failed",0,1),"Pass","Fail")</f>
        <v>Fail</v>
      </c>
      <c r="BB86" t="str" cm="1">
        <f t="array" ref="BB86">IF(K86=_xlfn.XLOOKUP($B86,VmSpecs[[#All],[VM Name]],VmSpecs[[#All],[Subnet]],"Failed",0,1),"Pass","Fail")</f>
        <v>Fail</v>
      </c>
      <c r="BC86" t="str" cm="1">
        <f t="array" ref="BC86">IF(M86=_xlfn.XLOOKUP($B86,VmSpecs[[#All],[VM Name]],VmSpecs[[#All],[IP]],"Failed",0,1),"Pass","Fail")</f>
        <v>Fail</v>
      </c>
      <c r="BD86" t="str" cm="1">
        <f t="array" ref="BD86">IF(N86=_xlfn.XLOOKUP($B86,VmSpecs[[#All],[VM Name]],VmSpecs[[#All],[Network Security Group]],"Failed",0,1),"Pass","Fail")</f>
        <v>Fail</v>
      </c>
      <c r="BE86" t="str" cm="1">
        <f t="array" ref="BE86">IF(O86=_xlfn.XLOOKUP($B86,VmSpecs[[#All],[VM Name]],VmSpecs[[#All],[Route Table Name]],"Failed",0,1),"Pass","Fail")</f>
        <v>Fail</v>
      </c>
      <c r="BF86" t="str" cm="1">
        <f t="array" ref="BF86">IF(P86=_xlfn.XLOOKUP($B86,VmSpecs[[#All],[VM Name]],VmSpecs[[#All],[Operating System]],"Failed",0,1),"Pass","Fail")</f>
        <v>Fail</v>
      </c>
      <c r="BG86" t="str" cm="1">
        <f t="array" ref="BG86">IF(R86=_xlfn.XLOOKUP($B86,VmSpecs[[#All],[VM Name]],VmSpecs[[#All],[NIC name]],"Failed",0,1),"Pass","Fail")</f>
        <v>Fail</v>
      </c>
      <c r="BH86" t="str" cm="1">
        <f t="array" ref="BH86">IF(U86=_xlfn.XLOOKUP($B86,VmSpecs[[#All],[VM Name]],VmSpecs[[#All],[OS Disk Name]],"Failed",0,1),"Pass","Fail")</f>
        <v>Fail</v>
      </c>
      <c r="BI86" t="str" cm="1">
        <f t="array" ref="BI86">IF(W86=_xlfn.XLOOKUP($B86,VmSpecs[[#All],[VM Name]],VmSpecs[[#All],[OS Disk Size]],"Failed",0,1),"Pass","Fail")</f>
        <v>Fail</v>
      </c>
      <c r="BJ86" t="str" cm="1">
        <f t="array" ref="BJ86">IF(LEFT(X86,4)=LEFT(_xlfn.XLOOKUP($B86,VmSpecs[[#All],[VM Name]],VmSpecs[[#All],[OS Disk Type (Standard SSD etc)]],"Failed",0,1),4),"Pass","Fail")</f>
        <v>Fail</v>
      </c>
      <c r="BK86" t="str" cm="1">
        <f t="array" ref="BK86">IF(Z86=_xlfn.XLOOKUP($B86,VmSpecs[[#All],[VM Name]],VmSpecs[[#All],[Data Disk1 Name]],"Failed",0,1),"Pass","Fail")</f>
        <v>Fail</v>
      </c>
      <c r="BL86" t="str" cm="1">
        <f t="array" ref="BL86">IF(AA86=_xlfn.XLOOKUP($B86,VmSpecs[[#All],[VM Name]],VmSpecs[[#All],[Data Disk1 Size]],"Failed",0,1),"Pass","Fail")</f>
        <v>Fail</v>
      </c>
      <c r="BM86" t="str" cm="1">
        <f t="array" ref="BM86">IF(LEFT(AC86,4)=LEFT(_xlfn.XLOOKUP($B86,VmSpecs[[#All],[VM Name]],VmSpecs[[#All],[Data Disk1 Type]],"Failed",0,1),4),"Pass","Fail")</f>
        <v>Fail</v>
      </c>
      <c r="BO86" t="e">
        <f>VLOOKUP('VM Specs'!K86,'As Built'!B:B,1,FALSE)</f>
        <v>#N/A</v>
      </c>
      <c r="BP86" t="str">
        <f>IF(ISNA(Table613[[#This Row],[VM Build Sheet Check]]),'VM Specs'!K86,"")</f>
        <v>vmpfbpf2hmr06</v>
      </c>
    </row>
    <row r="87" spans="1:68" ht="33" customHeight="1" x14ac:dyDescent="0.35">
      <c r="A87" t="str">
        <f>IF(COUNTIF(AsBuilt[[#This Row],[VM Check]:[Data Disk 1 Type Check]],"Fail")&gt;0,"Fail","Pass")</f>
        <v>Fail</v>
      </c>
      <c r="B87" t="s">
        <v>1347</v>
      </c>
      <c r="C87" t="s">
        <v>754</v>
      </c>
      <c r="D87" t="s">
        <v>755</v>
      </c>
      <c r="E87" t="s">
        <v>756</v>
      </c>
      <c r="F87" t="s">
        <v>757</v>
      </c>
      <c r="G87" t="s">
        <v>758</v>
      </c>
      <c r="H87" t="s">
        <v>1305</v>
      </c>
      <c r="J87" t="s">
        <v>760</v>
      </c>
      <c r="K87" t="s">
        <v>761</v>
      </c>
      <c r="L87" t="s">
        <v>754</v>
      </c>
      <c r="M87" t="s">
        <v>1348</v>
      </c>
      <c r="N87" t="s">
        <v>763</v>
      </c>
      <c r="O87" t="s">
        <v>764</v>
      </c>
      <c r="P87" t="s">
        <v>63</v>
      </c>
      <c r="R87" t="s">
        <v>1349</v>
      </c>
      <c r="S87" t="s">
        <v>754</v>
      </c>
      <c r="U87" t="s">
        <v>1350</v>
      </c>
      <c r="V87" t="s">
        <v>767</v>
      </c>
      <c r="W87">
        <v>64</v>
      </c>
      <c r="X87" t="s">
        <v>768</v>
      </c>
      <c r="Y87">
        <v>2</v>
      </c>
      <c r="Z87" t="s">
        <v>1351</v>
      </c>
      <c r="AA87">
        <v>8</v>
      </c>
      <c r="AB87" t="s">
        <v>770</v>
      </c>
      <c r="AC87" t="s">
        <v>768</v>
      </c>
      <c r="AD87" t="s">
        <v>1352</v>
      </c>
      <c r="AE87">
        <v>32</v>
      </c>
      <c r="AF87" t="s">
        <v>770</v>
      </c>
      <c r="AG87" t="s">
        <v>768</v>
      </c>
      <c r="AT87" t="s">
        <v>772</v>
      </c>
      <c r="AU87" t="s">
        <v>1353</v>
      </c>
      <c r="AV87" t="str" cm="1">
        <f t="array" ref="AV87">IF(B87=_xlfn.XLOOKUP(B87,VmSpecs[[#All],[VM Name]],VmSpecs[[#All],[VM Name]],"Failed",0,1),"Pass","Fail")</f>
        <v>Fail</v>
      </c>
      <c r="AW87" t="str" cm="1">
        <f t="array" ref="AW87">IF(D87=_xlfn.XLOOKUP($B87,VmSpecs[[#All],[VM Name]],VmSpecs[[#All],[Virtual Machine Resource Groups]],"Failed",0,1),"Pass","Fail")</f>
        <v>Fail</v>
      </c>
      <c r="AX87" t="str" cm="1">
        <f t="array" ref="AX87">IF(_xlfn.IFS(E87="australiacentral","Australia Central 1",E87="australiaeast","Australia East",E87="australiasoutheast","Australia SouthEast")=_xlfn.XLOOKUP($B87,VmSpecs[[#All],[VM Name]],VmSpecs[[#All],[Region]],"Failed",0,1),"Pass","Fail")</f>
        <v>Fail</v>
      </c>
      <c r="AY87" t="str" cm="1">
        <f t="array" ref="AY87">IF(F87=_xlfn.XLOOKUP($B87,VmSpecs[[#All],[VM Name]],VmSpecs[[#All],[Instance size]],"Failed",0,1),"Pass","Fail")</f>
        <v>Fail</v>
      </c>
      <c r="AZ87" t="str" cm="1">
        <f t="array" ref="AZ87">IF(LOWER(H87)=_xlfn.XLOOKUP($B87,VmSpecs[[#All],[VM Name]],VmSpecs[[#All],[Availability Set Name]],"Failed",0,1),"Pass","Fail")</f>
        <v>Fail</v>
      </c>
      <c r="BA87" t="str" cm="1">
        <f t="array" ref="BA87">IF(J87=_xlfn.XLOOKUP($B87,VmSpecs[[#All],[VM Name]],VmSpecs[[#All],[Virtual Network]],"Failed",0,1),"Pass","Fail")</f>
        <v>Fail</v>
      </c>
      <c r="BB87" t="str" cm="1">
        <f t="array" ref="BB87">IF(K87=_xlfn.XLOOKUP($B87,VmSpecs[[#All],[VM Name]],VmSpecs[[#All],[Subnet]],"Failed",0,1),"Pass","Fail")</f>
        <v>Fail</v>
      </c>
      <c r="BC87" t="str" cm="1">
        <f t="array" ref="BC87">IF(M87=_xlfn.XLOOKUP($B87,VmSpecs[[#All],[VM Name]],VmSpecs[[#All],[IP]],"Failed",0,1),"Pass","Fail")</f>
        <v>Fail</v>
      </c>
      <c r="BD87" t="str" cm="1">
        <f t="array" ref="BD87">IF(N87=_xlfn.XLOOKUP($B87,VmSpecs[[#All],[VM Name]],VmSpecs[[#All],[Network Security Group]],"Failed",0,1),"Pass","Fail")</f>
        <v>Fail</v>
      </c>
      <c r="BE87" t="str" cm="1">
        <f t="array" ref="BE87">IF(O87=_xlfn.XLOOKUP($B87,VmSpecs[[#All],[VM Name]],VmSpecs[[#All],[Route Table Name]],"Failed",0,1),"Pass","Fail")</f>
        <v>Fail</v>
      </c>
      <c r="BF87" t="str" cm="1">
        <f t="array" ref="BF87">IF(P87=_xlfn.XLOOKUP($B87,VmSpecs[[#All],[VM Name]],VmSpecs[[#All],[Operating System]],"Failed",0,1),"Pass","Fail")</f>
        <v>Fail</v>
      </c>
      <c r="BG87" t="str" cm="1">
        <f t="array" ref="BG87">IF(R87=_xlfn.XLOOKUP($B87,VmSpecs[[#All],[VM Name]],VmSpecs[[#All],[NIC name]],"Failed",0,1),"Pass","Fail")</f>
        <v>Fail</v>
      </c>
      <c r="BH87" t="str" cm="1">
        <f t="array" ref="BH87">IF(U87=_xlfn.XLOOKUP($B87,VmSpecs[[#All],[VM Name]],VmSpecs[[#All],[OS Disk Name]],"Failed",0,1),"Pass","Fail")</f>
        <v>Fail</v>
      </c>
      <c r="BI87" t="str" cm="1">
        <f t="array" ref="BI87">IF(W87=_xlfn.XLOOKUP($B87,VmSpecs[[#All],[VM Name]],VmSpecs[[#All],[OS Disk Size]],"Failed",0,1),"Pass","Fail")</f>
        <v>Fail</v>
      </c>
      <c r="BJ87" t="str" cm="1">
        <f t="array" ref="BJ87">IF(LEFT(X87,4)=LEFT(_xlfn.XLOOKUP($B87,VmSpecs[[#All],[VM Name]],VmSpecs[[#All],[OS Disk Type (Standard SSD etc)]],"Failed",0,1),4),"Pass","Fail")</f>
        <v>Fail</v>
      </c>
      <c r="BK87" t="str" cm="1">
        <f t="array" ref="BK87">IF(Z87=_xlfn.XLOOKUP($B87,VmSpecs[[#All],[VM Name]],VmSpecs[[#All],[Data Disk1 Name]],"Failed",0,1),"Pass","Fail")</f>
        <v>Fail</v>
      </c>
      <c r="BL87" t="str" cm="1">
        <f t="array" ref="BL87">IF(AA87=_xlfn.XLOOKUP($B87,VmSpecs[[#All],[VM Name]],VmSpecs[[#All],[Data Disk1 Size]],"Failed",0,1),"Pass","Fail")</f>
        <v>Fail</v>
      </c>
      <c r="BM87" t="str" cm="1">
        <f t="array" ref="BM87">IF(LEFT(AC87,4)=LEFT(_xlfn.XLOOKUP($B87,VmSpecs[[#All],[VM Name]],VmSpecs[[#All],[Data Disk1 Type]],"Failed",0,1),4),"Pass","Fail")</f>
        <v>Fail</v>
      </c>
      <c r="BO87" t="e">
        <f>VLOOKUP('VM Specs'!K87,'As Built'!B:B,1,FALSE)</f>
        <v>#N/A</v>
      </c>
      <c r="BP87" t="str">
        <f>IF(ISNA(Table613[[#This Row],[VM Build Sheet Check]]),'VM Specs'!K87,"")</f>
        <v>vmpfbpf2hmr07</v>
      </c>
    </row>
    <row r="88" spans="1:68" ht="33" customHeight="1" x14ac:dyDescent="0.35">
      <c r="A88" t="str">
        <f>IF(COUNTIF(AsBuilt[[#This Row],[VM Check]:[Data Disk 1 Type Check]],"Fail")&gt;0,"Fail","Pass")</f>
        <v>Fail</v>
      </c>
      <c r="B88" t="s">
        <v>1354</v>
      </c>
      <c r="C88" t="s">
        <v>754</v>
      </c>
      <c r="D88" t="s">
        <v>755</v>
      </c>
      <c r="E88" t="s">
        <v>756</v>
      </c>
      <c r="F88" t="s">
        <v>757</v>
      </c>
      <c r="G88" t="s">
        <v>758</v>
      </c>
      <c r="H88" t="s">
        <v>1305</v>
      </c>
      <c r="J88" t="s">
        <v>760</v>
      </c>
      <c r="K88" t="s">
        <v>761</v>
      </c>
      <c r="L88" t="s">
        <v>754</v>
      </c>
      <c r="M88" t="s">
        <v>1355</v>
      </c>
      <c r="N88" t="s">
        <v>763</v>
      </c>
      <c r="O88" t="s">
        <v>764</v>
      </c>
      <c r="P88" t="s">
        <v>63</v>
      </c>
      <c r="R88" t="s">
        <v>1356</v>
      </c>
      <c r="S88" t="s">
        <v>754</v>
      </c>
      <c r="U88" t="s">
        <v>1357</v>
      </c>
      <c r="V88" t="s">
        <v>767</v>
      </c>
      <c r="W88">
        <v>64</v>
      </c>
      <c r="X88" t="s">
        <v>768</v>
      </c>
      <c r="Y88">
        <v>2</v>
      </c>
      <c r="Z88" t="s">
        <v>1358</v>
      </c>
      <c r="AA88">
        <v>8</v>
      </c>
      <c r="AB88" t="s">
        <v>770</v>
      </c>
      <c r="AC88" t="s">
        <v>768</v>
      </c>
      <c r="AD88" t="s">
        <v>1359</v>
      </c>
      <c r="AE88">
        <v>32</v>
      </c>
      <c r="AF88" t="s">
        <v>770</v>
      </c>
      <c r="AG88" t="s">
        <v>768</v>
      </c>
      <c r="AT88" t="s">
        <v>772</v>
      </c>
      <c r="AU88" t="s">
        <v>1360</v>
      </c>
      <c r="AV88" t="str" cm="1">
        <f t="array" ref="AV88">IF(B88=_xlfn.XLOOKUP(B88,VmSpecs[[#All],[VM Name]],VmSpecs[[#All],[VM Name]],"Failed",0,1),"Pass","Fail")</f>
        <v>Fail</v>
      </c>
      <c r="AW88" t="str" cm="1">
        <f t="array" ref="AW88">IF(D88=_xlfn.XLOOKUP($B88,VmSpecs[[#All],[VM Name]],VmSpecs[[#All],[Virtual Machine Resource Groups]],"Failed",0,1),"Pass","Fail")</f>
        <v>Fail</v>
      </c>
      <c r="AX88" t="str" cm="1">
        <f t="array" ref="AX88">IF(_xlfn.IFS(E88="australiacentral","Australia Central 1",E88="australiaeast","Australia East",E88="australiasoutheast","Australia SouthEast")=_xlfn.XLOOKUP($B88,VmSpecs[[#All],[VM Name]],VmSpecs[[#All],[Region]],"Failed",0,1),"Pass","Fail")</f>
        <v>Fail</v>
      </c>
      <c r="AY88" t="str" cm="1">
        <f t="array" ref="AY88">IF(F88=_xlfn.XLOOKUP($B88,VmSpecs[[#All],[VM Name]],VmSpecs[[#All],[Instance size]],"Failed",0,1),"Pass","Fail")</f>
        <v>Fail</v>
      </c>
      <c r="AZ88" t="str" cm="1">
        <f t="array" ref="AZ88">IF(LOWER(H88)=_xlfn.XLOOKUP($B88,VmSpecs[[#All],[VM Name]],VmSpecs[[#All],[Availability Set Name]],"Failed",0,1),"Pass","Fail")</f>
        <v>Fail</v>
      </c>
      <c r="BA88" t="str" cm="1">
        <f t="array" ref="BA88">IF(J88=_xlfn.XLOOKUP($B88,VmSpecs[[#All],[VM Name]],VmSpecs[[#All],[Virtual Network]],"Failed",0,1),"Pass","Fail")</f>
        <v>Fail</v>
      </c>
      <c r="BB88" t="str" cm="1">
        <f t="array" ref="BB88">IF(K88=_xlfn.XLOOKUP($B88,VmSpecs[[#All],[VM Name]],VmSpecs[[#All],[Subnet]],"Failed",0,1),"Pass","Fail")</f>
        <v>Fail</v>
      </c>
      <c r="BC88" t="str" cm="1">
        <f t="array" ref="BC88">IF(M88=_xlfn.XLOOKUP($B88,VmSpecs[[#All],[VM Name]],VmSpecs[[#All],[IP]],"Failed",0,1),"Pass","Fail")</f>
        <v>Fail</v>
      </c>
      <c r="BD88" t="str" cm="1">
        <f t="array" ref="BD88">IF(N88=_xlfn.XLOOKUP($B88,VmSpecs[[#All],[VM Name]],VmSpecs[[#All],[Network Security Group]],"Failed",0,1),"Pass","Fail")</f>
        <v>Fail</v>
      </c>
      <c r="BE88" t="str" cm="1">
        <f t="array" ref="BE88">IF(O88=_xlfn.XLOOKUP($B88,VmSpecs[[#All],[VM Name]],VmSpecs[[#All],[Route Table Name]],"Failed",0,1),"Pass","Fail")</f>
        <v>Fail</v>
      </c>
      <c r="BF88" t="str" cm="1">
        <f t="array" ref="BF88">IF(P88=_xlfn.XLOOKUP($B88,VmSpecs[[#All],[VM Name]],VmSpecs[[#All],[Operating System]],"Failed",0,1),"Pass","Fail")</f>
        <v>Fail</v>
      </c>
      <c r="BG88" t="str" cm="1">
        <f t="array" ref="BG88">IF(R88=_xlfn.XLOOKUP($B88,VmSpecs[[#All],[VM Name]],VmSpecs[[#All],[NIC name]],"Failed",0,1),"Pass","Fail")</f>
        <v>Fail</v>
      </c>
      <c r="BH88" t="str" cm="1">
        <f t="array" ref="BH88">IF(U88=_xlfn.XLOOKUP($B88,VmSpecs[[#All],[VM Name]],VmSpecs[[#All],[OS Disk Name]],"Failed",0,1),"Pass","Fail")</f>
        <v>Fail</v>
      </c>
      <c r="BI88" t="str" cm="1">
        <f t="array" ref="BI88">IF(W88=_xlfn.XLOOKUP($B88,VmSpecs[[#All],[VM Name]],VmSpecs[[#All],[OS Disk Size]],"Failed",0,1),"Pass","Fail")</f>
        <v>Fail</v>
      </c>
      <c r="BJ88" t="str" cm="1">
        <f t="array" ref="BJ88">IF(LEFT(X88,4)=LEFT(_xlfn.XLOOKUP($B88,VmSpecs[[#All],[VM Name]],VmSpecs[[#All],[OS Disk Type (Standard SSD etc)]],"Failed",0,1),4),"Pass","Fail")</f>
        <v>Fail</v>
      </c>
      <c r="BK88" t="str" cm="1">
        <f t="array" ref="BK88">IF(Z88=_xlfn.XLOOKUP($B88,VmSpecs[[#All],[VM Name]],VmSpecs[[#All],[Data Disk1 Name]],"Failed",0,1),"Pass","Fail")</f>
        <v>Fail</v>
      </c>
      <c r="BL88" t="str" cm="1">
        <f t="array" ref="BL88">IF(AA88=_xlfn.XLOOKUP($B88,VmSpecs[[#All],[VM Name]],VmSpecs[[#All],[Data Disk1 Size]],"Failed",0,1),"Pass","Fail")</f>
        <v>Fail</v>
      </c>
      <c r="BM88" t="str" cm="1">
        <f t="array" ref="BM88">IF(LEFT(AC88,4)=LEFT(_xlfn.XLOOKUP($B88,VmSpecs[[#All],[VM Name]],VmSpecs[[#All],[Data Disk1 Type]],"Failed",0,1),4),"Pass","Fail")</f>
        <v>Fail</v>
      </c>
      <c r="BO88" t="e">
        <f>VLOOKUP('VM Specs'!K88,'As Built'!B:B,1,FALSE)</f>
        <v>#N/A</v>
      </c>
      <c r="BP88" t="str">
        <f>IF(ISNA(Table613[[#This Row],[VM Build Sheet Check]]),'VM Specs'!K88,"")</f>
        <v>vmpfbpf2hmr08</v>
      </c>
    </row>
    <row r="89" spans="1:68" ht="33" customHeight="1" x14ac:dyDescent="0.35">
      <c r="A89" t="str">
        <f>IF(COUNTIF(AsBuilt[[#This Row],[VM Check]:[Data Disk 1 Type Check]],"Fail")&gt;0,"Fail","Pass")</f>
        <v>Fail</v>
      </c>
      <c r="B89" t="s">
        <v>1361</v>
      </c>
      <c r="C89" t="s">
        <v>754</v>
      </c>
      <c r="D89" t="s">
        <v>755</v>
      </c>
      <c r="E89" t="s">
        <v>756</v>
      </c>
      <c r="F89" t="s">
        <v>757</v>
      </c>
      <c r="G89" t="s">
        <v>758</v>
      </c>
      <c r="H89" t="s">
        <v>1305</v>
      </c>
      <c r="J89" t="s">
        <v>760</v>
      </c>
      <c r="K89" t="s">
        <v>761</v>
      </c>
      <c r="L89" t="s">
        <v>754</v>
      </c>
      <c r="M89" t="s">
        <v>1362</v>
      </c>
      <c r="N89" t="s">
        <v>763</v>
      </c>
      <c r="O89" t="s">
        <v>764</v>
      </c>
      <c r="P89" t="s">
        <v>63</v>
      </c>
      <c r="R89" t="s">
        <v>1363</v>
      </c>
      <c r="S89" t="s">
        <v>754</v>
      </c>
      <c r="U89" t="s">
        <v>1364</v>
      </c>
      <c r="V89" t="s">
        <v>767</v>
      </c>
      <c r="W89">
        <v>64</v>
      </c>
      <c r="X89" t="s">
        <v>768</v>
      </c>
      <c r="Y89">
        <v>2</v>
      </c>
      <c r="Z89" t="s">
        <v>1365</v>
      </c>
      <c r="AA89">
        <v>8</v>
      </c>
      <c r="AB89" t="s">
        <v>770</v>
      </c>
      <c r="AC89" t="s">
        <v>768</v>
      </c>
      <c r="AD89" t="s">
        <v>1366</v>
      </c>
      <c r="AE89">
        <v>32</v>
      </c>
      <c r="AF89" t="s">
        <v>770</v>
      </c>
      <c r="AG89" t="s">
        <v>768</v>
      </c>
      <c r="AT89" t="s">
        <v>772</v>
      </c>
      <c r="AU89" t="s">
        <v>1367</v>
      </c>
      <c r="AV89" t="str" cm="1">
        <f t="array" ref="AV89">IF(B89=_xlfn.XLOOKUP(B89,VmSpecs[[#All],[VM Name]],VmSpecs[[#All],[VM Name]],"Failed",0,1),"Pass","Fail")</f>
        <v>Fail</v>
      </c>
      <c r="AW89" t="str" cm="1">
        <f t="array" ref="AW89">IF(D89=_xlfn.XLOOKUP($B89,VmSpecs[[#All],[VM Name]],VmSpecs[[#All],[Virtual Machine Resource Groups]],"Failed",0,1),"Pass","Fail")</f>
        <v>Fail</v>
      </c>
      <c r="AX89" t="str" cm="1">
        <f t="array" ref="AX89">IF(_xlfn.IFS(E89="australiacentral","Australia Central 1",E89="australiaeast","Australia East",E89="australiasoutheast","Australia SouthEast")=_xlfn.XLOOKUP($B89,VmSpecs[[#All],[VM Name]],VmSpecs[[#All],[Region]],"Failed",0,1),"Pass","Fail")</f>
        <v>Fail</v>
      </c>
      <c r="AY89" t="str" cm="1">
        <f t="array" ref="AY89">IF(F89=_xlfn.XLOOKUP($B89,VmSpecs[[#All],[VM Name]],VmSpecs[[#All],[Instance size]],"Failed",0,1),"Pass","Fail")</f>
        <v>Fail</v>
      </c>
      <c r="AZ89" t="str" cm="1">
        <f t="array" ref="AZ89">IF(LOWER(H89)=_xlfn.XLOOKUP($B89,VmSpecs[[#All],[VM Name]],VmSpecs[[#All],[Availability Set Name]],"Failed",0,1),"Pass","Fail")</f>
        <v>Fail</v>
      </c>
      <c r="BA89" t="str" cm="1">
        <f t="array" ref="BA89">IF(J89=_xlfn.XLOOKUP($B89,VmSpecs[[#All],[VM Name]],VmSpecs[[#All],[Virtual Network]],"Failed",0,1),"Pass","Fail")</f>
        <v>Fail</v>
      </c>
      <c r="BB89" t="str" cm="1">
        <f t="array" ref="BB89">IF(K89=_xlfn.XLOOKUP($B89,VmSpecs[[#All],[VM Name]],VmSpecs[[#All],[Subnet]],"Failed",0,1),"Pass","Fail")</f>
        <v>Fail</v>
      </c>
      <c r="BC89" t="str" cm="1">
        <f t="array" ref="BC89">IF(M89=_xlfn.XLOOKUP($B89,VmSpecs[[#All],[VM Name]],VmSpecs[[#All],[IP]],"Failed",0,1),"Pass","Fail")</f>
        <v>Fail</v>
      </c>
      <c r="BD89" t="str" cm="1">
        <f t="array" ref="BD89">IF(N89=_xlfn.XLOOKUP($B89,VmSpecs[[#All],[VM Name]],VmSpecs[[#All],[Network Security Group]],"Failed",0,1),"Pass","Fail")</f>
        <v>Fail</v>
      </c>
      <c r="BE89" t="str" cm="1">
        <f t="array" ref="BE89">IF(O89=_xlfn.XLOOKUP($B89,VmSpecs[[#All],[VM Name]],VmSpecs[[#All],[Route Table Name]],"Failed",0,1),"Pass","Fail")</f>
        <v>Fail</v>
      </c>
      <c r="BF89" t="str" cm="1">
        <f t="array" ref="BF89">IF(P89=_xlfn.XLOOKUP($B89,VmSpecs[[#All],[VM Name]],VmSpecs[[#All],[Operating System]],"Failed",0,1),"Pass","Fail")</f>
        <v>Fail</v>
      </c>
      <c r="BG89" t="str" cm="1">
        <f t="array" ref="BG89">IF(R89=_xlfn.XLOOKUP($B89,VmSpecs[[#All],[VM Name]],VmSpecs[[#All],[NIC name]],"Failed",0,1),"Pass","Fail")</f>
        <v>Fail</v>
      </c>
      <c r="BH89" t="str" cm="1">
        <f t="array" ref="BH89">IF(U89=_xlfn.XLOOKUP($B89,VmSpecs[[#All],[VM Name]],VmSpecs[[#All],[OS Disk Name]],"Failed",0,1),"Pass","Fail")</f>
        <v>Fail</v>
      </c>
      <c r="BI89" t="str" cm="1">
        <f t="array" ref="BI89">IF(W89=_xlfn.XLOOKUP($B89,VmSpecs[[#All],[VM Name]],VmSpecs[[#All],[OS Disk Size]],"Failed",0,1),"Pass","Fail")</f>
        <v>Fail</v>
      </c>
      <c r="BJ89" t="str" cm="1">
        <f t="array" ref="BJ89">IF(LEFT(X89,4)=LEFT(_xlfn.XLOOKUP($B89,VmSpecs[[#All],[VM Name]],VmSpecs[[#All],[OS Disk Type (Standard SSD etc)]],"Failed",0,1),4),"Pass","Fail")</f>
        <v>Fail</v>
      </c>
      <c r="BK89" t="str" cm="1">
        <f t="array" ref="BK89">IF(Z89=_xlfn.XLOOKUP($B89,VmSpecs[[#All],[VM Name]],VmSpecs[[#All],[Data Disk1 Name]],"Failed",0,1),"Pass","Fail")</f>
        <v>Fail</v>
      </c>
      <c r="BL89" t="str" cm="1">
        <f t="array" ref="BL89">IF(AA89=_xlfn.XLOOKUP($B89,VmSpecs[[#All],[VM Name]],VmSpecs[[#All],[Data Disk1 Size]],"Failed",0,1),"Pass","Fail")</f>
        <v>Fail</v>
      </c>
      <c r="BM89" t="str" cm="1">
        <f t="array" ref="BM89">IF(LEFT(AC89,4)=LEFT(_xlfn.XLOOKUP($B89,VmSpecs[[#All],[VM Name]],VmSpecs[[#All],[Data Disk1 Type]],"Failed",0,1),4),"Pass","Fail")</f>
        <v>Fail</v>
      </c>
      <c r="BO89" t="e">
        <f>VLOOKUP('VM Specs'!K89,'As Built'!B:B,1,FALSE)</f>
        <v>#N/A</v>
      </c>
      <c r="BP89" t="str">
        <f>IF(ISNA(Table613[[#This Row],[VM Build Sheet Check]]),'VM Specs'!K89,"")</f>
        <v>vmpfbpf2hmr09</v>
      </c>
    </row>
    <row r="90" spans="1:68" ht="33" customHeight="1" x14ac:dyDescent="0.35">
      <c r="A90" t="str">
        <f>IF(COUNTIF(AsBuilt[[#This Row],[VM Check]:[Data Disk 1 Type Check]],"Fail")&gt;0,"Fail","Pass")</f>
        <v>Fail</v>
      </c>
      <c r="B90" t="s">
        <v>1368</v>
      </c>
      <c r="C90" t="s">
        <v>754</v>
      </c>
      <c r="D90" t="s">
        <v>755</v>
      </c>
      <c r="E90" t="s">
        <v>756</v>
      </c>
      <c r="F90" t="s">
        <v>757</v>
      </c>
      <c r="G90" t="s">
        <v>758</v>
      </c>
      <c r="H90" t="s">
        <v>1305</v>
      </c>
      <c r="J90" t="s">
        <v>760</v>
      </c>
      <c r="K90" t="s">
        <v>761</v>
      </c>
      <c r="L90" t="s">
        <v>754</v>
      </c>
      <c r="M90" t="s">
        <v>1369</v>
      </c>
      <c r="N90" t="s">
        <v>763</v>
      </c>
      <c r="O90" t="s">
        <v>764</v>
      </c>
      <c r="P90" t="s">
        <v>63</v>
      </c>
      <c r="R90" t="s">
        <v>1370</v>
      </c>
      <c r="S90" t="s">
        <v>754</v>
      </c>
      <c r="U90" t="s">
        <v>1371</v>
      </c>
      <c r="V90" t="s">
        <v>767</v>
      </c>
      <c r="W90">
        <v>64</v>
      </c>
      <c r="X90" t="s">
        <v>768</v>
      </c>
      <c r="Y90">
        <v>2</v>
      </c>
      <c r="Z90" t="s">
        <v>1372</v>
      </c>
      <c r="AA90">
        <v>8</v>
      </c>
      <c r="AB90" t="s">
        <v>770</v>
      </c>
      <c r="AC90" t="s">
        <v>768</v>
      </c>
      <c r="AD90" t="s">
        <v>1373</v>
      </c>
      <c r="AE90">
        <v>32</v>
      </c>
      <c r="AF90" t="s">
        <v>770</v>
      </c>
      <c r="AG90" t="s">
        <v>768</v>
      </c>
      <c r="AT90" t="s">
        <v>772</v>
      </c>
      <c r="AU90" t="s">
        <v>1374</v>
      </c>
      <c r="AV90" t="str" cm="1">
        <f t="array" ref="AV90">IF(B90=_xlfn.XLOOKUP(B90,VmSpecs[[#All],[VM Name]],VmSpecs[[#All],[VM Name]],"Failed",0,1),"Pass","Fail")</f>
        <v>Fail</v>
      </c>
      <c r="AW90" t="str" cm="1">
        <f t="array" ref="AW90">IF(D90=_xlfn.XLOOKUP($B90,VmSpecs[[#All],[VM Name]],VmSpecs[[#All],[Virtual Machine Resource Groups]],"Failed",0,1),"Pass","Fail")</f>
        <v>Fail</v>
      </c>
      <c r="AX90" t="str" cm="1">
        <f t="array" ref="AX90">IF(_xlfn.IFS(E90="australiacentral","Australia Central 1",E90="australiaeast","Australia East",E90="australiasoutheast","Australia SouthEast")=_xlfn.XLOOKUP($B90,VmSpecs[[#All],[VM Name]],VmSpecs[[#All],[Region]],"Failed",0,1),"Pass","Fail")</f>
        <v>Fail</v>
      </c>
      <c r="AY90" t="str" cm="1">
        <f t="array" ref="AY90">IF(F90=_xlfn.XLOOKUP($B90,VmSpecs[[#All],[VM Name]],VmSpecs[[#All],[Instance size]],"Failed",0,1),"Pass","Fail")</f>
        <v>Fail</v>
      </c>
      <c r="AZ90" t="str" cm="1">
        <f t="array" ref="AZ90">IF(LOWER(H90)=_xlfn.XLOOKUP($B90,VmSpecs[[#All],[VM Name]],VmSpecs[[#All],[Availability Set Name]],"Failed",0,1),"Pass","Fail")</f>
        <v>Fail</v>
      </c>
      <c r="BA90" t="str" cm="1">
        <f t="array" ref="BA90">IF(J90=_xlfn.XLOOKUP($B90,VmSpecs[[#All],[VM Name]],VmSpecs[[#All],[Virtual Network]],"Failed",0,1),"Pass","Fail")</f>
        <v>Fail</v>
      </c>
      <c r="BB90" t="str" cm="1">
        <f t="array" ref="BB90">IF(K90=_xlfn.XLOOKUP($B90,VmSpecs[[#All],[VM Name]],VmSpecs[[#All],[Subnet]],"Failed",0,1),"Pass","Fail")</f>
        <v>Fail</v>
      </c>
      <c r="BC90" t="str" cm="1">
        <f t="array" ref="BC90">IF(M90=_xlfn.XLOOKUP($B90,VmSpecs[[#All],[VM Name]],VmSpecs[[#All],[IP]],"Failed",0,1),"Pass","Fail")</f>
        <v>Fail</v>
      </c>
      <c r="BD90" t="str" cm="1">
        <f t="array" ref="BD90">IF(N90=_xlfn.XLOOKUP($B90,VmSpecs[[#All],[VM Name]],VmSpecs[[#All],[Network Security Group]],"Failed",0,1),"Pass","Fail")</f>
        <v>Fail</v>
      </c>
      <c r="BE90" t="str" cm="1">
        <f t="array" ref="BE90">IF(O90=_xlfn.XLOOKUP($B90,VmSpecs[[#All],[VM Name]],VmSpecs[[#All],[Route Table Name]],"Failed",0,1),"Pass","Fail")</f>
        <v>Fail</v>
      </c>
      <c r="BF90" t="str" cm="1">
        <f t="array" ref="BF90">IF(P90=_xlfn.XLOOKUP($B90,VmSpecs[[#All],[VM Name]],VmSpecs[[#All],[Operating System]],"Failed",0,1),"Pass","Fail")</f>
        <v>Fail</v>
      </c>
      <c r="BG90" t="str" cm="1">
        <f t="array" ref="BG90">IF(R90=_xlfn.XLOOKUP($B90,VmSpecs[[#All],[VM Name]],VmSpecs[[#All],[NIC name]],"Failed",0,1),"Pass","Fail")</f>
        <v>Fail</v>
      </c>
      <c r="BH90" t="str" cm="1">
        <f t="array" ref="BH90">IF(U90=_xlfn.XLOOKUP($B90,VmSpecs[[#All],[VM Name]],VmSpecs[[#All],[OS Disk Name]],"Failed",0,1),"Pass","Fail")</f>
        <v>Fail</v>
      </c>
      <c r="BI90" t="str" cm="1">
        <f t="array" ref="BI90">IF(W90=_xlfn.XLOOKUP($B90,VmSpecs[[#All],[VM Name]],VmSpecs[[#All],[OS Disk Size]],"Failed",0,1),"Pass","Fail")</f>
        <v>Fail</v>
      </c>
      <c r="BJ90" t="str" cm="1">
        <f t="array" ref="BJ90">IF(LEFT(X90,4)=LEFT(_xlfn.XLOOKUP($B90,VmSpecs[[#All],[VM Name]],VmSpecs[[#All],[OS Disk Type (Standard SSD etc)]],"Failed",0,1),4),"Pass","Fail")</f>
        <v>Fail</v>
      </c>
      <c r="BK90" t="str" cm="1">
        <f t="array" ref="BK90">IF(Z90=_xlfn.XLOOKUP($B90,VmSpecs[[#All],[VM Name]],VmSpecs[[#All],[Data Disk1 Name]],"Failed",0,1),"Pass","Fail")</f>
        <v>Fail</v>
      </c>
      <c r="BL90" t="str" cm="1">
        <f t="array" ref="BL90">IF(AA90=_xlfn.XLOOKUP($B90,VmSpecs[[#All],[VM Name]],VmSpecs[[#All],[Data Disk1 Size]],"Failed",0,1),"Pass","Fail")</f>
        <v>Fail</v>
      </c>
      <c r="BM90" t="str" cm="1">
        <f t="array" ref="BM90">IF(LEFT(AC90,4)=LEFT(_xlfn.XLOOKUP($B90,VmSpecs[[#All],[VM Name]],VmSpecs[[#All],[Data Disk1 Type]],"Failed",0,1),4),"Pass","Fail")</f>
        <v>Fail</v>
      </c>
      <c r="BO90" t="e">
        <f>VLOOKUP('VM Specs'!K90,'As Built'!B:B,1,FALSE)</f>
        <v>#N/A</v>
      </c>
      <c r="BP90" t="str">
        <f>IF(ISNA(Table613[[#This Row],[VM Build Sheet Check]]),'VM Specs'!K90,"")</f>
        <v>vmpfbpf2hmr10</v>
      </c>
    </row>
    <row r="91" spans="1:68" ht="33" customHeight="1" x14ac:dyDescent="0.35">
      <c r="A91" t="str">
        <f>IF(COUNTIF(AsBuilt[[#This Row],[VM Check]:[Data Disk 1 Type Check]],"Fail")&gt;0,"Fail","Pass")</f>
        <v>Fail</v>
      </c>
      <c r="B91" t="s">
        <v>1375</v>
      </c>
      <c r="C91" t="s">
        <v>754</v>
      </c>
      <c r="D91" t="s">
        <v>755</v>
      </c>
      <c r="E91" t="s">
        <v>756</v>
      </c>
      <c r="F91" t="s">
        <v>757</v>
      </c>
      <c r="G91" t="s">
        <v>758</v>
      </c>
      <c r="H91" t="s">
        <v>1305</v>
      </c>
      <c r="J91" t="s">
        <v>760</v>
      </c>
      <c r="K91" t="s">
        <v>761</v>
      </c>
      <c r="L91" t="s">
        <v>754</v>
      </c>
      <c r="M91" t="s">
        <v>1376</v>
      </c>
      <c r="N91" t="s">
        <v>763</v>
      </c>
      <c r="O91" t="s">
        <v>764</v>
      </c>
      <c r="P91" t="s">
        <v>63</v>
      </c>
      <c r="R91" t="s">
        <v>1377</v>
      </c>
      <c r="S91" t="s">
        <v>754</v>
      </c>
      <c r="U91" t="s">
        <v>1378</v>
      </c>
      <c r="V91" t="s">
        <v>767</v>
      </c>
      <c r="W91">
        <v>64</v>
      </c>
      <c r="X91" t="s">
        <v>768</v>
      </c>
      <c r="Y91">
        <v>2</v>
      </c>
      <c r="Z91" t="s">
        <v>1379</v>
      </c>
      <c r="AA91">
        <v>8</v>
      </c>
      <c r="AB91" t="s">
        <v>770</v>
      </c>
      <c r="AC91" t="s">
        <v>768</v>
      </c>
      <c r="AD91" t="s">
        <v>1380</v>
      </c>
      <c r="AE91">
        <v>32</v>
      </c>
      <c r="AF91" t="s">
        <v>770</v>
      </c>
      <c r="AG91" t="s">
        <v>768</v>
      </c>
      <c r="AT91" t="s">
        <v>772</v>
      </c>
      <c r="AU91" t="s">
        <v>1381</v>
      </c>
      <c r="AV91" t="str" cm="1">
        <f t="array" ref="AV91">IF(B91=_xlfn.XLOOKUP(B91,VmSpecs[[#All],[VM Name]],VmSpecs[[#All],[VM Name]],"Failed",0,1),"Pass","Fail")</f>
        <v>Fail</v>
      </c>
      <c r="AW91" t="str" cm="1">
        <f t="array" ref="AW91">IF(D91=_xlfn.XLOOKUP($B91,VmSpecs[[#All],[VM Name]],VmSpecs[[#All],[Virtual Machine Resource Groups]],"Failed",0,1),"Pass","Fail")</f>
        <v>Fail</v>
      </c>
      <c r="AX91" t="str" cm="1">
        <f t="array" ref="AX91">IF(_xlfn.IFS(E91="australiacentral","Australia Central 1",E91="australiaeast","Australia East",E91="australiasoutheast","Australia SouthEast")=_xlfn.XLOOKUP($B91,VmSpecs[[#All],[VM Name]],VmSpecs[[#All],[Region]],"Failed",0,1),"Pass","Fail")</f>
        <v>Fail</v>
      </c>
      <c r="AY91" t="str" cm="1">
        <f t="array" ref="AY91">IF(F91=_xlfn.XLOOKUP($B91,VmSpecs[[#All],[VM Name]],VmSpecs[[#All],[Instance size]],"Failed",0,1),"Pass","Fail")</f>
        <v>Fail</v>
      </c>
      <c r="AZ91" t="str" cm="1">
        <f t="array" ref="AZ91">IF(LOWER(H91)=_xlfn.XLOOKUP($B91,VmSpecs[[#All],[VM Name]],VmSpecs[[#All],[Availability Set Name]],"Failed",0,1),"Pass","Fail")</f>
        <v>Fail</v>
      </c>
      <c r="BA91" t="str" cm="1">
        <f t="array" ref="BA91">IF(J91=_xlfn.XLOOKUP($B91,VmSpecs[[#All],[VM Name]],VmSpecs[[#All],[Virtual Network]],"Failed",0,1),"Pass","Fail")</f>
        <v>Fail</v>
      </c>
      <c r="BB91" t="str" cm="1">
        <f t="array" ref="BB91">IF(K91=_xlfn.XLOOKUP($B91,VmSpecs[[#All],[VM Name]],VmSpecs[[#All],[Subnet]],"Failed",0,1),"Pass","Fail")</f>
        <v>Fail</v>
      </c>
      <c r="BC91" t="str" cm="1">
        <f t="array" ref="BC91">IF(M91=_xlfn.XLOOKUP($B91,VmSpecs[[#All],[VM Name]],VmSpecs[[#All],[IP]],"Failed",0,1),"Pass","Fail")</f>
        <v>Fail</v>
      </c>
      <c r="BD91" t="str" cm="1">
        <f t="array" ref="BD91">IF(N91=_xlfn.XLOOKUP($B91,VmSpecs[[#All],[VM Name]],VmSpecs[[#All],[Network Security Group]],"Failed",0,1),"Pass","Fail")</f>
        <v>Fail</v>
      </c>
      <c r="BE91" t="str" cm="1">
        <f t="array" ref="BE91">IF(O91=_xlfn.XLOOKUP($B91,VmSpecs[[#All],[VM Name]],VmSpecs[[#All],[Route Table Name]],"Failed",0,1),"Pass","Fail")</f>
        <v>Fail</v>
      </c>
      <c r="BF91" t="str" cm="1">
        <f t="array" ref="BF91">IF(P91=_xlfn.XLOOKUP($B91,VmSpecs[[#All],[VM Name]],VmSpecs[[#All],[Operating System]],"Failed",0,1),"Pass","Fail")</f>
        <v>Fail</v>
      </c>
      <c r="BG91" t="str" cm="1">
        <f t="array" ref="BG91">IF(R91=_xlfn.XLOOKUP($B91,VmSpecs[[#All],[VM Name]],VmSpecs[[#All],[NIC name]],"Failed",0,1),"Pass","Fail")</f>
        <v>Fail</v>
      </c>
      <c r="BH91" t="str" cm="1">
        <f t="array" ref="BH91">IF(U91=_xlfn.XLOOKUP($B91,VmSpecs[[#All],[VM Name]],VmSpecs[[#All],[OS Disk Name]],"Failed",0,1),"Pass","Fail")</f>
        <v>Fail</v>
      </c>
      <c r="BI91" t="str" cm="1">
        <f t="array" ref="BI91">IF(W91=_xlfn.XLOOKUP($B91,VmSpecs[[#All],[VM Name]],VmSpecs[[#All],[OS Disk Size]],"Failed",0,1),"Pass","Fail")</f>
        <v>Fail</v>
      </c>
      <c r="BJ91" t="str" cm="1">
        <f t="array" ref="BJ91">IF(LEFT(X91,4)=LEFT(_xlfn.XLOOKUP($B91,VmSpecs[[#All],[VM Name]],VmSpecs[[#All],[OS Disk Type (Standard SSD etc)]],"Failed",0,1),4),"Pass","Fail")</f>
        <v>Fail</v>
      </c>
      <c r="BK91" t="str" cm="1">
        <f t="array" ref="BK91">IF(Z91=_xlfn.XLOOKUP($B91,VmSpecs[[#All],[VM Name]],VmSpecs[[#All],[Data Disk1 Name]],"Failed",0,1),"Pass","Fail")</f>
        <v>Fail</v>
      </c>
      <c r="BL91" t="str" cm="1">
        <f t="array" ref="BL91">IF(AA91=_xlfn.XLOOKUP($B91,VmSpecs[[#All],[VM Name]],VmSpecs[[#All],[Data Disk1 Size]],"Failed",0,1),"Pass","Fail")</f>
        <v>Fail</v>
      </c>
      <c r="BM91" t="str" cm="1">
        <f t="array" ref="BM91">IF(LEFT(AC91,4)=LEFT(_xlfn.XLOOKUP($B91,VmSpecs[[#All],[VM Name]],VmSpecs[[#All],[Data Disk1 Type]],"Failed",0,1),4),"Pass","Fail")</f>
        <v>Fail</v>
      </c>
      <c r="BO91" t="e">
        <f>VLOOKUP('VM Specs'!K91,'As Built'!B:B,1,FALSE)</f>
        <v>#N/A</v>
      </c>
      <c r="BP91" t="str">
        <f>IF(ISNA(Table613[[#This Row],[VM Build Sheet Check]]),'VM Specs'!K91,"")</f>
        <v>vmpfbpf2hmr11</v>
      </c>
    </row>
    <row r="92" spans="1:68" ht="33" customHeight="1" x14ac:dyDescent="0.35">
      <c r="A92" t="str">
        <f>IF(COUNTIF(AsBuilt[[#This Row],[VM Check]:[Data Disk 1 Type Check]],"Fail")&gt;0,"Fail","Pass")</f>
        <v>Fail</v>
      </c>
      <c r="B92" t="s">
        <v>1382</v>
      </c>
      <c r="C92" t="s">
        <v>754</v>
      </c>
      <c r="D92" t="s">
        <v>755</v>
      </c>
      <c r="E92" t="s">
        <v>756</v>
      </c>
      <c r="F92" t="s">
        <v>757</v>
      </c>
      <c r="G92" t="s">
        <v>758</v>
      </c>
      <c r="H92" t="s">
        <v>1305</v>
      </c>
      <c r="J92" t="s">
        <v>760</v>
      </c>
      <c r="K92" t="s">
        <v>761</v>
      </c>
      <c r="L92" t="s">
        <v>754</v>
      </c>
      <c r="M92" t="s">
        <v>1383</v>
      </c>
      <c r="N92" t="s">
        <v>763</v>
      </c>
      <c r="O92" t="s">
        <v>764</v>
      </c>
      <c r="P92" t="s">
        <v>63</v>
      </c>
      <c r="R92" t="s">
        <v>1384</v>
      </c>
      <c r="S92" t="s">
        <v>754</v>
      </c>
      <c r="U92" t="s">
        <v>1385</v>
      </c>
      <c r="V92" t="s">
        <v>767</v>
      </c>
      <c r="W92">
        <v>64</v>
      </c>
      <c r="X92" t="s">
        <v>768</v>
      </c>
      <c r="Y92">
        <v>2</v>
      </c>
      <c r="Z92" t="s">
        <v>1386</v>
      </c>
      <c r="AA92">
        <v>8</v>
      </c>
      <c r="AB92" t="s">
        <v>770</v>
      </c>
      <c r="AC92" t="s">
        <v>768</v>
      </c>
      <c r="AD92" t="s">
        <v>1387</v>
      </c>
      <c r="AE92">
        <v>32</v>
      </c>
      <c r="AF92" t="s">
        <v>770</v>
      </c>
      <c r="AG92" t="s">
        <v>768</v>
      </c>
      <c r="AT92" t="s">
        <v>772</v>
      </c>
      <c r="AU92" t="s">
        <v>1388</v>
      </c>
      <c r="AV92" t="str" cm="1">
        <f t="array" ref="AV92">IF(B92=_xlfn.XLOOKUP(B92,VmSpecs[[#All],[VM Name]],VmSpecs[[#All],[VM Name]],"Failed",0,1),"Pass","Fail")</f>
        <v>Fail</v>
      </c>
      <c r="AW92" t="str" cm="1">
        <f t="array" ref="AW92">IF(D92=_xlfn.XLOOKUP($B92,VmSpecs[[#All],[VM Name]],VmSpecs[[#All],[Virtual Machine Resource Groups]],"Failed",0,1),"Pass","Fail")</f>
        <v>Fail</v>
      </c>
      <c r="AX92" t="str" cm="1">
        <f t="array" ref="AX92">IF(_xlfn.IFS(E92="australiacentral","Australia Central 1",E92="australiaeast","Australia East",E92="australiasoutheast","Australia SouthEast")=_xlfn.XLOOKUP($B92,VmSpecs[[#All],[VM Name]],VmSpecs[[#All],[Region]],"Failed",0,1),"Pass","Fail")</f>
        <v>Fail</v>
      </c>
      <c r="AY92" t="str" cm="1">
        <f t="array" ref="AY92">IF(F92=_xlfn.XLOOKUP($B92,VmSpecs[[#All],[VM Name]],VmSpecs[[#All],[Instance size]],"Failed",0,1),"Pass","Fail")</f>
        <v>Fail</v>
      </c>
      <c r="AZ92" t="str" cm="1">
        <f t="array" ref="AZ92">IF(LOWER(H92)=_xlfn.XLOOKUP($B92,VmSpecs[[#All],[VM Name]],VmSpecs[[#All],[Availability Set Name]],"Failed",0,1),"Pass","Fail")</f>
        <v>Fail</v>
      </c>
      <c r="BA92" t="str" cm="1">
        <f t="array" ref="BA92">IF(J92=_xlfn.XLOOKUP($B92,VmSpecs[[#All],[VM Name]],VmSpecs[[#All],[Virtual Network]],"Failed",0,1),"Pass","Fail")</f>
        <v>Fail</v>
      </c>
      <c r="BB92" t="str" cm="1">
        <f t="array" ref="BB92">IF(K92=_xlfn.XLOOKUP($B92,VmSpecs[[#All],[VM Name]],VmSpecs[[#All],[Subnet]],"Failed",0,1),"Pass","Fail")</f>
        <v>Fail</v>
      </c>
      <c r="BC92" t="str" cm="1">
        <f t="array" ref="BC92">IF(M92=_xlfn.XLOOKUP($B92,VmSpecs[[#All],[VM Name]],VmSpecs[[#All],[IP]],"Failed",0,1),"Pass","Fail")</f>
        <v>Fail</v>
      </c>
      <c r="BD92" t="str" cm="1">
        <f t="array" ref="BD92">IF(N92=_xlfn.XLOOKUP($B92,VmSpecs[[#All],[VM Name]],VmSpecs[[#All],[Network Security Group]],"Failed",0,1),"Pass","Fail")</f>
        <v>Fail</v>
      </c>
      <c r="BE92" t="str" cm="1">
        <f t="array" ref="BE92">IF(O92=_xlfn.XLOOKUP($B92,VmSpecs[[#All],[VM Name]],VmSpecs[[#All],[Route Table Name]],"Failed",0,1),"Pass","Fail")</f>
        <v>Fail</v>
      </c>
      <c r="BF92" t="str" cm="1">
        <f t="array" ref="BF92">IF(P92=_xlfn.XLOOKUP($B92,VmSpecs[[#All],[VM Name]],VmSpecs[[#All],[Operating System]],"Failed",0,1),"Pass","Fail")</f>
        <v>Fail</v>
      </c>
      <c r="BG92" t="str" cm="1">
        <f t="array" ref="BG92">IF(R92=_xlfn.XLOOKUP($B92,VmSpecs[[#All],[VM Name]],VmSpecs[[#All],[NIC name]],"Failed",0,1),"Pass","Fail")</f>
        <v>Fail</v>
      </c>
      <c r="BH92" t="str" cm="1">
        <f t="array" ref="BH92">IF(U92=_xlfn.XLOOKUP($B92,VmSpecs[[#All],[VM Name]],VmSpecs[[#All],[OS Disk Name]],"Failed",0,1),"Pass","Fail")</f>
        <v>Fail</v>
      </c>
      <c r="BI92" t="str" cm="1">
        <f t="array" ref="BI92">IF(W92=_xlfn.XLOOKUP($B92,VmSpecs[[#All],[VM Name]],VmSpecs[[#All],[OS Disk Size]],"Failed",0,1),"Pass","Fail")</f>
        <v>Fail</v>
      </c>
      <c r="BJ92" t="str" cm="1">
        <f t="array" ref="BJ92">IF(LEFT(X92,4)=LEFT(_xlfn.XLOOKUP($B92,VmSpecs[[#All],[VM Name]],VmSpecs[[#All],[OS Disk Type (Standard SSD etc)]],"Failed",0,1),4),"Pass","Fail")</f>
        <v>Fail</v>
      </c>
      <c r="BK92" t="str" cm="1">
        <f t="array" ref="BK92">IF(Z92=_xlfn.XLOOKUP($B92,VmSpecs[[#All],[VM Name]],VmSpecs[[#All],[Data Disk1 Name]],"Failed",0,1),"Pass","Fail")</f>
        <v>Fail</v>
      </c>
      <c r="BL92" t="str" cm="1">
        <f t="array" ref="BL92">IF(AA92=_xlfn.XLOOKUP($B92,VmSpecs[[#All],[VM Name]],VmSpecs[[#All],[Data Disk1 Size]],"Failed",0,1),"Pass","Fail")</f>
        <v>Fail</v>
      </c>
      <c r="BM92" t="str" cm="1">
        <f t="array" ref="BM92">IF(LEFT(AC92,4)=LEFT(_xlfn.XLOOKUP($B92,VmSpecs[[#All],[VM Name]],VmSpecs[[#All],[Data Disk1 Type]],"Failed",0,1),4),"Pass","Fail")</f>
        <v>Fail</v>
      </c>
      <c r="BO92" t="e">
        <f>VLOOKUP('VM Specs'!K92,'As Built'!B:B,1,FALSE)</f>
        <v>#N/A</v>
      </c>
      <c r="BP92" t="str">
        <f>IF(ISNA(Table613[[#This Row],[VM Build Sheet Check]]),'VM Specs'!K92,"")</f>
        <v>vmpfbpf2hmr12</v>
      </c>
    </row>
    <row r="93" spans="1:68" ht="33" customHeight="1" x14ac:dyDescent="0.35">
      <c r="A93" t="str">
        <f>IF(COUNTIF(AsBuilt[[#This Row],[VM Check]:[Data Disk 1 Type Check]],"Fail")&gt;0,"Fail","Pass")</f>
        <v>Fail</v>
      </c>
      <c r="B93" t="s">
        <v>1389</v>
      </c>
      <c r="C93" t="s">
        <v>754</v>
      </c>
      <c r="D93" t="s">
        <v>755</v>
      </c>
      <c r="E93" t="s">
        <v>756</v>
      </c>
      <c r="F93" t="s">
        <v>757</v>
      </c>
      <c r="G93" t="s">
        <v>758</v>
      </c>
      <c r="H93" t="s">
        <v>1390</v>
      </c>
      <c r="J93" t="s">
        <v>760</v>
      </c>
      <c r="K93" t="s">
        <v>761</v>
      </c>
      <c r="L93" t="s">
        <v>754</v>
      </c>
      <c r="M93" t="s">
        <v>1391</v>
      </c>
      <c r="N93" t="s">
        <v>763</v>
      </c>
      <c r="O93" t="s">
        <v>764</v>
      </c>
      <c r="P93" t="s">
        <v>63</v>
      </c>
      <c r="R93" t="s">
        <v>1392</v>
      </c>
      <c r="S93" t="s">
        <v>754</v>
      </c>
      <c r="U93" t="s">
        <v>1393</v>
      </c>
      <c r="V93" t="s">
        <v>767</v>
      </c>
      <c r="W93">
        <v>64</v>
      </c>
      <c r="X93" t="s">
        <v>768</v>
      </c>
      <c r="Y93">
        <v>2</v>
      </c>
      <c r="Z93" t="s">
        <v>1394</v>
      </c>
      <c r="AA93">
        <v>8</v>
      </c>
      <c r="AB93" t="s">
        <v>770</v>
      </c>
      <c r="AC93" t="s">
        <v>768</v>
      </c>
      <c r="AD93" t="s">
        <v>1395</v>
      </c>
      <c r="AE93">
        <v>32</v>
      </c>
      <c r="AF93" t="s">
        <v>770</v>
      </c>
      <c r="AG93" t="s">
        <v>768</v>
      </c>
      <c r="AT93" t="s">
        <v>772</v>
      </c>
      <c r="AU93" t="s">
        <v>1396</v>
      </c>
      <c r="AV93" t="str" cm="1">
        <f t="array" ref="AV93">IF(B93=_xlfn.XLOOKUP(B93,VmSpecs[[#All],[VM Name]],VmSpecs[[#All],[VM Name]],"Failed",0,1),"Pass","Fail")</f>
        <v>Fail</v>
      </c>
      <c r="AW93" t="str" cm="1">
        <f t="array" ref="AW93">IF(D93=_xlfn.XLOOKUP($B93,VmSpecs[[#All],[VM Name]],VmSpecs[[#All],[Virtual Machine Resource Groups]],"Failed",0,1),"Pass","Fail")</f>
        <v>Fail</v>
      </c>
      <c r="AX93" t="str" cm="1">
        <f t="array" ref="AX93">IF(_xlfn.IFS(E93="australiacentral","Australia Central 1",E93="australiaeast","Australia East",E93="australiasoutheast","Australia SouthEast")=_xlfn.XLOOKUP($B93,VmSpecs[[#All],[VM Name]],VmSpecs[[#All],[Region]],"Failed",0,1),"Pass","Fail")</f>
        <v>Fail</v>
      </c>
      <c r="AY93" t="str" cm="1">
        <f t="array" ref="AY93">IF(F93=_xlfn.XLOOKUP($B93,VmSpecs[[#All],[VM Name]],VmSpecs[[#All],[Instance size]],"Failed",0,1),"Pass","Fail")</f>
        <v>Fail</v>
      </c>
      <c r="AZ93" t="str" cm="1">
        <f t="array" ref="AZ93">IF(LOWER(H93)=_xlfn.XLOOKUP($B93,VmSpecs[[#All],[VM Name]],VmSpecs[[#All],[Availability Set Name]],"Failed",0,1),"Pass","Fail")</f>
        <v>Fail</v>
      </c>
      <c r="BA93" t="str" cm="1">
        <f t="array" ref="BA93">IF(J93=_xlfn.XLOOKUP($B93,VmSpecs[[#All],[VM Name]],VmSpecs[[#All],[Virtual Network]],"Failed",0,1),"Pass","Fail")</f>
        <v>Fail</v>
      </c>
      <c r="BB93" t="str" cm="1">
        <f t="array" ref="BB93">IF(K93=_xlfn.XLOOKUP($B93,VmSpecs[[#All],[VM Name]],VmSpecs[[#All],[Subnet]],"Failed",0,1),"Pass","Fail")</f>
        <v>Fail</v>
      </c>
      <c r="BC93" t="str" cm="1">
        <f t="array" ref="BC93">IF(M93=_xlfn.XLOOKUP($B93,VmSpecs[[#All],[VM Name]],VmSpecs[[#All],[IP]],"Failed",0,1),"Pass","Fail")</f>
        <v>Fail</v>
      </c>
      <c r="BD93" t="str" cm="1">
        <f t="array" ref="BD93">IF(N93=_xlfn.XLOOKUP($B93,VmSpecs[[#All],[VM Name]],VmSpecs[[#All],[Network Security Group]],"Failed",0,1),"Pass","Fail")</f>
        <v>Fail</v>
      </c>
      <c r="BE93" t="str" cm="1">
        <f t="array" ref="BE93">IF(O93=_xlfn.XLOOKUP($B93,VmSpecs[[#All],[VM Name]],VmSpecs[[#All],[Route Table Name]],"Failed",0,1),"Pass","Fail")</f>
        <v>Fail</v>
      </c>
      <c r="BF93" t="str" cm="1">
        <f t="array" ref="BF93">IF(P93=_xlfn.XLOOKUP($B93,VmSpecs[[#All],[VM Name]],VmSpecs[[#All],[Operating System]],"Failed",0,1),"Pass","Fail")</f>
        <v>Fail</v>
      </c>
      <c r="BG93" t="str" cm="1">
        <f t="array" ref="BG93">IF(R93=_xlfn.XLOOKUP($B93,VmSpecs[[#All],[VM Name]],VmSpecs[[#All],[NIC name]],"Failed",0,1),"Pass","Fail")</f>
        <v>Fail</v>
      </c>
      <c r="BH93" t="str" cm="1">
        <f t="array" ref="BH93">IF(U93=_xlfn.XLOOKUP($B93,VmSpecs[[#All],[VM Name]],VmSpecs[[#All],[OS Disk Name]],"Failed",0,1),"Pass","Fail")</f>
        <v>Fail</v>
      </c>
      <c r="BI93" t="str" cm="1">
        <f t="array" ref="BI93">IF(W93=_xlfn.XLOOKUP($B93,VmSpecs[[#All],[VM Name]],VmSpecs[[#All],[OS Disk Size]],"Failed",0,1),"Pass","Fail")</f>
        <v>Fail</v>
      </c>
      <c r="BJ93" t="str" cm="1">
        <f t="array" ref="BJ93">IF(LEFT(X93,4)=LEFT(_xlfn.XLOOKUP($B93,VmSpecs[[#All],[VM Name]],VmSpecs[[#All],[OS Disk Type (Standard SSD etc)]],"Failed",0,1),4),"Pass","Fail")</f>
        <v>Fail</v>
      </c>
      <c r="BK93" t="str" cm="1">
        <f t="array" ref="BK93">IF(Z93=_xlfn.XLOOKUP($B93,VmSpecs[[#All],[VM Name]],VmSpecs[[#All],[Data Disk1 Name]],"Failed",0,1),"Pass","Fail")</f>
        <v>Fail</v>
      </c>
      <c r="BL93" t="str" cm="1">
        <f t="array" ref="BL93">IF(AA93=_xlfn.XLOOKUP($B93,VmSpecs[[#All],[VM Name]],VmSpecs[[#All],[Data Disk1 Size]],"Failed",0,1),"Pass","Fail")</f>
        <v>Fail</v>
      </c>
      <c r="BM93" t="str" cm="1">
        <f t="array" ref="BM93">IF(LEFT(AC93,4)=LEFT(_xlfn.XLOOKUP($B93,VmSpecs[[#All],[VM Name]],VmSpecs[[#All],[Data Disk1 Type]],"Failed",0,1),4),"Pass","Fail")</f>
        <v>Fail</v>
      </c>
      <c r="BO93" t="e">
        <f>VLOOKUP('VM Specs'!K93,'As Built'!B:B,1,FALSE)</f>
        <v>#N/A</v>
      </c>
      <c r="BP93" t="str">
        <f>IF(ISNA(Table613[[#This Row],[VM Build Sheet Check]]),'VM Specs'!K93,"")</f>
        <v>vmpfbpf2nes02</v>
      </c>
    </row>
    <row r="94" spans="1:68" ht="33" customHeight="1" x14ac:dyDescent="0.35">
      <c r="A94" t="str">
        <f>IF(COUNTIF(AsBuilt[[#This Row],[VM Check]:[Data Disk 1 Type Check]],"Fail")&gt;0,"Fail","Pass")</f>
        <v>Fail</v>
      </c>
      <c r="B94" t="s">
        <v>1397</v>
      </c>
      <c r="C94" t="s">
        <v>754</v>
      </c>
      <c r="D94" t="s">
        <v>755</v>
      </c>
      <c r="E94" t="s">
        <v>756</v>
      </c>
      <c r="F94" t="s">
        <v>801</v>
      </c>
      <c r="G94" t="s">
        <v>758</v>
      </c>
      <c r="H94" t="s">
        <v>1398</v>
      </c>
      <c r="J94" t="s">
        <v>760</v>
      </c>
      <c r="K94" t="s">
        <v>761</v>
      </c>
      <c r="L94" t="s">
        <v>754</v>
      </c>
      <c r="M94" t="s">
        <v>1399</v>
      </c>
      <c r="N94" t="s">
        <v>763</v>
      </c>
      <c r="O94" t="s">
        <v>764</v>
      </c>
      <c r="P94" t="s">
        <v>63</v>
      </c>
      <c r="R94" t="s">
        <v>1400</v>
      </c>
      <c r="S94" t="s">
        <v>754</v>
      </c>
      <c r="U94" t="s">
        <v>1401</v>
      </c>
      <c r="V94" t="s">
        <v>767</v>
      </c>
      <c r="W94">
        <v>64</v>
      </c>
      <c r="X94" t="s">
        <v>768</v>
      </c>
      <c r="Y94">
        <v>2</v>
      </c>
      <c r="Z94" t="s">
        <v>1402</v>
      </c>
      <c r="AA94">
        <v>8</v>
      </c>
      <c r="AB94" t="s">
        <v>770</v>
      </c>
      <c r="AC94" t="s">
        <v>768</v>
      </c>
      <c r="AD94" t="s">
        <v>1403</v>
      </c>
      <c r="AE94">
        <v>32</v>
      </c>
      <c r="AF94" t="s">
        <v>770</v>
      </c>
      <c r="AG94" t="s">
        <v>768</v>
      </c>
      <c r="AT94" t="s">
        <v>772</v>
      </c>
      <c r="AU94" t="s">
        <v>1404</v>
      </c>
      <c r="AV94" t="str" cm="1">
        <f t="array" ref="AV94">IF(B94=_xlfn.XLOOKUP(B94,VmSpecs[[#All],[VM Name]],VmSpecs[[#All],[VM Name]],"Failed",0,1),"Pass","Fail")</f>
        <v>Fail</v>
      </c>
      <c r="AW94" t="str" cm="1">
        <f t="array" ref="AW94">IF(D94=_xlfn.XLOOKUP($B94,VmSpecs[[#All],[VM Name]],VmSpecs[[#All],[Virtual Machine Resource Groups]],"Failed",0,1),"Pass","Fail")</f>
        <v>Fail</v>
      </c>
      <c r="AX94" t="str" cm="1">
        <f t="array" ref="AX94">IF(_xlfn.IFS(E94="australiacentral","Australia Central 1",E94="australiaeast","Australia East",E94="australiasoutheast","Australia SouthEast")=_xlfn.XLOOKUP($B94,VmSpecs[[#All],[VM Name]],VmSpecs[[#All],[Region]],"Failed",0,1),"Pass","Fail")</f>
        <v>Fail</v>
      </c>
      <c r="AY94" t="str" cm="1">
        <f t="array" ref="AY94">IF(F94=_xlfn.XLOOKUP($B94,VmSpecs[[#All],[VM Name]],VmSpecs[[#All],[Instance size]],"Failed",0,1),"Pass","Fail")</f>
        <v>Fail</v>
      </c>
      <c r="AZ94" t="str" cm="1">
        <f t="array" ref="AZ94">IF(LOWER(H94)=_xlfn.XLOOKUP($B94,VmSpecs[[#All],[VM Name]],VmSpecs[[#All],[Availability Set Name]],"Failed",0,1),"Pass","Fail")</f>
        <v>Fail</v>
      </c>
      <c r="BA94" t="str" cm="1">
        <f t="array" ref="BA94">IF(J94=_xlfn.XLOOKUP($B94,VmSpecs[[#All],[VM Name]],VmSpecs[[#All],[Virtual Network]],"Failed",0,1),"Pass","Fail")</f>
        <v>Fail</v>
      </c>
      <c r="BB94" t="str" cm="1">
        <f t="array" ref="BB94">IF(K94=_xlfn.XLOOKUP($B94,VmSpecs[[#All],[VM Name]],VmSpecs[[#All],[Subnet]],"Failed",0,1),"Pass","Fail")</f>
        <v>Fail</v>
      </c>
      <c r="BC94" t="str" cm="1">
        <f t="array" ref="BC94">IF(M94=_xlfn.XLOOKUP($B94,VmSpecs[[#All],[VM Name]],VmSpecs[[#All],[IP]],"Failed",0,1),"Pass","Fail")</f>
        <v>Fail</v>
      </c>
      <c r="BD94" t="str" cm="1">
        <f t="array" ref="BD94">IF(N94=_xlfn.XLOOKUP($B94,VmSpecs[[#All],[VM Name]],VmSpecs[[#All],[Network Security Group]],"Failed",0,1),"Pass","Fail")</f>
        <v>Fail</v>
      </c>
      <c r="BE94" t="str" cm="1">
        <f t="array" ref="BE94">IF(O94=_xlfn.XLOOKUP($B94,VmSpecs[[#All],[VM Name]],VmSpecs[[#All],[Route Table Name]],"Failed",0,1),"Pass","Fail")</f>
        <v>Fail</v>
      </c>
      <c r="BF94" t="str" cm="1">
        <f t="array" ref="BF94">IF(P94=_xlfn.XLOOKUP($B94,VmSpecs[[#All],[VM Name]],VmSpecs[[#All],[Operating System]],"Failed",0,1),"Pass","Fail")</f>
        <v>Fail</v>
      </c>
      <c r="BG94" t="str" cm="1">
        <f t="array" ref="BG94">IF(R94=_xlfn.XLOOKUP($B94,VmSpecs[[#All],[VM Name]],VmSpecs[[#All],[NIC name]],"Failed",0,1),"Pass","Fail")</f>
        <v>Fail</v>
      </c>
      <c r="BH94" t="str" cm="1">
        <f t="array" ref="BH94">IF(U94=_xlfn.XLOOKUP($B94,VmSpecs[[#All],[VM Name]],VmSpecs[[#All],[OS Disk Name]],"Failed",0,1),"Pass","Fail")</f>
        <v>Fail</v>
      </c>
      <c r="BI94" t="str" cm="1">
        <f t="array" ref="BI94">IF(W94=_xlfn.XLOOKUP($B94,VmSpecs[[#All],[VM Name]],VmSpecs[[#All],[OS Disk Size]],"Failed",0,1),"Pass","Fail")</f>
        <v>Fail</v>
      </c>
      <c r="BJ94" t="str" cm="1">
        <f t="array" ref="BJ94">IF(LEFT(X94,4)=LEFT(_xlfn.XLOOKUP($B94,VmSpecs[[#All],[VM Name]],VmSpecs[[#All],[OS Disk Type (Standard SSD etc)]],"Failed",0,1),4),"Pass","Fail")</f>
        <v>Fail</v>
      </c>
      <c r="BK94" t="str" cm="1">
        <f t="array" ref="BK94">IF(Z94=_xlfn.XLOOKUP($B94,VmSpecs[[#All],[VM Name]],VmSpecs[[#All],[Data Disk1 Name]],"Failed",0,1),"Pass","Fail")</f>
        <v>Fail</v>
      </c>
      <c r="BL94" t="str" cm="1">
        <f t="array" ref="BL94">IF(AA94=_xlfn.XLOOKUP($B94,VmSpecs[[#All],[VM Name]],VmSpecs[[#All],[Data Disk1 Size]],"Failed",0,1),"Pass","Fail")</f>
        <v>Fail</v>
      </c>
      <c r="BM94" t="str" cm="1">
        <f t="array" ref="BM94">IF(LEFT(AC94,4)=LEFT(_xlfn.XLOOKUP($B94,VmSpecs[[#All],[VM Name]],VmSpecs[[#All],[Data Disk1 Type]],"Failed",0,1),4),"Pass","Fail")</f>
        <v>Fail</v>
      </c>
      <c r="BO94" t="e">
        <f>VLOOKUP('VM Specs'!K94,'As Built'!B:B,1,FALSE)</f>
        <v>#N/A</v>
      </c>
      <c r="BP94" t="str">
        <f>IF(ISNA(Table613[[#This Row],[VM Build Sheet Check]]),'VM Specs'!K94,"")</f>
        <v>vmpfbpf2oam01</v>
      </c>
    </row>
    <row r="95" spans="1:68" ht="33" customHeight="1" x14ac:dyDescent="0.35">
      <c r="A95" t="str">
        <f>IF(COUNTIF(AsBuilt[[#This Row],[VM Check]:[Data Disk 1 Type Check]],"Fail")&gt;0,"Fail","Pass")</f>
        <v>Fail</v>
      </c>
      <c r="B95" t="s">
        <v>1405</v>
      </c>
      <c r="C95" t="s">
        <v>754</v>
      </c>
      <c r="D95" t="s">
        <v>755</v>
      </c>
      <c r="E95" t="s">
        <v>756</v>
      </c>
      <c r="F95" t="s">
        <v>801</v>
      </c>
      <c r="G95" t="s">
        <v>758</v>
      </c>
      <c r="H95" t="s">
        <v>1398</v>
      </c>
      <c r="J95" t="s">
        <v>760</v>
      </c>
      <c r="K95" t="s">
        <v>761</v>
      </c>
      <c r="L95" t="s">
        <v>754</v>
      </c>
      <c r="M95" t="s">
        <v>1406</v>
      </c>
      <c r="N95" t="s">
        <v>763</v>
      </c>
      <c r="O95" t="s">
        <v>764</v>
      </c>
      <c r="P95" t="s">
        <v>63</v>
      </c>
      <c r="R95" t="s">
        <v>1407</v>
      </c>
      <c r="S95" t="s">
        <v>754</v>
      </c>
      <c r="U95" t="s">
        <v>1408</v>
      </c>
      <c r="V95" t="s">
        <v>767</v>
      </c>
      <c r="W95">
        <v>64</v>
      </c>
      <c r="X95" t="s">
        <v>768</v>
      </c>
      <c r="Y95">
        <v>2</v>
      </c>
      <c r="Z95" t="s">
        <v>1409</v>
      </c>
      <c r="AA95">
        <v>8</v>
      </c>
      <c r="AB95" t="s">
        <v>770</v>
      </c>
      <c r="AC95" t="s">
        <v>768</v>
      </c>
      <c r="AD95" t="s">
        <v>1410</v>
      </c>
      <c r="AE95">
        <v>32</v>
      </c>
      <c r="AF95" t="s">
        <v>770</v>
      </c>
      <c r="AG95" t="s">
        <v>768</v>
      </c>
      <c r="AT95" t="s">
        <v>772</v>
      </c>
      <c r="AU95" t="s">
        <v>1411</v>
      </c>
      <c r="AV95" t="str" cm="1">
        <f t="array" ref="AV95">IF(B95=_xlfn.XLOOKUP(B95,VmSpecs[[#All],[VM Name]],VmSpecs[[#All],[VM Name]],"Failed",0,1),"Pass","Fail")</f>
        <v>Fail</v>
      </c>
      <c r="AW95" t="str" cm="1">
        <f t="array" ref="AW95">IF(D95=_xlfn.XLOOKUP($B95,VmSpecs[[#All],[VM Name]],VmSpecs[[#All],[Virtual Machine Resource Groups]],"Failed",0,1),"Pass","Fail")</f>
        <v>Fail</v>
      </c>
      <c r="AX95" t="str" cm="1">
        <f t="array" ref="AX95">IF(_xlfn.IFS(E95="australiacentral","Australia Central 1",E95="australiaeast","Australia East",E95="australiasoutheast","Australia SouthEast")=_xlfn.XLOOKUP($B95,VmSpecs[[#All],[VM Name]],VmSpecs[[#All],[Region]],"Failed",0,1),"Pass","Fail")</f>
        <v>Fail</v>
      </c>
      <c r="AY95" t="str" cm="1">
        <f t="array" ref="AY95">IF(F95=_xlfn.XLOOKUP($B95,VmSpecs[[#All],[VM Name]],VmSpecs[[#All],[Instance size]],"Failed",0,1),"Pass","Fail")</f>
        <v>Fail</v>
      </c>
      <c r="AZ95" t="str" cm="1">
        <f t="array" ref="AZ95">IF(LOWER(H95)=_xlfn.XLOOKUP($B95,VmSpecs[[#All],[VM Name]],VmSpecs[[#All],[Availability Set Name]],"Failed",0,1),"Pass","Fail")</f>
        <v>Fail</v>
      </c>
      <c r="BA95" t="str" cm="1">
        <f t="array" ref="BA95">IF(J95=_xlfn.XLOOKUP($B95,VmSpecs[[#All],[VM Name]],VmSpecs[[#All],[Virtual Network]],"Failed",0,1),"Pass","Fail")</f>
        <v>Fail</v>
      </c>
      <c r="BB95" t="str" cm="1">
        <f t="array" ref="BB95">IF(K95=_xlfn.XLOOKUP($B95,VmSpecs[[#All],[VM Name]],VmSpecs[[#All],[Subnet]],"Failed",0,1),"Pass","Fail")</f>
        <v>Fail</v>
      </c>
      <c r="BC95" t="str" cm="1">
        <f t="array" ref="BC95">IF(M95=_xlfn.XLOOKUP($B95,VmSpecs[[#All],[VM Name]],VmSpecs[[#All],[IP]],"Failed",0,1),"Pass","Fail")</f>
        <v>Fail</v>
      </c>
      <c r="BD95" t="str" cm="1">
        <f t="array" ref="BD95">IF(N95=_xlfn.XLOOKUP($B95,VmSpecs[[#All],[VM Name]],VmSpecs[[#All],[Network Security Group]],"Failed",0,1),"Pass","Fail")</f>
        <v>Fail</v>
      </c>
      <c r="BE95" t="str" cm="1">
        <f t="array" ref="BE95">IF(O95=_xlfn.XLOOKUP($B95,VmSpecs[[#All],[VM Name]],VmSpecs[[#All],[Route Table Name]],"Failed",0,1),"Pass","Fail")</f>
        <v>Fail</v>
      </c>
      <c r="BF95" t="str" cm="1">
        <f t="array" ref="BF95">IF(P95=_xlfn.XLOOKUP($B95,VmSpecs[[#All],[VM Name]],VmSpecs[[#All],[Operating System]],"Failed",0,1),"Pass","Fail")</f>
        <v>Fail</v>
      </c>
      <c r="BG95" t="str" cm="1">
        <f t="array" ref="BG95">IF(R95=_xlfn.XLOOKUP($B95,VmSpecs[[#All],[VM Name]],VmSpecs[[#All],[NIC name]],"Failed",0,1),"Pass","Fail")</f>
        <v>Fail</v>
      </c>
      <c r="BH95" t="str" cm="1">
        <f t="array" ref="BH95">IF(U95=_xlfn.XLOOKUP($B95,VmSpecs[[#All],[VM Name]],VmSpecs[[#All],[OS Disk Name]],"Failed",0,1),"Pass","Fail")</f>
        <v>Fail</v>
      </c>
      <c r="BI95" t="str" cm="1">
        <f t="array" ref="BI95">IF(W95=_xlfn.XLOOKUP($B95,VmSpecs[[#All],[VM Name]],VmSpecs[[#All],[OS Disk Size]],"Failed",0,1),"Pass","Fail")</f>
        <v>Fail</v>
      </c>
      <c r="BJ95" t="str" cm="1">
        <f t="array" ref="BJ95">IF(LEFT(X95,4)=LEFT(_xlfn.XLOOKUP($B95,VmSpecs[[#All],[VM Name]],VmSpecs[[#All],[OS Disk Type (Standard SSD etc)]],"Failed",0,1),4),"Pass","Fail")</f>
        <v>Fail</v>
      </c>
      <c r="BK95" t="str" cm="1">
        <f t="array" ref="BK95">IF(Z95=_xlfn.XLOOKUP($B95,VmSpecs[[#All],[VM Name]],VmSpecs[[#All],[Data Disk1 Name]],"Failed",0,1),"Pass","Fail")</f>
        <v>Fail</v>
      </c>
      <c r="BL95" t="str" cm="1">
        <f t="array" ref="BL95">IF(AA95=_xlfn.XLOOKUP($B95,VmSpecs[[#All],[VM Name]],VmSpecs[[#All],[Data Disk1 Size]],"Failed",0,1),"Pass","Fail")</f>
        <v>Fail</v>
      </c>
      <c r="BM95" t="str" cm="1">
        <f t="array" ref="BM95">IF(LEFT(AC95,4)=LEFT(_xlfn.XLOOKUP($B95,VmSpecs[[#All],[VM Name]],VmSpecs[[#All],[Data Disk1 Type]],"Failed",0,1),4),"Pass","Fail")</f>
        <v>Fail</v>
      </c>
      <c r="BO95" t="e">
        <f>VLOOKUP('VM Specs'!K95,'As Built'!B:B,1,FALSE)</f>
        <v>#N/A</v>
      </c>
      <c r="BP95" t="str">
        <f>IF(ISNA(Table613[[#This Row],[VM Build Sheet Check]]),'VM Specs'!K95,"")</f>
        <v>vmpfbpf2oam02</v>
      </c>
    </row>
    <row r="96" spans="1:68" ht="33" customHeight="1" x14ac:dyDescent="0.35">
      <c r="A96" t="str">
        <f>IF(COUNTIF(AsBuilt[[#This Row],[VM Check]:[Data Disk 1 Type Check]],"Fail")&gt;0,"Fail","Pass")</f>
        <v>Fail</v>
      </c>
      <c r="B96" t="s">
        <v>1412</v>
      </c>
      <c r="C96" t="s">
        <v>754</v>
      </c>
      <c r="D96" t="s">
        <v>755</v>
      </c>
      <c r="E96" t="s">
        <v>756</v>
      </c>
      <c r="F96" t="s">
        <v>801</v>
      </c>
      <c r="G96" t="s">
        <v>758</v>
      </c>
      <c r="H96" t="s">
        <v>1398</v>
      </c>
      <c r="J96" t="s">
        <v>760</v>
      </c>
      <c r="K96" t="s">
        <v>761</v>
      </c>
      <c r="L96" t="s">
        <v>754</v>
      </c>
      <c r="M96" t="s">
        <v>1413</v>
      </c>
      <c r="N96" t="s">
        <v>763</v>
      </c>
      <c r="O96" t="s">
        <v>764</v>
      </c>
      <c r="P96" t="s">
        <v>63</v>
      </c>
      <c r="R96" t="s">
        <v>1414</v>
      </c>
      <c r="S96" t="s">
        <v>754</v>
      </c>
      <c r="U96" t="s">
        <v>1415</v>
      </c>
      <c r="V96" t="s">
        <v>767</v>
      </c>
      <c r="W96">
        <v>64</v>
      </c>
      <c r="X96" t="s">
        <v>768</v>
      </c>
      <c r="Y96">
        <v>2</v>
      </c>
      <c r="Z96" t="s">
        <v>1416</v>
      </c>
      <c r="AA96">
        <v>8</v>
      </c>
      <c r="AB96" t="s">
        <v>770</v>
      </c>
      <c r="AC96" t="s">
        <v>768</v>
      </c>
      <c r="AD96" t="s">
        <v>1417</v>
      </c>
      <c r="AE96">
        <v>32</v>
      </c>
      <c r="AF96" t="s">
        <v>770</v>
      </c>
      <c r="AG96" t="s">
        <v>768</v>
      </c>
      <c r="AT96" t="s">
        <v>772</v>
      </c>
      <c r="AU96" t="s">
        <v>1418</v>
      </c>
      <c r="AV96" t="str" cm="1">
        <f t="array" ref="AV96">IF(B96=_xlfn.XLOOKUP(B96,VmSpecs[[#All],[VM Name]],VmSpecs[[#All],[VM Name]],"Failed",0,1),"Pass","Fail")</f>
        <v>Fail</v>
      </c>
      <c r="AW96" t="str" cm="1">
        <f t="array" ref="AW96">IF(D96=_xlfn.XLOOKUP($B96,VmSpecs[[#All],[VM Name]],VmSpecs[[#All],[Virtual Machine Resource Groups]],"Failed",0,1),"Pass","Fail")</f>
        <v>Fail</v>
      </c>
      <c r="AX96" t="str" cm="1">
        <f t="array" ref="AX96">IF(_xlfn.IFS(E96="australiacentral","Australia Central 1",E96="australiaeast","Australia East",E96="australiasoutheast","Australia SouthEast")=_xlfn.XLOOKUP($B96,VmSpecs[[#All],[VM Name]],VmSpecs[[#All],[Region]],"Failed",0,1),"Pass","Fail")</f>
        <v>Fail</v>
      </c>
      <c r="AY96" t="str" cm="1">
        <f t="array" ref="AY96">IF(F96=_xlfn.XLOOKUP($B96,VmSpecs[[#All],[VM Name]],VmSpecs[[#All],[Instance size]],"Failed",0,1),"Pass","Fail")</f>
        <v>Fail</v>
      </c>
      <c r="AZ96" t="str" cm="1">
        <f t="array" ref="AZ96">IF(LOWER(H96)=_xlfn.XLOOKUP($B96,VmSpecs[[#All],[VM Name]],VmSpecs[[#All],[Availability Set Name]],"Failed",0,1),"Pass","Fail")</f>
        <v>Fail</v>
      </c>
      <c r="BA96" t="str" cm="1">
        <f t="array" ref="BA96">IF(J96=_xlfn.XLOOKUP($B96,VmSpecs[[#All],[VM Name]],VmSpecs[[#All],[Virtual Network]],"Failed",0,1),"Pass","Fail")</f>
        <v>Fail</v>
      </c>
      <c r="BB96" t="str" cm="1">
        <f t="array" ref="BB96">IF(K96=_xlfn.XLOOKUP($B96,VmSpecs[[#All],[VM Name]],VmSpecs[[#All],[Subnet]],"Failed",0,1),"Pass","Fail")</f>
        <v>Fail</v>
      </c>
      <c r="BC96" t="str" cm="1">
        <f t="array" ref="BC96">IF(M96=_xlfn.XLOOKUP($B96,VmSpecs[[#All],[VM Name]],VmSpecs[[#All],[IP]],"Failed",0,1),"Pass","Fail")</f>
        <v>Fail</v>
      </c>
      <c r="BD96" t="str" cm="1">
        <f t="array" ref="BD96">IF(N96=_xlfn.XLOOKUP($B96,VmSpecs[[#All],[VM Name]],VmSpecs[[#All],[Network Security Group]],"Failed",0,1),"Pass","Fail")</f>
        <v>Fail</v>
      </c>
      <c r="BE96" t="str" cm="1">
        <f t="array" ref="BE96">IF(O96=_xlfn.XLOOKUP($B96,VmSpecs[[#All],[VM Name]],VmSpecs[[#All],[Route Table Name]],"Failed",0,1),"Pass","Fail")</f>
        <v>Fail</v>
      </c>
      <c r="BF96" t="str" cm="1">
        <f t="array" ref="BF96">IF(P96=_xlfn.XLOOKUP($B96,VmSpecs[[#All],[VM Name]],VmSpecs[[#All],[Operating System]],"Failed",0,1),"Pass","Fail")</f>
        <v>Fail</v>
      </c>
      <c r="BG96" t="str" cm="1">
        <f t="array" ref="BG96">IF(R96=_xlfn.XLOOKUP($B96,VmSpecs[[#All],[VM Name]],VmSpecs[[#All],[NIC name]],"Failed",0,1),"Pass","Fail")</f>
        <v>Fail</v>
      </c>
      <c r="BH96" t="str" cm="1">
        <f t="array" ref="BH96">IF(U96=_xlfn.XLOOKUP($B96,VmSpecs[[#All],[VM Name]],VmSpecs[[#All],[OS Disk Name]],"Failed",0,1),"Pass","Fail")</f>
        <v>Fail</v>
      </c>
      <c r="BI96" t="str" cm="1">
        <f t="array" ref="BI96">IF(W96=_xlfn.XLOOKUP($B96,VmSpecs[[#All],[VM Name]],VmSpecs[[#All],[OS Disk Size]],"Failed",0,1),"Pass","Fail")</f>
        <v>Fail</v>
      </c>
      <c r="BJ96" t="str" cm="1">
        <f t="array" ref="BJ96">IF(LEFT(X96,4)=LEFT(_xlfn.XLOOKUP($B96,VmSpecs[[#All],[VM Name]],VmSpecs[[#All],[OS Disk Type (Standard SSD etc)]],"Failed",0,1),4),"Pass","Fail")</f>
        <v>Fail</v>
      </c>
      <c r="BK96" t="str" cm="1">
        <f t="array" ref="BK96">IF(Z96=_xlfn.XLOOKUP($B96,VmSpecs[[#All],[VM Name]],VmSpecs[[#All],[Data Disk1 Name]],"Failed",0,1),"Pass","Fail")</f>
        <v>Fail</v>
      </c>
      <c r="BL96" t="str" cm="1">
        <f t="array" ref="BL96">IF(AA96=_xlfn.XLOOKUP($B96,VmSpecs[[#All],[VM Name]],VmSpecs[[#All],[Data Disk1 Size]],"Failed",0,1),"Pass","Fail")</f>
        <v>Fail</v>
      </c>
      <c r="BM96" t="str" cm="1">
        <f t="array" ref="BM96">IF(LEFT(AC96,4)=LEFT(_xlfn.XLOOKUP($B96,VmSpecs[[#All],[VM Name]],VmSpecs[[#All],[Data Disk1 Type]],"Failed",0,1),4),"Pass","Fail")</f>
        <v>Fail</v>
      </c>
      <c r="BO96" t="e">
        <f>VLOOKUP('VM Specs'!K96,'As Built'!B:B,1,FALSE)</f>
        <v>#N/A</v>
      </c>
      <c r="BP96" t="str">
        <f>IF(ISNA(Table613[[#This Row],[VM Build Sheet Check]]),'VM Specs'!K96,"")</f>
        <v>vmpfbpf2oam03</v>
      </c>
    </row>
    <row r="97" spans="1:68" ht="33" customHeight="1" x14ac:dyDescent="0.35">
      <c r="A97" t="str">
        <f>IF(COUNTIF(AsBuilt[[#This Row],[VM Check]:[Data Disk 1 Type Check]],"Fail")&gt;0,"Fail","Pass")</f>
        <v>Fail</v>
      </c>
      <c r="B97" t="s">
        <v>1419</v>
      </c>
      <c r="C97" t="s">
        <v>754</v>
      </c>
      <c r="D97" t="s">
        <v>755</v>
      </c>
      <c r="E97" t="s">
        <v>756</v>
      </c>
      <c r="F97" t="s">
        <v>801</v>
      </c>
      <c r="G97" t="s">
        <v>758</v>
      </c>
      <c r="H97" t="s">
        <v>1398</v>
      </c>
      <c r="J97" t="s">
        <v>760</v>
      </c>
      <c r="K97" t="s">
        <v>761</v>
      </c>
      <c r="L97" t="s">
        <v>754</v>
      </c>
      <c r="M97" t="s">
        <v>1420</v>
      </c>
      <c r="N97" t="s">
        <v>763</v>
      </c>
      <c r="O97" t="s">
        <v>764</v>
      </c>
      <c r="P97" t="s">
        <v>63</v>
      </c>
      <c r="R97" t="s">
        <v>1421</v>
      </c>
      <c r="S97" t="s">
        <v>754</v>
      </c>
      <c r="U97" t="s">
        <v>1422</v>
      </c>
      <c r="V97" t="s">
        <v>767</v>
      </c>
      <c r="W97">
        <v>64</v>
      </c>
      <c r="X97" t="s">
        <v>768</v>
      </c>
      <c r="Y97">
        <v>2</v>
      </c>
      <c r="Z97" t="s">
        <v>1423</v>
      </c>
      <c r="AA97">
        <v>8</v>
      </c>
      <c r="AB97" t="s">
        <v>770</v>
      </c>
      <c r="AC97" t="s">
        <v>768</v>
      </c>
      <c r="AD97" t="s">
        <v>1424</v>
      </c>
      <c r="AE97">
        <v>32</v>
      </c>
      <c r="AF97" t="s">
        <v>770</v>
      </c>
      <c r="AG97" t="s">
        <v>768</v>
      </c>
      <c r="AT97" t="s">
        <v>772</v>
      </c>
      <c r="AU97" t="s">
        <v>1425</v>
      </c>
      <c r="AV97" t="str" cm="1">
        <f t="array" ref="AV97">IF(B97=_xlfn.XLOOKUP(B97,VmSpecs[[#All],[VM Name]],VmSpecs[[#All],[VM Name]],"Failed",0,1),"Pass","Fail")</f>
        <v>Fail</v>
      </c>
      <c r="AW97" t="str" cm="1">
        <f t="array" ref="AW97">IF(D97=_xlfn.XLOOKUP($B97,VmSpecs[[#All],[VM Name]],VmSpecs[[#All],[Virtual Machine Resource Groups]],"Failed",0,1),"Pass","Fail")</f>
        <v>Fail</v>
      </c>
      <c r="AX97" t="str" cm="1">
        <f t="array" ref="AX97">IF(_xlfn.IFS(E97="australiacentral","Australia Central 1",E97="australiaeast","Australia East",E97="australiasoutheast","Australia SouthEast")=_xlfn.XLOOKUP($B97,VmSpecs[[#All],[VM Name]],VmSpecs[[#All],[Region]],"Failed",0,1),"Pass","Fail")</f>
        <v>Fail</v>
      </c>
      <c r="AY97" t="str" cm="1">
        <f t="array" ref="AY97">IF(F97=_xlfn.XLOOKUP($B97,VmSpecs[[#All],[VM Name]],VmSpecs[[#All],[Instance size]],"Failed",0,1),"Pass","Fail")</f>
        <v>Fail</v>
      </c>
      <c r="AZ97" t="str" cm="1">
        <f t="array" ref="AZ97">IF(LOWER(H97)=_xlfn.XLOOKUP($B97,VmSpecs[[#All],[VM Name]],VmSpecs[[#All],[Availability Set Name]],"Failed",0,1),"Pass","Fail")</f>
        <v>Fail</v>
      </c>
      <c r="BA97" t="str" cm="1">
        <f t="array" ref="BA97">IF(J97=_xlfn.XLOOKUP($B97,VmSpecs[[#All],[VM Name]],VmSpecs[[#All],[Virtual Network]],"Failed",0,1),"Pass","Fail")</f>
        <v>Fail</v>
      </c>
      <c r="BB97" t="str" cm="1">
        <f t="array" ref="BB97">IF(K97=_xlfn.XLOOKUP($B97,VmSpecs[[#All],[VM Name]],VmSpecs[[#All],[Subnet]],"Failed",0,1),"Pass","Fail")</f>
        <v>Fail</v>
      </c>
      <c r="BC97" t="str" cm="1">
        <f t="array" ref="BC97">IF(M97=_xlfn.XLOOKUP($B97,VmSpecs[[#All],[VM Name]],VmSpecs[[#All],[IP]],"Failed",0,1),"Pass","Fail")</f>
        <v>Fail</v>
      </c>
      <c r="BD97" t="str" cm="1">
        <f t="array" ref="BD97">IF(N97=_xlfn.XLOOKUP($B97,VmSpecs[[#All],[VM Name]],VmSpecs[[#All],[Network Security Group]],"Failed",0,1),"Pass","Fail")</f>
        <v>Fail</v>
      </c>
      <c r="BE97" t="str" cm="1">
        <f t="array" ref="BE97">IF(O97=_xlfn.XLOOKUP($B97,VmSpecs[[#All],[VM Name]],VmSpecs[[#All],[Route Table Name]],"Failed",0,1),"Pass","Fail")</f>
        <v>Fail</v>
      </c>
      <c r="BF97" t="str" cm="1">
        <f t="array" ref="BF97">IF(P97=_xlfn.XLOOKUP($B97,VmSpecs[[#All],[VM Name]],VmSpecs[[#All],[Operating System]],"Failed",0,1),"Pass","Fail")</f>
        <v>Fail</v>
      </c>
      <c r="BG97" t="str" cm="1">
        <f t="array" ref="BG97">IF(R97=_xlfn.XLOOKUP($B97,VmSpecs[[#All],[VM Name]],VmSpecs[[#All],[NIC name]],"Failed",0,1),"Pass","Fail")</f>
        <v>Fail</v>
      </c>
      <c r="BH97" t="str" cm="1">
        <f t="array" ref="BH97">IF(U97=_xlfn.XLOOKUP($B97,VmSpecs[[#All],[VM Name]],VmSpecs[[#All],[OS Disk Name]],"Failed",0,1),"Pass","Fail")</f>
        <v>Fail</v>
      </c>
      <c r="BI97" t="str" cm="1">
        <f t="array" ref="BI97">IF(W97=_xlfn.XLOOKUP($B97,VmSpecs[[#All],[VM Name]],VmSpecs[[#All],[OS Disk Size]],"Failed",0,1),"Pass","Fail")</f>
        <v>Fail</v>
      </c>
      <c r="BJ97" t="str" cm="1">
        <f t="array" ref="BJ97">IF(LEFT(X97,4)=LEFT(_xlfn.XLOOKUP($B97,VmSpecs[[#All],[VM Name]],VmSpecs[[#All],[OS Disk Type (Standard SSD etc)]],"Failed",0,1),4),"Pass","Fail")</f>
        <v>Fail</v>
      </c>
      <c r="BK97" t="str" cm="1">
        <f t="array" ref="BK97">IF(Z97=_xlfn.XLOOKUP($B97,VmSpecs[[#All],[VM Name]],VmSpecs[[#All],[Data Disk1 Name]],"Failed",0,1),"Pass","Fail")</f>
        <v>Fail</v>
      </c>
      <c r="BL97" t="str" cm="1">
        <f t="array" ref="BL97">IF(AA97=_xlfn.XLOOKUP($B97,VmSpecs[[#All],[VM Name]],VmSpecs[[#All],[Data Disk1 Size]],"Failed",0,1),"Pass","Fail")</f>
        <v>Fail</v>
      </c>
      <c r="BM97" t="str" cm="1">
        <f t="array" ref="BM97">IF(LEFT(AC97,4)=LEFT(_xlfn.XLOOKUP($B97,VmSpecs[[#All],[VM Name]],VmSpecs[[#All],[Data Disk1 Type]],"Failed",0,1),4),"Pass","Fail")</f>
        <v>Fail</v>
      </c>
      <c r="BO97" t="e">
        <f>VLOOKUP('VM Specs'!K97,'As Built'!B:B,1,FALSE)</f>
        <v>#N/A</v>
      </c>
      <c r="BP97" t="str">
        <f>IF(ISNA(Table613[[#This Row],[VM Build Sheet Check]]),'VM Specs'!K97,"")</f>
        <v>vmpfbpf2oam04</v>
      </c>
    </row>
    <row r="98" spans="1:68" ht="33" customHeight="1" x14ac:dyDescent="0.35">
      <c r="A98" t="str">
        <f>IF(COUNTIF(AsBuilt[[#This Row],[VM Check]:[Data Disk 1 Type Check]],"Fail")&gt;0,"Fail","Pass")</f>
        <v>Fail</v>
      </c>
      <c r="B98" t="s">
        <v>1426</v>
      </c>
      <c r="C98" t="s">
        <v>754</v>
      </c>
      <c r="D98" t="s">
        <v>755</v>
      </c>
      <c r="E98" t="s">
        <v>756</v>
      </c>
      <c r="F98" t="s">
        <v>801</v>
      </c>
      <c r="G98" t="s">
        <v>758</v>
      </c>
      <c r="H98" t="s">
        <v>1398</v>
      </c>
      <c r="J98" t="s">
        <v>760</v>
      </c>
      <c r="K98" t="s">
        <v>761</v>
      </c>
      <c r="L98" t="s">
        <v>754</v>
      </c>
      <c r="M98" t="s">
        <v>1427</v>
      </c>
      <c r="N98" t="s">
        <v>763</v>
      </c>
      <c r="O98" t="s">
        <v>764</v>
      </c>
      <c r="P98" t="s">
        <v>63</v>
      </c>
      <c r="R98" t="s">
        <v>1428</v>
      </c>
      <c r="S98" t="s">
        <v>754</v>
      </c>
      <c r="U98" t="s">
        <v>1429</v>
      </c>
      <c r="V98" t="s">
        <v>767</v>
      </c>
      <c r="W98">
        <v>64</v>
      </c>
      <c r="X98" t="s">
        <v>768</v>
      </c>
      <c r="Y98">
        <v>2</v>
      </c>
      <c r="Z98" t="s">
        <v>1430</v>
      </c>
      <c r="AA98">
        <v>8</v>
      </c>
      <c r="AB98" t="s">
        <v>770</v>
      </c>
      <c r="AC98" t="s">
        <v>768</v>
      </c>
      <c r="AD98" t="s">
        <v>1431</v>
      </c>
      <c r="AE98">
        <v>32</v>
      </c>
      <c r="AF98" t="s">
        <v>770</v>
      </c>
      <c r="AG98" t="s">
        <v>768</v>
      </c>
      <c r="AT98" t="s">
        <v>772</v>
      </c>
      <c r="AU98" t="s">
        <v>1432</v>
      </c>
      <c r="AV98" t="str" cm="1">
        <f t="array" ref="AV98">IF(B98=_xlfn.XLOOKUP(B98,VmSpecs[[#All],[VM Name]],VmSpecs[[#All],[VM Name]],"Failed",0,1),"Pass","Fail")</f>
        <v>Fail</v>
      </c>
      <c r="AW98" t="str" cm="1">
        <f t="array" ref="AW98">IF(D98=_xlfn.XLOOKUP($B98,VmSpecs[[#All],[VM Name]],VmSpecs[[#All],[Virtual Machine Resource Groups]],"Failed",0,1),"Pass","Fail")</f>
        <v>Fail</v>
      </c>
      <c r="AX98" t="str" cm="1">
        <f t="array" ref="AX98">IF(_xlfn.IFS(E98="australiacentral","Australia Central 1",E98="australiaeast","Australia East",E98="australiasoutheast","Australia SouthEast")=_xlfn.XLOOKUP($B98,VmSpecs[[#All],[VM Name]],VmSpecs[[#All],[Region]],"Failed",0,1),"Pass","Fail")</f>
        <v>Fail</v>
      </c>
      <c r="AY98" t="str" cm="1">
        <f t="array" ref="AY98">IF(F98=_xlfn.XLOOKUP($B98,VmSpecs[[#All],[VM Name]],VmSpecs[[#All],[Instance size]],"Failed",0,1),"Pass","Fail")</f>
        <v>Fail</v>
      </c>
      <c r="AZ98" t="str" cm="1">
        <f t="array" ref="AZ98">IF(LOWER(H98)=_xlfn.XLOOKUP($B98,VmSpecs[[#All],[VM Name]],VmSpecs[[#All],[Availability Set Name]],"Failed",0,1),"Pass","Fail")</f>
        <v>Fail</v>
      </c>
      <c r="BA98" t="str" cm="1">
        <f t="array" ref="BA98">IF(J98=_xlfn.XLOOKUP($B98,VmSpecs[[#All],[VM Name]],VmSpecs[[#All],[Virtual Network]],"Failed",0,1),"Pass","Fail")</f>
        <v>Fail</v>
      </c>
      <c r="BB98" t="str" cm="1">
        <f t="array" ref="BB98">IF(K98=_xlfn.XLOOKUP($B98,VmSpecs[[#All],[VM Name]],VmSpecs[[#All],[Subnet]],"Failed",0,1),"Pass","Fail")</f>
        <v>Fail</v>
      </c>
      <c r="BC98" t="str" cm="1">
        <f t="array" ref="BC98">IF(M98=_xlfn.XLOOKUP($B98,VmSpecs[[#All],[VM Name]],VmSpecs[[#All],[IP]],"Failed",0,1),"Pass","Fail")</f>
        <v>Fail</v>
      </c>
      <c r="BD98" t="str" cm="1">
        <f t="array" ref="BD98">IF(N98=_xlfn.XLOOKUP($B98,VmSpecs[[#All],[VM Name]],VmSpecs[[#All],[Network Security Group]],"Failed",0,1),"Pass","Fail")</f>
        <v>Fail</v>
      </c>
      <c r="BE98" t="str" cm="1">
        <f t="array" ref="BE98">IF(O98=_xlfn.XLOOKUP($B98,VmSpecs[[#All],[VM Name]],VmSpecs[[#All],[Route Table Name]],"Failed",0,1),"Pass","Fail")</f>
        <v>Fail</v>
      </c>
      <c r="BF98" t="str" cm="1">
        <f t="array" ref="BF98">IF(P98=_xlfn.XLOOKUP($B98,VmSpecs[[#All],[VM Name]],VmSpecs[[#All],[Operating System]],"Failed",0,1),"Pass","Fail")</f>
        <v>Fail</v>
      </c>
      <c r="BG98" t="str" cm="1">
        <f t="array" ref="BG98">IF(R98=_xlfn.XLOOKUP($B98,VmSpecs[[#All],[VM Name]],VmSpecs[[#All],[NIC name]],"Failed",0,1),"Pass","Fail")</f>
        <v>Fail</v>
      </c>
      <c r="BH98" t="str" cm="1">
        <f t="array" ref="BH98">IF(U98=_xlfn.XLOOKUP($B98,VmSpecs[[#All],[VM Name]],VmSpecs[[#All],[OS Disk Name]],"Failed",0,1),"Pass","Fail")</f>
        <v>Fail</v>
      </c>
      <c r="BI98" t="str" cm="1">
        <f t="array" ref="BI98">IF(W98=_xlfn.XLOOKUP($B98,VmSpecs[[#All],[VM Name]],VmSpecs[[#All],[OS Disk Size]],"Failed",0,1),"Pass","Fail")</f>
        <v>Fail</v>
      </c>
      <c r="BJ98" t="str" cm="1">
        <f t="array" ref="BJ98">IF(LEFT(X98,4)=LEFT(_xlfn.XLOOKUP($B98,VmSpecs[[#All],[VM Name]],VmSpecs[[#All],[OS Disk Type (Standard SSD etc)]],"Failed",0,1),4),"Pass","Fail")</f>
        <v>Fail</v>
      </c>
      <c r="BK98" t="str" cm="1">
        <f t="array" ref="BK98">IF(Z98=_xlfn.XLOOKUP($B98,VmSpecs[[#All],[VM Name]],VmSpecs[[#All],[Data Disk1 Name]],"Failed",0,1),"Pass","Fail")</f>
        <v>Fail</v>
      </c>
      <c r="BL98" t="str" cm="1">
        <f t="array" ref="BL98">IF(AA98=_xlfn.XLOOKUP($B98,VmSpecs[[#All],[VM Name]],VmSpecs[[#All],[Data Disk1 Size]],"Failed",0,1),"Pass","Fail")</f>
        <v>Fail</v>
      </c>
      <c r="BM98" t="str" cm="1">
        <f t="array" ref="BM98">IF(LEFT(AC98,4)=LEFT(_xlfn.XLOOKUP($B98,VmSpecs[[#All],[VM Name]],VmSpecs[[#All],[Data Disk1 Type]],"Failed",0,1),4),"Pass","Fail")</f>
        <v>Fail</v>
      </c>
      <c r="BO98" t="e">
        <f>VLOOKUP('VM Specs'!K98,'As Built'!B:B,1,FALSE)</f>
        <v>#N/A</v>
      </c>
      <c r="BP98" t="str">
        <f>IF(ISNA(Table613[[#This Row],[VM Build Sheet Check]]),'VM Specs'!K98,"")</f>
        <v>vmpfbpf2oam05</v>
      </c>
    </row>
    <row r="99" spans="1:68" ht="33" customHeight="1" x14ac:dyDescent="0.35">
      <c r="A99" t="str">
        <f>IF(COUNTIF(AsBuilt[[#This Row],[VM Check]:[Data Disk 1 Type Check]],"Fail")&gt;0,"Fail","Pass")</f>
        <v>Fail</v>
      </c>
      <c r="B99" t="s">
        <v>1433</v>
      </c>
      <c r="C99" t="s">
        <v>754</v>
      </c>
      <c r="D99" t="s">
        <v>755</v>
      </c>
      <c r="E99" t="s">
        <v>756</v>
      </c>
      <c r="F99" t="s">
        <v>801</v>
      </c>
      <c r="G99" t="s">
        <v>758</v>
      </c>
      <c r="H99" t="s">
        <v>1398</v>
      </c>
      <c r="J99" t="s">
        <v>760</v>
      </c>
      <c r="K99" t="s">
        <v>761</v>
      </c>
      <c r="L99" t="s">
        <v>754</v>
      </c>
      <c r="M99" t="s">
        <v>1434</v>
      </c>
      <c r="N99" t="s">
        <v>763</v>
      </c>
      <c r="O99" t="s">
        <v>764</v>
      </c>
      <c r="P99" t="s">
        <v>63</v>
      </c>
      <c r="R99" t="s">
        <v>1435</v>
      </c>
      <c r="S99" t="s">
        <v>754</v>
      </c>
      <c r="U99" t="s">
        <v>1436</v>
      </c>
      <c r="V99" t="s">
        <v>767</v>
      </c>
      <c r="W99">
        <v>64</v>
      </c>
      <c r="X99" t="s">
        <v>768</v>
      </c>
      <c r="Y99">
        <v>2</v>
      </c>
      <c r="Z99" t="s">
        <v>1437</v>
      </c>
      <c r="AA99">
        <v>8</v>
      </c>
      <c r="AB99" t="s">
        <v>770</v>
      </c>
      <c r="AC99" t="s">
        <v>768</v>
      </c>
      <c r="AD99" t="s">
        <v>1438</v>
      </c>
      <c r="AE99">
        <v>32</v>
      </c>
      <c r="AF99" t="s">
        <v>770</v>
      </c>
      <c r="AG99" t="s">
        <v>768</v>
      </c>
      <c r="AT99" t="s">
        <v>772</v>
      </c>
      <c r="AU99" t="s">
        <v>1439</v>
      </c>
      <c r="AV99" t="str" cm="1">
        <f t="array" ref="AV99">IF(B99=_xlfn.XLOOKUP(B99,VmSpecs[[#All],[VM Name]],VmSpecs[[#All],[VM Name]],"Failed",0,1),"Pass","Fail")</f>
        <v>Fail</v>
      </c>
      <c r="AW99" t="str" cm="1">
        <f t="array" ref="AW99">IF(D99=_xlfn.XLOOKUP($B99,VmSpecs[[#All],[VM Name]],VmSpecs[[#All],[Virtual Machine Resource Groups]],"Failed",0,1),"Pass","Fail")</f>
        <v>Fail</v>
      </c>
      <c r="AX99" t="str" cm="1">
        <f t="array" ref="AX99">IF(_xlfn.IFS(E99="australiacentral","Australia Central 1",E99="australiaeast","Australia East",E99="australiasoutheast","Australia SouthEast")=_xlfn.XLOOKUP($B99,VmSpecs[[#All],[VM Name]],VmSpecs[[#All],[Region]],"Failed",0,1),"Pass","Fail")</f>
        <v>Fail</v>
      </c>
      <c r="AY99" t="str" cm="1">
        <f t="array" ref="AY99">IF(F99=_xlfn.XLOOKUP($B99,VmSpecs[[#All],[VM Name]],VmSpecs[[#All],[Instance size]],"Failed",0,1),"Pass","Fail")</f>
        <v>Fail</v>
      </c>
      <c r="AZ99" t="str" cm="1">
        <f t="array" ref="AZ99">IF(LOWER(H99)=_xlfn.XLOOKUP($B99,VmSpecs[[#All],[VM Name]],VmSpecs[[#All],[Availability Set Name]],"Failed",0,1),"Pass","Fail")</f>
        <v>Fail</v>
      </c>
      <c r="BA99" t="str" cm="1">
        <f t="array" ref="BA99">IF(J99=_xlfn.XLOOKUP($B99,VmSpecs[[#All],[VM Name]],VmSpecs[[#All],[Virtual Network]],"Failed",0,1),"Pass","Fail")</f>
        <v>Fail</v>
      </c>
      <c r="BB99" t="str" cm="1">
        <f t="array" ref="BB99">IF(K99=_xlfn.XLOOKUP($B99,VmSpecs[[#All],[VM Name]],VmSpecs[[#All],[Subnet]],"Failed",0,1),"Pass","Fail")</f>
        <v>Fail</v>
      </c>
      <c r="BC99" t="str" cm="1">
        <f t="array" ref="BC99">IF(M99=_xlfn.XLOOKUP($B99,VmSpecs[[#All],[VM Name]],VmSpecs[[#All],[IP]],"Failed",0,1),"Pass","Fail")</f>
        <v>Fail</v>
      </c>
      <c r="BD99" t="str" cm="1">
        <f t="array" ref="BD99">IF(N99=_xlfn.XLOOKUP($B99,VmSpecs[[#All],[VM Name]],VmSpecs[[#All],[Network Security Group]],"Failed",0,1),"Pass","Fail")</f>
        <v>Fail</v>
      </c>
      <c r="BE99" t="str" cm="1">
        <f t="array" ref="BE99">IF(O99=_xlfn.XLOOKUP($B99,VmSpecs[[#All],[VM Name]],VmSpecs[[#All],[Route Table Name]],"Failed",0,1),"Pass","Fail")</f>
        <v>Fail</v>
      </c>
      <c r="BF99" t="str" cm="1">
        <f t="array" ref="BF99">IF(P99=_xlfn.XLOOKUP($B99,VmSpecs[[#All],[VM Name]],VmSpecs[[#All],[Operating System]],"Failed",0,1),"Pass","Fail")</f>
        <v>Fail</v>
      </c>
      <c r="BG99" t="str" cm="1">
        <f t="array" ref="BG99">IF(R99=_xlfn.XLOOKUP($B99,VmSpecs[[#All],[VM Name]],VmSpecs[[#All],[NIC name]],"Failed",0,1),"Pass","Fail")</f>
        <v>Fail</v>
      </c>
      <c r="BH99" t="str" cm="1">
        <f t="array" ref="BH99">IF(U99=_xlfn.XLOOKUP($B99,VmSpecs[[#All],[VM Name]],VmSpecs[[#All],[OS Disk Name]],"Failed",0,1),"Pass","Fail")</f>
        <v>Fail</v>
      </c>
      <c r="BI99" t="str" cm="1">
        <f t="array" ref="BI99">IF(W99=_xlfn.XLOOKUP($B99,VmSpecs[[#All],[VM Name]],VmSpecs[[#All],[OS Disk Size]],"Failed",0,1),"Pass","Fail")</f>
        <v>Fail</v>
      </c>
      <c r="BJ99" t="str" cm="1">
        <f t="array" ref="BJ99">IF(LEFT(X99,4)=LEFT(_xlfn.XLOOKUP($B99,VmSpecs[[#All],[VM Name]],VmSpecs[[#All],[OS Disk Type (Standard SSD etc)]],"Failed",0,1),4),"Pass","Fail")</f>
        <v>Fail</v>
      </c>
      <c r="BK99" t="str" cm="1">
        <f t="array" ref="BK99">IF(Z99=_xlfn.XLOOKUP($B99,VmSpecs[[#All],[VM Name]],VmSpecs[[#All],[Data Disk1 Name]],"Failed",0,1),"Pass","Fail")</f>
        <v>Fail</v>
      </c>
      <c r="BL99" t="str" cm="1">
        <f t="array" ref="BL99">IF(AA99=_xlfn.XLOOKUP($B99,VmSpecs[[#All],[VM Name]],VmSpecs[[#All],[Data Disk1 Size]],"Failed",0,1),"Pass","Fail")</f>
        <v>Fail</v>
      </c>
      <c r="BM99" t="str" cm="1">
        <f t="array" ref="BM99">IF(LEFT(AC99,4)=LEFT(_xlfn.XLOOKUP($B99,VmSpecs[[#All],[VM Name]],VmSpecs[[#All],[Data Disk1 Type]],"Failed",0,1),4),"Pass","Fail")</f>
        <v>Fail</v>
      </c>
      <c r="BO99" t="e">
        <f>VLOOKUP('VM Specs'!K99,'As Built'!B:B,1,FALSE)</f>
        <v>#N/A</v>
      </c>
      <c r="BP99" t="str">
        <f>IF(ISNA(Table613[[#This Row],[VM Build Sheet Check]]),'VM Specs'!K99,"")</f>
        <v>vmpfbpf2oam06</v>
      </c>
    </row>
    <row r="100" spans="1:68" ht="33" customHeight="1" x14ac:dyDescent="0.35">
      <c r="A100" t="str">
        <f>IF(COUNTIF(AsBuilt[[#This Row],[VM Check]:[Data Disk 1 Type Check]],"Fail")&gt;0,"Fail","Pass")</f>
        <v>Fail</v>
      </c>
      <c r="B100" t="s">
        <v>1440</v>
      </c>
      <c r="C100" t="s">
        <v>754</v>
      </c>
      <c r="D100" t="s">
        <v>755</v>
      </c>
      <c r="E100" t="s">
        <v>756</v>
      </c>
      <c r="F100" t="s">
        <v>801</v>
      </c>
      <c r="G100" t="s">
        <v>758</v>
      </c>
      <c r="H100" t="s">
        <v>1398</v>
      </c>
      <c r="J100" t="s">
        <v>760</v>
      </c>
      <c r="K100" t="s">
        <v>761</v>
      </c>
      <c r="L100" t="s">
        <v>754</v>
      </c>
      <c r="M100" t="s">
        <v>1441</v>
      </c>
      <c r="N100" t="s">
        <v>763</v>
      </c>
      <c r="O100" t="s">
        <v>764</v>
      </c>
      <c r="P100" t="s">
        <v>63</v>
      </c>
      <c r="R100" t="s">
        <v>1442</v>
      </c>
      <c r="S100" t="s">
        <v>754</v>
      </c>
      <c r="U100" t="s">
        <v>1443</v>
      </c>
      <c r="V100" t="s">
        <v>767</v>
      </c>
      <c r="W100">
        <v>64</v>
      </c>
      <c r="X100" t="s">
        <v>768</v>
      </c>
      <c r="Y100">
        <v>2</v>
      </c>
      <c r="Z100" t="s">
        <v>1444</v>
      </c>
      <c r="AA100">
        <v>8</v>
      </c>
      <c r="AB100" t="s">
        <v>770</v>
      </c>
      <c r="AC100" t="s">
        <v>768</v>
      </c>
      <c r="AD100" t="s">
        <v>1445</v>
      </c>
      <c r="AE100">
        <v>32</v>
      </c>
      <c r="AF100" t="s">
        <v>770</v>
      </c>
      <c r="AG100" t="s">
        <v>768</v>
      </c>
      <c r="AT100" t="s">
        <v>772</v>
      </c>
      <c r="AU100" t="s">
        <v>1446</v>
      </c>
      <c r="AV100" t="str" cm="1">
        <f t="array" ref="AV100">IF(B100=_xlfn.XLOOKUP(B100,VmSpecs[[#All],[VM Name]],VmSpecs[[#All],[VM Name]],"Failed",0,1),"Pass","Fail")</f>
        <v>Fail</v>
      </c>
      <c r="AW100" t="str" cm="1">
        <f t="array" ref="AW100">IF(D100=_xlfn.XLOOKUP($B100,VmSpecs[[#All],[VM Name]],VmSpecs[[#All],[Virtual Machine Resource Groups]],"Failed",0,1),"Pass","Fail")</f>
        <v>Fail</v>
      </c>
      <c r="AX100" t="str" cm="1">
        <f t="array" ref="AX100">IF(_xlfn.IFS(E100="australiacentral","Australia Central 1",E100="australiaeast","Australia East",E100="australiasoutheast","Australia SouthEast")=_xlfn.XLOOKUP($B100,VmSpecs[[#All],[VM Name]],VmSpecs[[#All],[Region]],"Failed",0,1),"Pass","Fail")</f>
        <v>Fail</v>
      </c>
      <c r="AY100" t="str" cm="1">
        <f t="array" ref="AY100">IF(F100=_xlfn.XLOOKUP($B100,VmSpecs[[#All],[VM Name]],VmSpecs[[#All],[Instance size]],"Failed",0,1),"Pass","Fail")</f>
        <v>Fail</v>
      </c>
      <c r="AZ100" t="str" cm="1">
        <f t="array" ref="AZ100">IF(LOWER(H100)=_xlfn.XLOOKUP($B100,VmSpecs[[#All],[VM Name]],VmSpecs[[#All],[Availability Set Name]],"Failed",0,1),"Pass","Fail")</f>
        <v>Fail</v>
      </c>
      <c r="BA100" t="str" cm="1">
        <f t="array" ref="BA100">IF(J100=_xlfn.XLOOKUP($B100,VmSpecs[[#All],[VM Name]],VmSpecs[[#All],[Virtual Network]],"Failed",0,1),"Pass","Fail")</f>
        <v>Fail</v>
      </c>
      <c r="BB100" t="str" cm="1">
        <f t="array" ref="BB100">IF(K100=_xlfn.XLOOKUP($B100,VmSpecs[[#All],[VM Name]],VmSpecs[[#All],[Subnet]],"Failed",0,1),"Pass","Fail")</f>
        <v>Fail</v>
      </c>
      <c r="BC100" t="str" cm="1">
        <f t="array" ref="BC100">IF(M100=_xlfn.XLOOKUP($B100,VmSpecs[[#All],[VM Name]],VmSpecs[[#All],[IP]],"Failed",0,1),"Pass","Fail")</f>
        <v>Fail</v>
      </c>
      <c r="BD100" t="str" cm="1">
        <f t="array" ref="BD100">IF(N100=_xlfn.XLOOKUP($B100,VmSpecs[[#All],[VM Name]],VmSpecs[[#All],[Network Security Group]],"Failed",0,1),"Pass","Fail")</f>
        <v>Fail</v>
      </c>
      <c r="BE100" t="str" cm="1">
        <f t="array" ref="BE100">IF(O100=_xlfn.XLOOKUP($B100,VmSpecs[[#All],[VM Name]],VmSpecs[[#All],[Route Table Name]],"Failed",0,1),"Pass","Fail")</f>
        <v>Fail</v>
      </c>
      <c r="BF100" t="str" cm="1">
        <f t="array" ref="BF100">IF(P100=_xlfn.XLOOKUP($B100,VmSpecs[[#All],[VM Name]],VmSpecs[[#All],[Operating System]],"Failed",0,1),"Pass","Fail")</f>
        <v>Fail</v>
      </c>
      <c r="BG100" t="str" cm="1">
        <f t="array" ref="BG100">IF(R100=_xlfn.XLOOKUP($B100,VmSpecs[[#All],[VM Name]],VmSpecs[[#All],[NIC name]],"Failed",0,1),"Pass","Fail")</f>
        <v>Fail</v>
      </c>
      <c r="BH100" t="str" cm="1">
        <f t="array" ref="BH100">IF(U100=_xlfn.XLOOKUP($B100,VmSpecs[[#All],[VM Name]],VmSpecs[[#All],[OS Disk Name]],"Failed",0,1),"Pass","Fail")</f>
        <v>Fail</v>
      </c>
      <c r="BI100" t="str" cm="1">
        <f t="array" ref="BI100">IF(W100=_xlfn.XLOOKUP($B100,VmSpecs[[#All],[VM Name]],VmSpecs[[#All],[OS Disk Size]],"Failed",0,1),"Pass","Fail")</f>
        <v>Fail</v>
      </c>
      <c r="BJ100" t="str" cm="1">
        <f t="array" ref="BJ100">IF(LEFT(X100,4)=LEFT(_xlfn.XLOOKUP($B100,VmSpecs[[#All],[VM Name]],VmSpecs[[#All],[OS Disk Type (Standard SSD etc)]],"Failed",0,1),4),"Pass","Fail")</f>
        <v>Fail</v>
      </c>
      <c r="BK100" t="str" cm="1">
        <f t="array" ref="BK100">IF(Z100=_xlfn.XLOOKUP($B100,VmSpecs[[#All],[VM Name]],VmSpecs[[#All],[Data Disk1 Name]],"Failed",0,1),"Pass","Fail")</f>
        <v>Fail</v>
      </c>
      <c r="BL100" t="str" cm="1">
        <f t="array" ref="BL100">IF(AA100=_xlfn.XLOOKUP($B100,VmSpecs[[#All],[VM Name]],VmSpecs[[#All],[Data Disk1 Size]],"Failed",0,1),"Pass","Fail")</f>
        <v>Fail</v>
      </c>
      <c r="BM100" t="str" cm="1">
        <f t="array" ref="BM100">IF(LEFT(AC100,4)=LEFT(_xlfn.XLOOKUP($B100,VmSpecs[[#All],[VM Name]],VmSpecs[[#All],[Data Disk1 Type]],"Failed",0,1),4),"Pass","Fail")</f>
        <v>Fail</v>
      </c>
      <c r="BO100" t="e">
        <f>VLOOKUP('VM Specs'!K100,'As Built'!B:B,1,FALSE)</f>
        <v>#N/A</v>
      </c>
      <c r="BP100" t="str">
        <f>IF(ISNA(Table613[[#This Row],[VM Build Sheet Check]]),'VM Specs'!K100,"")</f>
        <v>vmpfbpf2oam07</v>
      </c>
    </row>
    <row r="101" spans="1:68" ht="33" customHeight="1" x14ac:dyDescent="0.35">
      <c r="A101" t="str">
        <f>IF(COUNTIF(AsBuilt[[#This Row],[VM Check]:[Data Disk 1 Type Check]],"Fail")&gt;0,"Fail","Pass")</f>
        <v>Fail</v>
      </c>
      <c r="B101" t="s">
        <v>1447</v>
      </c>
      <c r="C101" t="s">
        <v>754</v>
      </c>
      <c r="D101" t="s">
        <v>755</v>
      </c>
      <c r="E101" t="s">
        <v>756</v>
      </c>
      <c r="F101" t="s">
        <v>801</v>
      </c>
      <c r="G101" t="s">
        <v>758</v>
      </c>
      <c r="H101" t="s">
        <v>1398</v>
      </c>
      <c r="J101" t="s">
        <v>760</v>
      </c>
      <c r="K101" t="s">
        <v>761</v>
      </c>
      <c r="L101" t="s">
        <v>754</v>
      </c>
      <c r="M101" t="s">
        <v>1448</v>
      </c>
      <c r="N101" t="s">
        <v>763</v>
      </c>
      <c r="O101" t="s">
        <v>764</v>
      </c>
      <c r="P101" t="s">
        <v>63</v>
      </c>
      <c r="R101" t="s">
        <v>1449</v>
      </c>
      <c r="S101" t="s">
        <v>754</v>
      </c>
      <c r="U101" t="s">
        <v>1450</v>
      </c>
      <c r="V101" t="s">
        <v>767</v>
      </c>
      <c r="W101">
        <v>64</v>
      </c>
      <c r="X101" t="s">
        <v>768</v>
      </c>
      <c r="Y101">
        <v>2</v>
      </c>
      <c r="Z101" t="s">
        <v>1451</v>
      </c>
      <c r="AA101">
        <v>8</v>
      </c>
      <c r="AB101" t="s">
        <v>770</v>
      </c>
      <c r="AC101" t="s">
        <v>768</v>
      </c>
      <c r="AD101" t="s">
        <v>1452</v>
      </c>
      <c r="AE101">
        <v>32</v>
      </c>
      <c r="AF101" t="s">
        <v>770</v>
      </c>
      <c r="AG101" t="s">
        <v>768</v>
      </c>
      <c r="AT101" t="s">
        <v>772</v>
      </c>
      <c r="AU101" t="s">
        <v>1453</v>
      </c>
      <c r="AV101" t="str" cm="1">
        <f t="array" ref="AV101">IF(B101=_xlfn.XLOOKUP(B101,VmSpecs[[#All],[VM Name]],VmSpecs[[#All],[VM Name]],"Failed",0,1),"Pass","Fail")</f>
        <v>Fail</v>
      </c>
      <c r="AW101" t="str" cm="1">
        <f t="array" ref="AW101">IF(D101=_xlfn.XLOOKUP($B101,VmSpecs[[#All],[VM Name]],VmSpecs[[#All],[Virtual Machine Resource Groups]],"Failed",0,1),"Pass","Fail")</f>
        <v>Fail</v>
      </c>
      <c r="AX101" t="str" cm="1">
        <f t="array" ref="AX101">IF(_xlfn.IFS(E101="australiacentral","Australia Central 1",E101="australiaeast","Australia East",E101="australiasoutheast","Australia SouthEast")=_xlfn.XLOOKUP($B101,VmSpecs[[#All],[VM Name]],VmSpecs[[#All],[Region]],"Failed",0,1),"Pass","Fail")</f>
        <v>Fail</v>
      </c>
      <c r="AY101" t="str" cm="1">
        <f t="array" ref="AY101">IF(F101=_xlfn.XLOOKUP($B101,VmSpecs[[#All],[VM Name]],VmSpecs[[#All],[Instance size]],"Failed",0,1),"Pass","Fail")</f>
        <v>Fail</v>
      </c>
      <c r="AZ101" t="str" cm="1">
        <f t="array" ref="AZ101">IF(LOWER(H101)=_xlfn.XLOOKUP($B101,VmSpecs[[#All],[VM Name]],VmSpecs[[#All],[Availability Set Name]],"Failed",0,1),"Pass","Fail")</f>
        <v>Fail</v>
      </c>
      <c r="BA101" t="str" cm="1">
        <f t="array" ref="BA101">IF(J101=_xlfn.XLOOKUP($B101,VmSpecs[[#All],[VM Name]],VmSpecs[[#All],[Virtual Network]],"Failed",0,1),"Pass","Fail")</f>
        <v>Fail</v>
      </c>
      <c r="BB101" t="str" cm="1">
        <f t="array" ref="BB101">IF(K101=_xlfn.XLOOKUP($B101,VmSpecs[[#All],[VM Name]],VmSpecs[[#All],[Subnet]],"Failed",0,1),"Pass","Fail")</f>
        <v>Fail</v>
      </c>
      <c r="BC101" t="str" cm="1">
        <f t="array" ref="BC101">IF(M101=_xlfn.XLOOKUP($B101,VmSpecs[[#All],[VM Name]],VmSpecs[[#All],[IP]],"Failed",0,1),"Pass","Fail")</f>
        <v>Fail</v>
      </c>
      <c r="BD101" t="str" cm="1">
        <f t="array" ref="BD101">IF(N101=_xlfn.XLOOKUP($B101,VmSpecs[[#All],[VM Name]],VmSpecs[[#All],[Network Security Group]],"Failed",0,1),"Pass","Fail")</f>
        <v>Fail</v>
      </c>
      <c r="BE101" t="str" cm="1">
        <f t="array" ref="BE101">IF(O101=_xlfn.XLOOKUP($B101,VmSpecs[[#All],[VM Name]],VmSpecs[[#All],[Route Table Name]],"Failed",0,1),"Pass","Fail")</f>
        <v>Fail</v>
      </c>
      <c r="BF101" t="str" cm="1">
        <f t="array" ref="BF101">IF(P101=_xlfn.XLOOKUP($B101,VmSpecs[[#All],[VM Name]],VmSpecs[[#All],[Operating System]],"Failed",0,1),"Pass","Fail")</f>
        <v>Fail</v>
      </c>
      <c r="BG101" t="str" cm="1">
        <f t="array" ref="BG101">IF(R101=_xlfn.XLOOKUP($B101,VmSpecs[[#All],[VM Name]],VmSpecs[[#All],[NIC name]],"Failed",0,1),"Pass","Fail")</f>
        <v>Fail</v>
      </c>
      <c r="BH101" t="str" cm="1">
        <f t="array" ref="BH101">IF(U101=_xlfn.XLOOKUP($B101,VmSpecs[[#All],[VM Name]],VmSpecs[[#All],[OS Disk Name]],"Failed",0,1),"Pass","Fail")</f>
        <v>Fail</v>
      </c>
      <c r="BI101" t="str" cm="1">
        <f t="array" ref="BI101">IF(W101=_xlfn.XLOOKUP($B101,VmSpecs[[#All],[VM Name]],VmSpecs[[#All],[OS Disk Size]],"Failed",0,1),"Pass","Fail")</f>
        <v>Fail</v>
      </c>
      <c r="BJ101" t="str" cm="1">
        <f t="array" ref="BJ101">IF(LEFT(X101,4)=LEFT(_xlfn.XLOOKUP($B101,VmSpecs[[#All],[VM Name]],VmSpecs[[#All],[OS Disk Type (Standard SSD etc)]],"Failed",0,1),4),"Pass","Fail")</f>
        <v>Fail</v>
      </c>
      <c r="BK101" t="str" cm="1">
        <f t="array" ref="BK101">IF(Z101=_xlfn.XLOOKUP($B101,VmSpecs[[#All],[VM Name]],VmSpecs[[#All],[Data Disk1 Name]],"Failed",0,1),"Pass","Fail")</f>
        <v>Fail</v>
      </c>
      <c r="BL101" t="str" cm="1">
        <f t="array" ref="BL101">IF(AA101=_xlfn.XLOOKUP($B101,VmSpecs[[#All],[VM Name]],VmSpecs[[#All],[Data Disk1 Size]],"Failed",0,1),"Pass","Fail")</f>
        <v>Fail</v>
      </c>
      <c r="BM101" t="str" cm="1">
        <f t="array" ref="BM101">IF(LEFT(AC101,4)=LEFT(_xlfn.XLOOKUP($B101,VmSpecs[[#All],[VM Name]],VmSpecs[[#All],[Data Disk1 Type]],"Failed",0,1),4),"Pass","Fail")</f>
        <v>Fail</v>
      </c>
      <c r="BO101" t="e">
        <f>VLOOKUP('VM Specs'!K101,'As Built'!B:B,1,FALSE)</f>
        <v>#N/A</v>
      </c>
      <c r="BP101" t="str">
        <f>IF(ISNA(Table613[[#This Row],[VM Build Sheet Check]]),'VM Specs'!K101,"")</f>
        <v>vmpfbpf2oam08</v>
      </c>
    </row>
    <row r="102" spans="1:68" ht="33" customHeight="1" x14ac:dyDescent="0.35">
      <c r="A102" t="str">
        <f>IF(COUNTIF(AsBuilt[[#This Row],[VM Check]:[Data Disk 1 Type Check]],"Fail")&gt;0,"Fail","Pass")</f>
        <v>Fail</v>
      </c>
      <c r="B102" t="s">
        <v>1454</v>
      </c>
      <c r="C102" t="s">
        <v>754</v>
      </c>
      <c r="D102" t="s">
        <v>755</v>
      </c>
      <c r="E102" t="s">
        <v>756</v>
      </c>
      <c r="F102" t="s">
        <v>757</v>
      </c>
      <c r="G102" t="s">
        <v>758</v>
      </c>
      <c r="H102" t="s">
        <v>1455</v>
      </c>
      <c r="J102" t="s">
        <v>760</v>
      </c>
      <c r="K102" t="s">
        <v>761</v>
      </c>
      <c r="L102" t="s">
        <v>754</v>
      </c>
      <c r="M102" t="s">
        <v>1456</v>
      </c>
      <c r="N102" t="s">
        <v>763</v>
      </c>
      <c r="O102" t="s">
        <v>764</v>
      </c>
      <c r="P102" t="s">
        <v>63</v>
      </c>
      <c r="R102" t="s">
        <v>1457</v>
      </c>
      <c r="S102" t="s">
        <v>754</v>
      </c>
      <c r="U102" t="s">
        <v>1458</v>
      </c>
      <c r="V102" t="s">
        <v>767</v>
      </c>
      <c r="W102">
        <v>64</v>
      </c>
      <c r="X102" t="s">
        <v>768</v>
      </c>
      <c r="Y102">
        <v>2</v>
      </c>
      <c r="Z102" t="s">
        <v>1459</v>
      </c>
      <c r="AA102">
        <v>8</v>
      </c>
      <c r="AB102" t="s">
        <v>770</v>
      </c>
      <c r="AC102" t="s">
        <v>768</v>
      </c>
      <c r="AD102" t="s">
        <v>1460</v>
      </c>
      <c r="AE102">
        <v>32</v>
      </c>
      <c r="AF102" t="s">
        <v>770</v>
      </c>
      <c r="AG102" t="s">
        <v>768</v>
      </c>
      <c r="AT102" t="s">
        <v>772</v>
      </c>
      <c r="AU102" t="s">
        <v>1461</v>
      </c>
      <c r="AV102" t="str" cm="1">
        <f t="array" ref="AV102">IF(B102=_xlfn.XLOOKUP(B102,VmSpecs[[#All],[VM Name]],VmSpecs[[#All],[VM Name]],"Failed",0,1),"Pass","Fail")</f>
        <v>Fail</v>
      </c>
      <c r="AW102" t="str" cm="1">
        <f t="array" ref="AW102">IF(D102=_xlfn.XLOOKUP($B102,VmSpecs[[#All],[VM Name]],VmSpecs[[#All],[Virtual Machine Resource Groups]],"Failed",0,1),"Pass","Fail")</f>
        <v>Fail</v>
      </c>
      <c r="AX102" t="str" cm="1">
        <f t="array" ref="AX102">IF(_xlfn.IFS(E102="australiacentral","Australia Central 1",E102="australiaeast","Australia East",E102="australiasoutheast","Australia SouthEast")=_xlfn.XLOOKUP($B102,VmSpecs[[#All],[VM Name]],VmSpecs[[#All],[Region]],"Failed",0,1),"Pass","Fail")</f>
        <v>Fail</v>
      </c>
      <c r="AY102" t="str" cm="1">
        <f t="array" ref="AY102">IF(F102=_xlfn.XLOOKUP($B102,VmSpecs[[#All],[VM Name]],VmSpecs[[#All],[Instance size]],"Failed",0,1),"Pass","Fail")</f>
        <v>Fail</v>
      </c>
      <c r="AZ102" t="str" cm="1">
        <f t="array" ref="AZ102">IF(LOWER(H102)=_xlfn.XLOOKUP($B102,VmSpecs[[#All],[VM Name]],VmSpecs[[#All],[Availability Set Name]],"Failed",0,1),"Pass","Fail")</f>
        <v>Fail</v>
      </c>
      <c r="BA102" t="str" cm="1">
        <f t="array" ref="BA102">IF(J102=_xlfn.XLOOKUP($B102,VmSpecs[[#All],[VM Name]],VmSpecs[[#All],[Virtual Network]],"Failed",0,1),"Pass","Fail")</f>
        <v>Fail</v>
      </c>
      <c r="BB102" t="str" cm="1">
        <f t="array" ref="BB102">IF(K102=_xlfn.XLOOKUP($B102,VmSpecs[[#All],[VM Name]],VmSpecs[[#All],[Subnet]],"Failed",0,1),"Pass","Fail")</f>
        <v>Fail</v>
      </c>
      <c r="BC102" t="str" cm="1">
        <f t="array" ref="BC102">IF(M102=_xlfn.XLOOKUP($B102,VmSpecs[[#All],[VM Name]],VmSpecs[[#All],[IP]],"Failed",0,1),"Pass","Fail")</f>
        <v>Fail</v>
      </c>
      <c r="BD102" t="str" cm="1">
        <f t="array" ref="BD102">IF(N102=_xlfn.XLOOKUP($B102,VmSpecs[[#All],[VM Name]],VmSpecs[[#All],[Network Security Group]],"Failed",0,1),"Pass","Fail")</f>
        <v>Fail</v>
      </c>
      <c r="BE102" t="str" cm="1">
        <f t="array" ref="BE102">IF(O102=_xlfn.XLOOKUP($B102,VmSpecs[[#All],[VM Name]],VmSpecs[[#All],[Route Table Name]],"Failed",0,1),"Pass","Fail")</f>
        <v>Fail</v>
      </c>
      <c r="BF102" t="str" cm="1">
        <f t="array" ref="BF102">IF(P102=_xlfn.XLOOKUP($B102,VmSpecs[[#All],[VM Name]],VmSpecs[[#All],[Operating System]],"Failed",0,1),"Pass","Fail")</f>
        <v>Fail</v>
      </c>
      <c r="BG102" t="str" cm="1">
        <f t="array" ref="BG102">IF(R102=_xlfn.XLOOKUP($B102,VmSpecs[[#All],[VM Name]],VmSpecs[[#All],[NIC name]],"Failed",0,1),"Pass","Fail")</f>
        <v>Fail</v>
      </c>
      <c r="BH102" t="str" cm="1">
        <f t="array" ref="BH102">IF(U102=_xlfn.XLOOKUP($B102,VmSpecs[[#All],[VM Name]],VmSpecs[[#All],[OS Disk Name]],"Failed",0,1),"Pass","Fail")</f>
        <v>Fail</v>
      </c>
      <c r="BI102" t="str" cm="1">
        <f t="array" ref="BI102">IF(W102=_xlfn.XLOOKUP($B102,VmSpecs[[#All],[VM Name]],VmSpecs[[#All],[OS Disk Size]],"Failed",0,1),"Pass","Fail")</f>
        <v>Fail</v>
      </c>
      <c r="BJ102" t="str" cm="1">
        <f t="array" ref="BJ102">IF(LEFT(X102,4)=LEFT(_xlfn.XLOOKUP($B102,VmSpecs[[#All],[VM Name]],VmSpecs[[#All],[OS Disk Type (Standard SSD etc)]],"Failed",0,1),4),"Pass","Fail")</f>
        <v>Fail</v>
      </c>
      <c r="BK102" t="str" cm="1">
        <f t="array" ref="BK102">IF(Z102=_xlfn.XLOOKUP($B102,VmSpecs[[#All],[VM Name]],VmSpecs[[#All],[Data Disk1 Name]],"Failed",0,1),"Pass","Fail")</f>
        <v>Fail</v>
      </c>
      <c r="BL102" t="str" cm="1">
        <f t="array" ref="BL102">IF(AA102=_xlfn.XLOOKUP($B102,VmSpecs[[#All],[VM Name]],VmSpecs[[#All],[Data Disk1 Size]],"Failed",0,1),"Pass","Fail")</f>
        <v>Fail</v>
      </c>
      <c r="BM102" t="str" cm="1">
        <f t="array" ref="BM102">IF(LEFT(AC102,4)=LEFT(_xlfn.XLOOKUP($B102,VmSpecs[[#All],[VM Name]],VmSpecs[[#All],[Data Disk1 Type]],"Failed",0,1),4),"Pass","Fail")</f>
        <v>Fail</v>
      </c>
      <c r="BO102" t="e">
        <f>VLOOKUP('VM Specs'!K102,'As Built'!B:B,1,FALSE)</f>
        <v>#N/A</v>
      </c>
      <c r="BP102" t="str">
        <f>IF(ISNA(Table613[[#This Row],[VM Build Sheet Check]]),'VM Specs'!K102,"")</f>
        <v>vmpfbpf2oes01</v>
      </c>
    </row>
    <row r="103" spans="1:68" ht="33" customHeight="1" x14ac:dyDescent="0.35">
      <c r="A103" t="str">
        <f>IF(COUNTIF(AsBuilt[[#This Row],[VM Check]:[Data Disk 1 Type Check]],"Fail")&gt;0,"Fail","Pass")</f>
        <v>Fail</v>
      </c>
      <c r="B103" t="s">
        <v>1462</v>
      </c>
      <c r="C103" t="s">
        <v>754</v>
      </c>
      <c r="D103" t="s">
        <v>755</v>
      </c>
      <c r="E103" t="s">
        <v>756</v>
      </c>
      <c r="F103" t="s">
        <v>757</v>
      </c>
      <c r="G103" t="s">
        <v>758</v>
      </c>
      <c r="H103" t="s">
        <v>1455</v>
      </c>
      <c r="J103" t="s">
        <v>760</v>
      </c>
      <c r="K103" t="s">
        <v>761</v>
      </c>
      <c r="L103" t="s">
        <v>754</v>
      </c>
      <c r="M103" t="s">
        <v>1463</v>
      </c>
      <c r="N103" t="s">
        <v>763</v>
      </c>
      <c r="O103" t="s">
        <v>764</v>
      </c>
      <c r="P103" t="s">
        <v>63</v>
      </c>
      <c r="R103" t="s">
        <v>1464</v>
      </c>
      <c r="S103" t="s">
        <v>754</v>
      </c>
      <c r="U103" t="s">
        <v>1465</v>
      </c>
      <c r="V103" t="s">
        <v>767</v>
      </c>
      <c r="W103">
        <v>64</v>
      </c>
      <c r="X103" t="s">
        <v>768</v>
      </c>
      <c r="Y103">
        <v>2</v>
      </c>
      <c r="Z103" t="s">
        <v>1466</v>
      </c>
      <c r="AA103">
        <v>8</v>
      </c>
      <c r="AB103" t="s">
        <v>770</v>
      </c>
      <c r="AC103" t="s">
        <v>768</v>
      </c>
      <c r="AD103" t="s">
        <v>1467</v>
      </c>
      <c r="AE103">
        <v>32</v>
      </c>
      <c r="AF103" t="s">
        <v>770</v>
      </c>
      <c r="AG103" t="s">
        <v>768</v>
      </c>
      <c r="AT103" t="s">
        <v>772</v>
      </c>
      <c r="AU103" t="s">
        <v>1468</v>
      </c>
      <c r="AV103" t="str" cm="1">
        <f t="array" ref="AV103">IF(B103=_xlfn.XLOOKUP(B103,VmSpecs[[#All],[VM Name]],VmSpecs[[#All],[VM Name]],"Failed",0,1),"Pass","Fail")</f>
        <v>Fail</v>
      </c>
      <c r="AW103" t="str" cm="1">
        <f t="array" ref="AW103">IF(D103=_xlfn.XLOOKUP($B103,VmSpecs[[#All],[VM Name]],VmSpecs[[#All],[Virtual Machine Resource Groups]],"Failed",0,1),"Pass","Fail")</f>
        <v>Fail</v>
      </c>
      <c r="AX103" t="str" cm="1">
        <f t="array" ref="AX103">IF(_xlfn.IFS(E103="australiacentral","Australia Central 1",E103="australiaeast","Australia East",E103="australiasoutheast","Australia SouthEast")=_xlfn.XLOOKUP($B103,VmSpecs[[#All],[VM Name]],VmSpecs[[#All],[Region]],"Failed",0,1),"Pass","Fail")</f>
        <v>Fail</v>
      </c>
      <c r="AY103" t="str" cm="1">
        <f t="array" ref="AY103">IF(F103=_xlfn.XLOOKUP($B103,VmSpecs[[#All],[VM Name]],VmSpecs[[#All],[Instance size]],"Failed",0,1),"Pass","Fail")</f>
        <v>Fail</v>
      </c>
      <c r="AZ103" t="str" cm="1">
        <f t="array" ref="AZ103">IF(LOWER(H103)=_xlfn.XLOOKUP($B103,VmSpecs[[#All],[VM Name]],VmSpecs[[#All],[Availability Set Name]],"Failed",0,1),"Pass","Fail")</f>
        <v>Fail</v>
      </c>
      <c r="BA103" t="str" cm="1">
        <f t="array" ref="BA103">IF(J103=_xlfn.XLOOKUP($B103,VmSpecs[[#All],[VM Name]],VmSpecs[[#All],[Virtual Network]],"Failed",0,1),"Pass","Fail")</f>
        <v>Fail</v>
      </c>
      <c r="BB103" t="str" cm="1">
        <f t="array" ref="BB103">IF(K103=_xlfn.XLOOKUP($B103,VmSpecs[[#All],[VM Name]],VmSpecs[[#All],[Subnet]],"Failed",0,1),"Pass","Fail")</f>
        <v>Fail</v>
      </c>
      <c r="BC103" t="str" cm="1">
        <f t="array" ref="BC103">IF(M103=_xlfn.XLOOKUP($B103,VmSpecs[[#All],[VM Name]],VmSpecs[[#All],[IP]],"Failed",0,1),"Pass","Fail")</f>
        <v>Fail</v>
      </c>
      <c r="BD103" t="str" cm="1">
        <f t="array" ref="BD103">IF(N103=_xlfn.XLOOKUP($B103,VmSpecs[[#All],[VM Name]],VmSpecs[[#All],[Network Security Group]],"Failed",0,1),"Pass","Fail")</f>
        <v>Fail</v>
      </c>
      <c r="BE103" t="str" cm="1">
        <f t="array" ref="BE103">IF(O103=_xlfn.XLOOKUP($B103,VmSpecs[[#All],[VM Name]],VmSpecs[[#All],[Route Table Name]],"Failed",0,1),"Pass","Fail")</f>
        <v>Fail</v>
      </c>
      <c r="BF103" t="str" cm="1">
        <f t="array" ref="BF103">IF(P103=_xlfn.XLOOKUP($B103,VmSpecs[[#All],[VM Name]],VmSpecs[[#All],[Operating System]],"Failed",0,1),"Pass","Fail")</f>
        <v>Fail</v>
      </c>
      <c r="BG103" t="str" cm="1">
        <f t="array" ref="BG103">IF(R103=_xlfn.XLOOKUP($B103,VmSpecs[[#All],[VM Name]],VmSpecs[[#All],[NIC name]],"Failed",0,1),"Pass","Fail")</f>
        <v>Fail</v>
      </c>
      <c r="BH103" t="str" cm="1">
        <f t="array" ref="BH103">IF(U103=_xlfn.XLOOKUP($B103,VmSpecs[[#All],[VM Name]],VmSpecs[[#All],[OS Disk Name]],"Failed",0,1),"Pass","Fail")</f>
        <v>Fail</v>
      </c>
      <c r="BI103" t="str" cm="1">
        <f t="array" ref="BI103">IF(W103=_xlfn.XLOOKUP($B103,VmSpecs[[#All],[VM Name]],VmSpecs[[#All],[OS Disk Size]],"Failed",0,1),"Pass","Fail")</f>
        <v>Fail</v>
      </c>
      <c r="BJ103" t="str" cm="1">
        <f t="array" ref="BJ103">IF(LEFT(X103,4)=LEFT(_xlfn.XLOOKUP($B103,VmSpecs[[#All],[VM Name]],VmSpecs[[#All],[OS Disk Type (Standard SSD etc)]],"Failed",0,1),4),"Pass","Fail")</f>
        <v>Fail</v>
      </c>
      <c r="BK103" t="str" cm="1">
        <f t="array" ref="BK103">IF(Z103=_xlfn.XLOOKUP($B103,VmSpecs[[#All],[VM Name]],VmSpecs[[#All],[Data Disk1 Name]],"Failed",0,1),"Pass","Fail")</f>
        <v>Fail</v>
      </c>
      <c r="BL103" t="str" cm="1">
        <f t="array" ref="BL103">IF(AA103=_xlfn.XLOOKUP($B103,VmSpecs[[#All],[VM Name]],VmSpecs[[#All],[Data Disk1 Size]],"Failed",0,1),"Pass","Fail")</f>
        <v>Fail</v>
      </c>
      <c r="BM103" t="str" cm="1">
        <f t="array" ref="BM103">IF(LEFT(AC103,4)=LEFT(_xlfn.XLOOKUP($B103,VmSpecs[[#All],[VM Name]],VmSpecs[[#All],[Data Disk1 Type]],"Failed",0,1),4),"Pass","Fail")</f>
        <v>Fail</v>
      </c>
      <c r="BO103" t="e">
        <f>VLOOKUP('VM Specs'!K103,'As Built'!B:B,1,FALSE)</f>
        <v>#N/A</v>
      </c>
      <c r="BP103" t="str">
        <f>IF(ISNA(Table613[[#This Row],[VM Build Sheet Check]]),'VM Specs'!K103,"")</f>
        <v>vmpfbpf2oes02</v>
      </c>
    </row>
    <row r="104" spans="1:68" ht="33" customHeight="1" x14ac:dyDescent="0.35">
      <c r="A104" t="str">
        <f>IF(COUNTIF(AsBuilt[[#This Row],[VM Check]:[Data Disk 1 Type Check]],"Fail")&gt;0,"Fail","Pass")</f>
        <v>Fail</v>
      </c>
      <c r="B104" t="s">
        <v>1469</v>
      </c>
      <c r="C104" t="s">
        <v>754</v>
      </c>
      <c r="D104" t="s">
        <v>755</v>
      </c>
      <c r="E104" t="s">
        <v>756</v>
      </c>
      <c r="F104" t="s">
        <v>757</v>
      </c>
      <c r="G104" t="s">
        <v>758</v>
      </c>
      <c r="H104" t="s">
        <v>1455</v>
      </c>
      <c r="J104" t="s">
        <v>760</v>
      </c>
      <c r="K104" t="s">
        <v>761</v>
      </c>
      <c r="L104" t="s">
        <v>754</v>
      </c>
      <c r="M104" t="s">
        <v>1470</v>
      </c>
      <c r="N104" t="s">
        <v>763</v>
      </c>
      <c r="O104" t="s">
        <v>764</v>
      </c>
      <c r="P104" t="s">
        <v>63</v>
      </c>
      <c r="R104" t="s">
        <v>1471</v>
      </c>
      <c r="S104" t="s">
        <v>754</v>
      </c>
      <c r="U104" t="s">
        <v>1472</v>
      </c>
      <c r="V104" t="s">
        <v>767</v>
      </c>
      <c r="W104">
        <v>64</v>
      </c>
      <c r="X104" t="s">
        <v>768</v>
      </c>
      <c r="Y104">
        <v>2</v>
      </c>
      <c r="Z104" t="s">
        <v>1473</v>
      </c>
      <c r="AA104">
        <v>8</v>
      </c>
      <c r="AB104" t="s">
        <v>770</v>
      </c>
      <c r="AC104" t="s">
        <v>768</v>
      </c>
      <c r="AD104" t="s">
        <v>1474</v>
      </c>
      <c r="AE104">
        <v>32</v>
      </c>
      <c r="AF104" t="s">
        <v>770</v>
      </c>
      <c r="AG104" t="s">
        <v>768</v>
      </c>
      <c r="AT104" t="s">
        <v>772</v>
      </c>
      <c r="AU104" t="s">
        <v>1475</v>
      </c>
      <c r="AV104" t="str" cm="1">
        <f t="array" ref="AV104">IF(B104=_xlfn.XLOOKUP(B104,VmSpecs[[#All],[VM Name]],VmSpecs[[#All],[VM Name]],"Failed",0,1),"Pass","Fail")</f>
        <v>Fail</v>
      </c>
      <c r="AW104" t="str" cm="1">
        <f t="array" ref="AW104">IF(D104=_xlfn.XLOOKUP($B104,VmSpecs[[#All],[VM Name]],VmSpecs[[#All],[Virtual Machine Resource Groups]],"Failed",0,1),"Pass","Fail")</f>
        <v>Fail</v>
      </c>
      <c r="AX104" t="str" cm="1">
        <f t="array" ref="AX104">IF(_xlfn.IFS(E104="australiacentral","Australia Central 1",E104="australiaeast","Australia East",E104="australiasoutheast","Australia SouthEast")=_xlfn.XLOOKUP($B104,VmSpecs[[#All],[VM Name]],VmSpecs[[#All],[Region]],"Failed",0,1),"Pass","Fail")</f>
        <v>Fail</v>
      </c>
      <c r="AY104" t="str" cm="1">
        <f t="array" ref="AY104">IF(F104=_xlfn.XLOOKUP($B104,VmSpecs[[#All],[VM Name]],VmSpecs[[#All],[Instance size]],"Failed",0,1),"Pass","Fail")</f>
        <v>Fail</v>
      </c>
      <c r="AZ104" t="str" cm="1">
        <f t="array" ref="AZ104">IF(LOWER(H104)=_xlfn.XLOOKUP($B104,VmSpecs[[#All],[VM Name]],VmSpecs[[#All],[Availability Set Name]],"Failed",0,1),"Pass","Fail")</f>
        <v>Fail</v>
      </c>
      <c r="BA104" t="str" cm="1">
        <f t="array" ref="BA104">IF(J104=_xlfn.XLOOKUP($B104,VmSpecs[[#All],[VM Name]],VmSpecs[[#All],[Virtual Network]],"Failed",0,1),"Pass","Fail")</f>
        <v>Fail</v>
      </c>
      <c r="BB104" t="str" cm="1">
        <f t="array" ref="BB104">IF(K104=_xlfn.XLOOKUP($B104,VmSpecs[[#All],[VM Name]],VmSpecs[[#All],[Subnet]],"Failed",0,1),"Pass","Fail")</f>
        <v>Fail</v>
      </c>
      <c r="BC104" t="str" cm="1">
        <f t="array" ref="BC104">IF(M104=_xlfn.XLOOKUP($B104,VmSpecs[[#All],[VM Name]],VmSpecs[[#All],[IP]],"Failed",0,1),"Pass","Fail")</f>
        <v>Fail</v>
      </c>
      <c r="BD104" t="str" cm="1">
        <f t="array" ref="BD104">IF(N104=_xlfn.XLOOKUP($B104,VmSpecs[[#All],[VM Name]],VmSpecs[[#All],[Network Security Group]],"Failed",0,1),"Pass","Fail")</f>
        <v>Fail</v>
      </c>
      <c r="BE104" t="str" cm="1">
        <f t="array" ref="BE104">IF(O104=_xlfn.XLOOKUP($B104,VmSpecs[[#All],[VM Name]],VmSpecs[[#All],[Route Table Name]],"Failed",0,1),"Pass","Fail")</f>
        <v>Fail</v>
      </c>
      <c r="BF104" t="str" cm="1">
        <f t="array" ref="BF104">IF(P104=_xlfn.XLOOKUP($B104,VmSpecs[[#All],[VM Name]],VmSpecs[[#All],[Operating System]],"Failed",0,1),"Pass","Fail")</f>
        <v>Fail</v>
      </c>
      <c r="BG104" t="str" cm="1">
        <f t="array" ref="BG104">IF(R104=_xlfn.XLOOKUP($B104,VmSpecs[[#All],[VM Name]],VmSpecs[[#All],[NIC name]],"Failed",0,1),"Pass","Fail")</f>
        <v>Fail</v>
      </c>
      <c r="BH104" t="str" cm="1">
        <f t="array" ref="BH104">IF(U104=_xlfn.XLOOKUP($B104,VmSpecs[[#All],[VM Name]],VmSpecs[[#All],[OS Disk Name]],"Failed",0,1),"Pass","Fail")</f>
        <v>Fail</v>
      </c>
      <c r="BI104" t="str" cm="1">
        <f t="array" ref="BI104">IF(W104=_xlfn.XLOOKUP($B104,VmSpecs[[#All],[VM Name]],VmSpecs[[#All],[OS Disk Size]],"Failed",0,1),"Pass","Fail")</f>
        <v>Fail</v>
      </c>
      <c r="BJ104" t="str" cm="1">
        <f t="array" ref="BJ104">IF(LEFT(X104,4)=LEFT(_xlfn.XLOOKUP($B104,VmSpecs[[#All],[VM Name]],VmSpecs[[#All],[OS Disk Type (Standard SSD etc)]],"Failed",0,1),4),"Pass","Fail")</f>
        <v>Fail</v>
      </c>
      <c r="BK104" t="str" cm="1">
        <f t="array" ref="BK104">IF(Z104=_xlfn.XLOOKUP($B104,VmSpecs[[#All],[VM Name]],VmSpecs[[#All],[Data Disk1 Name]],"Failed",0,1),"Pass","Fail")</f>
        <v>Fail</v>
      </c>
      <c r="BL104" t="str" cm="1">
        <f t="array" ref="BL104">IF(AA104=_xlfn.XLOOKUP($B104,VmSpecs[[#All],[VM Name]],VmSpecs[[#All],[Data Disk1 Size]],"Failed",0,1),"Pass","Fail")</f>
        <v>Fail</v>
      </c>
      <c r="BM104" t="str" cm="1">
        <f t="array" ref="BM104">IF(LEFT(AC104,4)=LEFT(_xlfn.XLOOKUP($B104,VmSpecs[[#All],[VM Name]],VmSpecs[[#All],[Data Disk1 Type]],"Failed",0,1),4),"Pass","Fail")</f>
        <v>Fail</v>
      </c>
      <c r="BO104" t="e">
        <f>VLOOKUP('VM Specs'!K104,'As Built'!B:B,1,FALSE)</f>
        <v>#N/A</v>
      </c>
      <c r="BP104" t="str">
        <f>IF(ISNA(Table613[[#This Row],[VM Build Sheet Check]]),'VM Specs'!K104,"")</f>
        <v>vmpfbpf2oes03</v>
      </c>
    </row>
    <row r="105" spans="1:68" ht="33" customHeight="1" x14ac:dyDescent="0.35">
      <c r="A105" t="str">
        <f>IF(COUNTIF(AsBuilt[[#This Row],[VM Check]:[Data Disk 1 Type Check]],"Fail")&gt;0,"Fail","Pass")</f>
        <v>Fail</v>
      </c>
      <c r="B105" t="s">
        <v>1476</v>
      </c>
      <c r="C105" t="s">
        <v>754</v>
      </c>
      <c r="D105" t="s">
        <v>755</v>
      </c>
      <c r="E105" t="s">
        <v>756</v>
      </c>
      <c r="F105" t="s">
        <v>757</v>
      </c>
      <c r="G105" t="s">
        <v>758</v>
      </c>
      <c r="H105" t="s">
        <v>1455</v>
      </c>
      <c r="J105" t="s">
        <v>760</v>
      </c>
      <c r="K105" t="s">
        <v>761</v>
      </c>
      <c r="L105" t="s">
        <v>754</v>
      </c>
      <c r="M105" t="s">
        <v>1477</v>
      </c>
      <c r="N105" t="s">
        <v>763</v>
      </c>
      <c r="O105" t="s">
        <v>764</v>
      </c>
      <c r="P105" t="s">
        <v>63</v>
      </c>
      <c r="R105" t="s">
        <v>1478</v>
      </c>
      <c r="S105" t="s">
        <v>754</v>
      </c>
      <c r="U105" t="s">
        <v>1479</v>
      </c>
      <c r="V105" t="s">
        <v>767</v>
      </c>
      <c r="W105">
        <v>64</v>
      </c>
      <c r="X105" t="s">
        <v>768</v>
      </c>
      <c r="Y105">
        <v>2</v>
      </c>
      <c r="Z105" t="s">
        <v>1480</v>
      </c>
      <c r="AA105">
        <v>8</v>
      </c>
      <c r="AB105" t="s">
        <v>770</v>
      </c>
      <c r="AC105" t="s">
        <v>768</v>
      </c>
      <c r="AD105" t="s">
        <v>1481</v>
      </c>
      <c r="AE105">
        <v>32</v>
      </c>
      <c r="AF105" t="s">
        <v>770</v>
      </c>
      <c r="AG105" t="s">
        <v>768</v>
      </c>
      <c r="AT105" t="s">
        <v>772</v>
      </c>
      <c r="AU105" t="s">
        <v>1482</v>
      </c>
      <c r="AV105" t="str" cm="1">
        <f t="array" ref="AV105">IF(B105=_xlfn.XLOOKUP(B105,VmSpecs[[#All],[VM Name]],VmSpecs[[#All],[VM Name]],"Failed",0,1),"Pass","Fail")</f>
        <v>Fail</v>
      </c>
      <c r="AW105" t="str" cm="1">
        <f t="array" ref="AW105">IF(D105=_xlfn.XLOOKUP($B105,VmSpecs[[#All],[VM Name]],VmSpecs[[#All],[Virtual Machine Resource Groups]],"Failed",0,1),"Pass","Fail")</f>
        <v>Fail</v>
      </c>
      <c r="AX105" t="str" cm="1">
        <f t="array" ref="AX105">IF(_xlfn.IFS(E105="australiacentral","Australia Central 1",E105="australiaeast","Australia East",E105="australiasoutheast","Australia SouthEast")=_xlfn.XLOOKUP($B105,VmSpecs[[#All],[VM Name]],VmSpecs[[#All],[Region]],"Failed",0,1),"Pass","Fail")</f>
        <v>Fail</v>
      </c>
      <c r="AY105" t="str" cm="1">
        <f t="array" ref="AY105">IF(F105=_xlfn.XLOOKUP($B105,VmSpecs[[#All],[VM Name]],VmSpecs[[#All],[Instance size]],"Failed",0,1),"Pass","Fail")</f>
        <v>Fail</v>
      </c>
      <c r="AZ105" t="str" cm="1">
        <f t="array" ref="AZ105">IF(LOWER(H105)=_xlfn.XLOOKUP($B105,VmSpecs[[#All],[VM Name]],VmSpecs[[#All],[Availability Set Name]],"Failed",0,1),"Pass","Fail")</f>
        <v>Fail</v>
      </c>
      <c r="BA105" t="str" cm="1">
        <f t="array" ref="BA105">IF(J105=_xlfn.XLOOKUP($B105,VmSpecs[[#All],[VM Name]],VmSpecs[[#All],[Virtual Network]],"Failed",0,1),"Pass","Fail")</f>
        <v>Fail</v>
      </c>
      <c r="BB105" t="str" cm="1">
        <f t="array" ref="BB105">IF(K105=_xlfn.XLOOKUP($B105,VmSpecs[[#All],[VM Name]],VmSpecs[[#All],[Subnet]],"Failed",0,1),"Pass","Fail")</f>
        <v>Fail</v>
      </c>
      <c r="BC105" t="str" cm="1">
        <f t="array" ref="BC105">IF(M105=_xlfn.XLOOKUP($B105,VmSpecs[[#All],[VM Name]],VmSpecs[[#All],[IP]],"Failed",0,1),"Pass","Fail")</f>
        <v>Fail</v>
      </c>
      <c r="BD105" t="str" cm="1">
        <f t="array" ref="BD105">IF(N105=_xlfn.XLOOKUP($B105,VmSpecs[[#All],[VM Name]],VmSpecs[[#All],[Network Security Group]],"Failed",0,1),"Pass","Fail")</f>
        <v>Fail</v>
      </c>
      <c r="BE105" t="str" cm="1">
        <f t="array" ref="BE105">IF(O105=_xlfn.XLOOKUP($B105,VmSpecs[[#All],[VM Name]],VmSpecs[[#All],[Route Table Name]],"Failed",0,1),"Pass","Fail")</f>
        <v>Fail</v>
      </c>
      <c r="BF105" t="str" cm="1">
        <f t="array" ref="BF105">IF(P105=_xlfn.XLOOKUP($B105,VmSpecs[[#All],[VM Name]],VmSpecs[[#All],[Operating System]],"Failed",0,1),"Pass","Fail")</f>
        <v>Fail</v>
      </c>
      <c r="BG105" t="str" cm="1">
        <f t="array" ref="BG105">IF(R105=_xlfn.XLOOKUP($B105,VmSpecs[[#All],[VM Name]],VmSpecs[[#All],[NIC name]],"Failed",0,1),"Pass","Fail")</f>
        <v>Fail</v>
      </c>
      <c r="BH105" t="str" cm="1">
        <f t="array" ref="BH105">IF(U105=_xlfn.XLOOKUP($B105,VmSpecs[[#All],[VM Name]],VmSpecs[[#All],[OS Disk Name]],"Failed",0,1),"Pass","Fail")</f>
        <v>Fail</v>
      </c>
      <c r="BI105" t="str" cm="1">
        <f t="array" ref="BI105">IF(W105=_xlfn.XLOOKUP($B105,VmSpecs[[#All],[VM Name]],VmSpecs[[#All],[OS Disk Size]],"Failed",0,1),"Pass","Fail")</f>
        <v>Fail</v>
      </c>
      <c r="BJ105" t="str" cm="1">
        <f t="array" ref="BJ105">IF(LEFT(X105,4)=LEFT(_xlfn.XLOOKUP($B105,VmSpecs[[#All],[VM Name]],VmSpecs[[#All],[OS Disk Type (Standard SSD etc)]],"Failed",0,1),4),"Pass","Fail")</f>
        <v>Fail</v>
      </c>
      <c r="BK105" t="str" cm="1">
        <f t="array" ref="BK105">IF(Z105=_xlfn.XLOOKUP($B105,VmSpecs[[#All],[VM Name]],VmSpecs[[#All],[Data Disk1 Name]],"Failed",0,1),"Pass","Fail")</f>
        <v>Fail</v>
      </c>
      <c r="BL105" t="str" cm="1">
        <f t="array" ref="BL105">IF(AA105=_xlfn.XLOOKUP($B105,VmSpecs[[#All],[VM Name]],VmSpecs[[#All],[Data Disk1 Size]],"Failed",0,1),"Pass","Fail")</f>
        <v>Fail</v>
      </c>
      <c r="BM105" t="str" cm="1">
        <f t="array" ref="BM105">IF(LEFT(AC105,4)=LEFT(_xlfn.XLOOKUP($B105,VmSpecs[[#All],[VM Name]],VmSpecs[[#All],[Data Disk1 Type]],"Failed",0,1),4),"Pass","Fail")</f>
        <v>Fail</v>
      </c>
      <c r="BO105" t="e">
        <f>VLOOKUP('VM Specs'!K105,'As Built'!B:B,1,FALSE)</f>
        <v>#N/A</v>
      </c>
      <c r="BP105" t="str">
        <f>IF(ISNA(Table613[[#This Row],[VM Build Sheet Check]]),'VM Specs'!K105,"")</f>
        <v>vmpfbpf2oes04</v>
      </c>
    </row>
    <row r="106" spans="1:68" ht="33" customHeight="1" x14ac:dyDescent="0.35">
      <c r="A106" t="str">
        <f>IF(COUNTIF(AsBuilt[[#This Row],[VM Check]:[Data Disk 1 Type Check]],"Fail")&gt;0,"Fail","Pass")</f>
        <v>Fail</v>
      </c>
      <c r="B106" t="s">
        <v>1483</v>
      </c>
      <c r="C106" t="s">
        <v>754</v>
      </c>
      <c r="D106" t="s">
        <v>755</v>
      </c>
      <c r="E106" t="s">
        <v>756</v>
      </c>
      <c r="F106" t="s">
        <v>757</v>
      </c>
      <c r="G106" t="s">
        <v>758</v>
      </c>
      <c r="H106" t="s">
        <v>1455</v>
      </c>
      <c r="J106" t="s">
        <v>760</v>
      </c>
      <c r="K106" t="s">
        <v>761</v>
      </c>
      <c r="L106" t="s">
        <v>754</v>
      </c>
      <c r="M106" t="s">
        <v>1484</v>
      </c>
      <c r="N106" t="s">
        <v>763</v>
      </c>
      <c r="O106" t="s">
        <v>764</v>
      </c>
      <c r="P106" t="s">
        <v>63</v>
      </c>
      <c r="R106" t="s">
        <v>1485</v>
      </c>
      <c r="S106" t="s">
        <v>754</v>
      </c>
      <c r="U106" t="s">
        <v>1486</v>
      </c>
      <c r="V106" t="s">
        <v>767</v>
      </c>
      <c r="W106">
        <v>64</v>
      </c>
      <c r="X106" t="s">
        <v>768</v>
      </c>
      <c r="Y106">
        <v>2</v>
      </c>
      <c r="Z106" t="s">
        <v>1487</v>
      </c>
      <c r="AA106">
        <v>8</v>
      </c>
      <c r="AB106" t="s">
        <v>770</v>
      </c>
      <c r="AC106" t="s">
        <v>768</v>
      </c>
      <c r="AD106" t="s">
        <v>1488</v>
      </c>
      <c r="AE106">
        <v>32</v>
      </c>
      <c r="AF106" t="s">
        <v>770</v>
      </c>
      <c r="AG106" t="s">
        <v>768</v>
      </c>
      <c r="AT106" t="s">
        <v>772</v>
      </c>
      <c r="AU106" t="s">
        <v>1489</v>
      </c>
      <c r="AV106" t="str" cm="1">
        <f t="array" ref="AV106">IF(B106=_xlfn.XLOOKUP(B106,VmSpecs[[#All],[VM Name]],VmSpecs[[#All],[VM Name]],"Failed",0,1),"Pass","Fail")</f>
        <v>Fail</v>
      </c>
      <c r="AW106" t="str" cm="1">
        <f t="array" ref="AW106">IF(D106=_xlfn.XLOOKUP($B106,VmSpecs[[#All],[VM Name]],VmSpecs[[#All],[Virtual Machine Resource Groups]],"Failed",0,1),"Pass","Fail")</f>
        <v>Fail</v>
      </c>
      <c r="AX106" t="str" cm="1">
        <f t="array" ref="AX106">IF(_xlfn.IFS(E106="australiacentral","Australia Central 1",E106="australiaeast","Australia East",E106="australiasoutheast","Australia SouthEast")=_xlfn.XLOOKUP($B106,VmSpecs[[#All],[VM Name]],VmSpecs[[#All],[Region]],"Failed",0,1),"Pass","Fail")</f>
        <v>Fail</v>
      </c>
      <c r="AY106" t="str" cm="1">
        <f t="array" ref="AY106">IF(F106=_xlfn.XLOOKUP($B106,VmSpecs[[#All],[VM Name]],VmSpecs[[#All],[Instance size]],"Failed",0,1),"Pass","Fail")</f>
        <v>Fail</v>
      </c>
      <c r="AZ106" t="str" cm="1">
        <f t="array" ref="AZ106">IF(LOWER(H106)=_xlfn.XLOOKUP($B106,VmSpecs[[#All],[VM Name]],VmSpecs[[#All],[Availability Set Name]],"Failed",0,1),"Pass","Fail")</f>
        <v>Fail</v>
      </c>
      <c r="BA106" t="str" cm="1">
        <f t="array" ref="BA106">IF(J106=_xlfn.XLOOKUP($B106,VmSpecs[[#All],[VM Name]],VmSpecs[[#All],[Virtual Network]],"Failed",0,1),"Pass","Fail")</f>
        <v>Fail</v>
      </c>
      <c r="BB106" t="str" cm="1">
        <f t="array" ref="BB106">IF(K106=_xlfn.XLOOKUP($B106,VmSpecs[[#All],[VM Name]],VmSpecs[[#All],[Subnet]],"Failed",0,1),"Pass","Fail")</f>
        <v>Fail</v>
      </c>
      <c r="BC106" t="str" cm="1">
        <f t="array" ref="BC106">IF(M106=_xlfn.XLOOKUP($B106,VmSpecs[[#All],[VM Name]],VmSpecs[[#All],[IP]],"Failed",0,1),"Pass","Fail")</f>
        <v>Fail</v>
      </c>
      <c r="BD106" t="str" cm="1">
        <f t="array" ref="BD106">IF(N106=_xlfn.XLOOKUP($B106,VmSpecs[[#All],[VM Name]],VmSpecs[[#All],[Network Security Group]],"Failed",0,1),"Pass","Fail")</f>
        <v>Fail</v>
      </c>
      <c r="BE106" t="str" cm="1">
        <f t="array" ref="BE106">IF(O106=_xlfn.XLOOKUP($B106,VmSpecs[[#All],[VM Name]],VmSpecs[[#All],[Route Table Name]],"Failed",0,1),"Pass","Fail")</f>
        <v>Fail</v>
      </c>
      <c r="BF106" t="str" cm="1">
        <f t="array" ref="BF106">IF(P106=_xlfn.XLOOKUP($B106,VmSpecs[[#All],[VM Name]],VmSpecs[[#All],[Operating System]],"Failed",0,1),"Pass","Fail")</f>
        <v>Fail</v>
      </c>
      <c r="BG106" t="str" cm="1">
        <f t="array" ref="BG106">IF(R106=_xlfn.XLOOKUP($B106,VmSpecs[[#All],[VM Name]],VmSpecs[[#All],[NIC name]],"Failed",0,1),"Pass","Fail")</f>
        <v>Fail</v>
      </c>
      <c r="BH106" t="str" cm="1">
        <f t="array" ref="BH106">IF(U106=_xlfn.XLOOKUP($B106,VmSpecs[[#All],[VM Name]],VmSpecs[[#All],[OS Disk Name]],"Failed",0,1),"Pass","Fail")</f>
        <v>Fail</v>
      </c>
      <c r="BI106" t="str" cm="1">
        <f t="array" ref="BI106">IF(W106=_xlfn.XLOOKUP($B106,VmSpecs[[#All],[VM Name]],VmSpecs[[#All],[OS Disk Size]],"Failed",0,1),"Pass","Fail")</f>
        <v>Fail</v>
      </c>
      <c r="BJ106" t="str" cm="1">
        <f t="array" ref="BJ106">IF(LEFT(X106,4)=LEFT(_xlfn.XLOOKUP($B106,VmSpecs[[#All],[VM Name]],VmSpecs[[#All],[OS Disk Type (Standard SSD etc)]],"Failed",0,1),4),"Pass","Fail")</f>
        <v>Fail</v>
      </c>
      <c r="BK106" t="str" cm="1">
        <f t="array" ref="BK106">IF(Z106=_xlfn.XLOOKUP($B106,VmSpecs[[#All],[VM Name]],VmSpecs[[#All],[Data Disk1 Name]],"Failed",0,1),"Pass","Fail")</f>
        <v>Fail</v>
      </c>
      <c r="BL106" t="str" cm="1">
        <f t="array" ref="BL106">IF(AA106=_xlfn.XLOOKUP($B106,VmSpecs[[#All],[VM Name]],VmSpecs[[#All],[Data Disk1 Size]],"Failed",0,1),"Pass","Fail")</f>
        <v>Fail</v>
      </c>
      <c r="BM106" t="str" cm="1">
        <f t="array" ref="BM106">IF(LEFT(AC106,4)=LEFT(_xlfn.XLOOKUP($B106,VmSpecs[[#All],[VM Name]],VmSpecs[[#All],[Data Disk1 Type]],"Failed",0,1),4),"Pass","Fail")</f>
        <v>Fail</v>
      </c>
      <c r="BO106" t="e">
        <f>VLOOKUP('VM Specs'!K106,'As Built'!B:B,1,FALSE)</f>
        <v>#N/A</v>
      </c>
      <c r="BP106" t="str">
        <f>IF(ISNA(Table613[[#This Row],[VM Build Sheet Check]]),'VM Specs'!K106,"")</f>
        <v>vmpfbpf2oes05</v>
      </c>
    </row>
    <row r="107" spans="1:68" ht="33" customHeight="1" x14ac:dyDescent="0.35">
      <c r="A107" t="str">
        <f>IF(COUNTIF(AsBuilt[[#This Row],[VM Check]:[Data Disk 1 Type Check]],"Fail")&gt;0,"Fail","Pass")</f>
        <v>Fail</v>
      </c>
      <c r="B107" t="s">
        <v>1490</v>
      </c>
      <c r="C107" t="s">
        <v>754</v>
      </c>
      <c r="D107" t="s">
        <v>755</v>
      </c>
      <c r="E107" t="s">
        <v>756</v>
      </c>
      <c r="F107" t="s">
        <v>757</v>
      </c>
      <c r="G107" t="s">
        <v>758</v>
      </c>
      <c r="H107" t="s">
        <v>1455</v>
      </c>
      <c r="J107" t="s">
        <v>760</v>
      </c>
      <c r="K107" t="s">
        <v>761</v>
      </c>
      <c r="L107" t="s">
        <v>754</v>
      </c>
      <c r="M107" t="s">
        <v>1491</v>
      </c>
      <c r="N107" t="s">
        <v>763</v>
      </c>
      <c r="O107" t="s">
        <v>764</v>
      </c>
      <c r="P107" t="s">
        <v>63</v>
      </c>
      <c r="R107" t="s">
        <v>1492</v>
      </c>
      <c r="S107" t="s">
        <v>754</v>
      </c>
      <c r="U107" t="s">
        <v>1493</v>
      </c>
      <c r="V107" t="s">
        <v>767</v>
      </c>
      <c r="W107">
        <v>64</v>
      </c>
      <c r="X107" t="s">
        <v>768</v>
      </c>
      <c r="Y107">
        <v>2</v>
      </c>
      <c r="Z107" t="s">
        <v>1494</v>
      </c>
      <c r="AA107">
        <v>8</v>
      </c>
      <c r="AB107" t="s">
        <v>770</v>
      </c>
      <c r="AC107" t="s">
        <v>768</v>
      </c>
      <c r="AD107" t="s">
        <v>1495</v>
      </c>
      <c r="AE107">
        <v>32</v>
      </c>
      <c r="AF107" t="s">
        <v>770</v>
      </c>
      <c r="AG107" t="s">
        <v>768</v>
      </c>
      <c r="AT107" t="s">
        <v>772</v>
      </c>
      <c r="AU107" t="s">
        <v>1496</v>
      </c>
      <c r="AV107" t="str" cm="1">
        <f t="array" ref="AV107">IF(B107=_xlfn.XLOOKUP(B107,VmSpecs[[#All],[VM Name]],VmSpecs[[#All],[VM Name]],"Failed",0,1),"Pass","Fail")</f>
        <v>Fail</v>
      </c>
      <c r="AW107" t="str" cm="1">
        <f t="array" ref="AW107">IF(D107=_xlfn.XLOOKUP($B107,VmSpecs[[#All],[VM Name]],VmSpecs[[#All],[Virtual Machine Resource Groups]],"Failed",0,1),"Pass","Fail")</f>
        <v>Fail</v>
      </c>
      <c r="AX107" t="str" cm="1">
        <f t="array" ref="AX107">IF(_xlfn.IFS(E107="australiacentral","Australia Central 1",E107="australiaeast","Australia East",E107="australiasoutheast","Australia SouthEast")=_xlfn.XLOOKUP($B107,VmSpecs[[#All],[VM Name]],VmSpecs[[#All],[Region]],"Failed",0,1),"Pass","Fail")</f>
        <v>Fail</v>
      </c>
      <c r="AY107" t="str" cm="1">
        <f t="array" ref="AY107">IF(F107=_xlfn.XLOOKUP($B107,VmSpecs[[#All],[VM Name]],VmSpecs[[#All],[Instance size]],"Failed",0,1),"Pass","Fail")</f>
        <v>Fail</v>
      </c>
      <c r="AZ107" t="str" cm="1">
        <f t="array" ref="AZ107">IF(LOWER(H107)=_xlfn.XLOOKUP($B107,VmSpecs[[#All],[VM Name]],VmSpecs[[#All],[Availability Set Name]],"Failed",0,1),"Pass","Fail")</f>
        <v>Fail</v>
      </c>
      <c r="BA107" t="str" cm="1">
        <f t="array" ref="BA107">IF(J107=_xlfn.XLOOKUP($B107,VmSpecs[[#All],[VM Name]],VmSpecs[[#All],[Virtual Network]],"Failed",0,1),"Pass","Fail")</f>
        <v>Fail</v>
      </c>
      <c r="BB107" t="str" cm="1">
        <f t="array" ref="BB107">IF(K107=_xlfn.XLOOKUP($B107,VmSpecs[[#All],[VM Name]],VmSpecs[[#All],[Subnet]],"Failed",0,1),"Pass","Fail")</f>
        <v>Fail</v>
      </c>
      <c r="BC107" t="str" cm="1">
        <f t="array" ref="BC107">IF(M107=_xlfn.XLOOKUP($B107,VmSpecs[[#All],[VM Name]],VmSpecs[[#All],[IP]],"Failed",0,1),"Pass","Fail")</f>
        <v>Fail</v>
      </c>
      <c r="BD107" t="str" cm="1">
        <f t="array" ref="BD107">IF(N107=_xlfn.XLOOKUP($B107,VmSpecs[[#All],[VM Name]],VmSpecs[[#All],[Network Security Group]],"Failed",0,1),"Pass","Fail")</f>
        <v>Fail</v>
      </c>
      <c r="BE107" t="str" cm="1">
        <f t="array" ref="BE107">IF(O107=_xlfn.XLOOKUP($B107,VmSpecs[[#All],[VM Name]],VmSpecs[[#All],[Route Table Name]],"Failed",0,1),"Pass","Fail")</f>
        <v>Fail</v>
      </c>
      <c r="BF107" t="str" cm="1">
        <f t="array" ref="BF107">IF(P107=_xlfn.XLOOKUP($B107,VmSpecs[[#All],[VM Name]],VmSpecs[[#All],[Operating System]],"Failed",0,1),"Pass","Fail")</f>
        <v>Fail</v>
      </c>
      <c r="BG107" t="str" cm="1">
        <f t="array" ref="BG107">IF(R107=_xlfn.XLOOKUP($B107,VmSpecs[[#All],[VM Name]],VmSpecs[[#All],[NIC name]],"Failed",0,1),"Pass","Fail")</f>
        <v>Fail</v>
      </c>
      <c r="BH107" t="str" cm="1">
        <f t="array" ref="BH107">IF(U107=_xlfn.XLOOKUP($B107,VmSpecs[[#All],[VM Name]],VmSpecs[[#All],[OS Disk Name]],"Failed",0,1),"Pass","Fail")</f>
        <v>Fail</v>
      </c>
      <c r="BI107" t="str" cm="1">
        <f t="array" ref="BI107">IF(W107=_xlfn.XLOOKUP($B107,VmSpecs[[#All],[VM Name]],VmSpecs[[#All],[OS Disk Size]],"Failed",0,1),"Pass","Fail")</f>
        <v>Fail</v>
      </c>
      <c r="BJ107" t="str" cm="1">
        <f t="array" ref="BJ107">IF(LEFT(X107,4)=LEFT(_xlfn.XLOOKUP($B107,VmSpecs[[#All],[VM Name]],VmSpecs[[#All],[OS Disk Type (Standard SSD etc)]],"Failed",0,1),4),"Pass","Fail")</f>
        <v>Fail</v>
      </c>
      <c r="BK107" t="str" cm="1">
        <f t="array" ref="BK107">IF(Z107=_xlfn.XLOOKUP($B107,VmSpecs[[#All],[VM Name]],VmSpecs[[#All],[Data Disk1 Name]],"Failed",0,1),"Pass","Fail")</f>
        <v>Fail</v>
      </c>
      <c r="BL107" t="str" cm="1">
        <f t="array" ref="BL107">IF(AA107=_xlfn.XLOOKUP($B107,VmSpecs[[#All],[VM Name]],VmSpecs[[#All],[Data Disk1 Size]],"Failed",0,1),"Pass","Fail")</f>
        <v>Fail</v>
      </c>
      <c r="BM107" t="str" cm="1">
        <f t="array" ref="BM107">IF(LEFT(AC107,4)=LEFT(_xlfn.XLOOKUP($B107,VmSpecs[[#All],[VM Name]],VmSpecs[[#All],[Data Disk1 Type]],"Failed",0,1),4),"Pass","Fail")</f>
        <v>Fail</v>
      </c>
      <c r="BO107" t="e">
        <f>VLOOKUP('VM Specs'!K107,'As Built'!B:B,1,FALSE)</f>
        <v>#N/A</v>
      </c>
      <c r="BP107" t="str">
        <f>IF(ISNA(Table613[[#This Row],[VM Build Sheet Check]]),'VM Specs'!K107,"")</f>
        <v>vmpfbpf2oes06</v>
      </c>
    </row>
    <row r="108" spans="1:68" ht="33" customHeight="1" x14ac:dyDescent="0.35">
      <c r="A108" t="str">
        <f>IF(COUNTIF(AsBuilt[[#This Row],[VM Check]:[Data Disk 1 Type Check]],"Fail")&gt;0,"Fail","Pass")</f>
        <v>Fail</v>
      </c>
      <c r="B108" t="s">
        <v>1497</v>
      </c>
      <c r="C108" t="s">
        <v>754</v>
      </c>
      <c r="D108" t="s">
        <v>755</v>
      </c>
      <c r="E108" t="s">
        <v>756</v>
      </c>
      <c r="F108" t="s">
        <v>757</v>
      </c>
      <c r="G108" t="s">
        <v>758</v>
      </c>
      <c r="H108" t="s">
        <v>1455</v>
      </c>
      <c r="J108" t="s">
        <v>760</v>
      </c>
      <c r="K108" t="s">
        <v>761</v>
      </c>
      <c r="L108" t="s">
        <v>754</v>
      </c>
      <c r="M108" t="s">
        <v>1498</v>
      </c>
      <c r="N108" t="s">
        <v>763</v>
      </c>
      <c r="O108" t="s">
        <v>764</v>
      </c>
      <c r="P108" t="s">
        <v>63</v>
      </c>
      <c r="R108" t="s">
        <v>1499</v>
      </c>
      <c r="S108" t="s">
        <v>754</v>
      </c>
      <c r="U108" t="s">
        <v>1500</v>
      </c>
      <c r="V108" t="s">
        <v>767</v>
      </c>
      <c r="W108">
        <v>64</v>
      </c>
      <c r="X108" t="s">
        <v>768</v>
      </c>
      <c r="Y108">
        <v>2</v>
      </c>
      <c r="Z108" t="s">
        <v>1501</v>
      </c>
      <c r="AA108">
        <v>8</v>
      </c>
      <c r="AB108" t="s">
        <v>770</v>
      </c>
      <c r="AC108" t="s">
        <v>768</v>
      </c>
      <c r="AD108" t="s">
        <v>1502</v>
      </c>
      <c r="AE108">
        <v>32</v>
      </c>
      <c r="AF108" t="s">
        <v>770</v>
      </c>
      <c r="AG108" t="s">
        <v>768</v>
      </c>
      <c r="AT108" t="s">
        <v>772</v>
      </c>
      <c r="AU108" t="s">
        <v>1503</v>
      </c>
      <c r="AV108" t="str" cm="1">
        <f t="array" ref="AV108">IF(B108=_xlfn.XLOOKUP(B108,VmSpecs[[#All],[VM Name]],VmSpecs[[#All],[VM Name]],"Failed",0,1),"Pass","Fail")</f>
        <v>Fail</v>
      </c>
      <c r="AW108" t="str" cm="1">
        <f t="array" ref="AW108">IF(D108=_xlfn.XLOOKUP($B108,VmSpecs[[#All],[VM Name]],VmSpecs[[#All],[Virtual Machine Resource Groups]],"Failed",0,1),"Pass","Fail")</f>
        <v>Fail</v>
      </c>
      <c r="AX108" t="str" cm="1">
        <f t="array" ref="AX108">IF(_xlfn.IFS(E108="australiacentral","Australia Central 1",E108="australiaeast","Australia East",E108="australiasoutheast","Australia SouthEast")=_xlfn.XLOOKUP($B108,VmSpecs[[#All],[VM Name]],VmSpecs[[#All],[Region]],"Failed",0,1),"Pass","Fail")</f>
        <v>Fail</v>
      </c>
      <c r="AY108" t="str" cm="1">
        <f t="array" ref="AY108">IF(F108=_xlfn.XLOOKUP($B108,VmSpecs[[#All],[VM Name]],VmSpecs[[#All],[Instance size]],"Failed",0,1),"Pass","Fail")</f>
        <v>Fail</v>
      </c>
      <c r="AZ108" t="str" cm="1">
        <f t="array" ref="AZ108">IF(LOWER(H108)=_xlfn.XLOOKUP($B108,VmSpecs[[#All],[VM Name]],VmSpecs[[#All],[Availability Set Name]],"Failed",0,1),"Pass","Fail")</f>
        <v>Fail</v>
      </c>
      <c r="BA108" t="str" cm="1">
        <f t="array" ref="BA108">IF(J108=_xlfn.XLOOKUP($B108,VmSpecs[[#All],[VM Name]],VmSpecs[[#All],[Virtual Network]],"Failed",0,1),"Pass","Fail")</f>
        <v>Fail</v>
      </c>
      <c r="BB108" t="str" cm="1">
        <f t="array" ref="BB108">IF(K108=_xlfn.XLOOKUP($B108,VmSpecs[[#All],[VM Name]],VmSpecs[[#All],[Subnet]],"Failed",0,1),"Pass","Fail")</f>
        <v>Fail</v>
      </c>
      <c r="BC108" t="str" cm="1">
        <f t="array" ref="BC108">IF(M108=_xlfn.XLOOKUP($B108,VmSpecs[[#All],[VM Name]],VmSpecs[[#All],[IP]],"Failed",0,1),"Pass","Fail")</f>
        <v>Fail</v>
      </c>
      <c r="BD108" t="str" cm="1">
        <f t="array" ref="BD108">IF(N108=_xlfn.XLOOKUP($B108,VmSpecs[[#All],[VM Name]],VmSpecs[[#All],[Network Security Group]],"Failed",0,1),"Pass","Fail")</f>
        <v>Fail</v>
      </c>
      <c r="BE108" t="str" cm="1">
        <f t="array" ref="BE108">IF(O108=_xlfn.XLOOKUP($B108,VmSpecs[[#All],[VM Name]],VmSpecs[[#All],[Route Table Name]],"Failed",0,1),"Pass","Fail")</f>
        <v>Fail</v>
      </c>
      <c r="BF108" t="str" cm="1">
        <f t="array" ref="BF108">IF(P108=_xlfn.XLOOKUP($B108,VmSpecs[[#All],[VM Name]],VmSpecs[[#All],[Operating System]],"Failed",0,1),"Pass","Fail")</f>
        <v>Fail</v>
      </c>
      <c r="BG108" t="str" cm="1">
        <f t="array" ref="BG108">IF(R108=_xlfn.XLOOKUP($B108,VmSpecs[[#All],[VM Name]],VmSpecs[[#All],[NIC name]],"Failed",0,1),"Pass","Fail")</f>
        <v>Fail</v>
      </c>
      <c r="BH108" t="str" cm="1">
        <f t="array" ref="BH108">IF(U108=_xlfn.XLOOKUP($B108,VmSpecs[[#All],[VM Name]],VmSpecs[[#All],[OS Disk Name]],"Failed",0,1),"Pass","Fail")</f>
        <v>Fail</v>
      </c>
      <c r="BI108" t="str" cm="1">
        <f t="array" ref="BI108">IF(W108=_xlfn.XLOOKUP($B108,VmSpecs[[#All],[VM Name]],VmSpecs[[#All],[OS Disk Size]],"Failed",0,1),"Pass","Fail")</f>
        <v>Fail</v>
      </c>
      <c r="BJ108" t="str" cm="1">
        <f t="array" ref="BJ108">IF(LEFT(X108,4)=LEFT(_xlfn.XLOOKUP($B108,VmSpecs[[#All],[VM Name]],VmSpecs[[#All],[OS Disk Type (Standard SSD etc)]],"Failed",0,1),4),"Pass","Fail")</f>
        <v>Fail</v>
      </c>
      <c r="BK108" t="str" cm="1">
        <f t="array" ref="BK108">IF(Z108=_xlfn.XLOOKUP($B108,VmSpecs[[#All],[VM Name]],VmSpecs[[#All],[Data Disk1 Name]],"Failed",0,1),"Pass","Fail")</f>
        <v>Fail</v>
      </c>
      <c r="BL108" t="str" cm="1">
        <f t="array" ref="BL108">IF(AA108=_xlfn.XLOOKUP($B108,VmSpecs[[#All],[VM Name]],VmSpecs[[#All],[Data Disk1 Size]],"Failed",0,1),"Pass","Fail")</f>
        <v>Fail</v>
      </c>
      <c r="BM108" t="str" cm="1">
        <f t="array" ref="BM108">IF(LEFT(AC108,4)=LEFT(_xlfn.XLOOKUP($B108,VmSpecs[[#All],[VM Name]],VmSpecs[[#All],[Data Disk1 Type]],"Failed",0,1),4),"Pass","Fail")</f>
        <v>Fail</v>
      </c>
      <c r="BO108" t="e">
        <f>VLOOKUP('VM Specs'!K108,'As Built'!B:B,1,FALSE)</f>
        <v>#N/A</v>
      </c>
      <c r="BP108" t="str">
        <f>IF(ISNA(Table613[[#This Row],[VM Build Sheet Check]]),'VM Specs'!K108,"")</f>
        <v>vmpfbpf2oes07</v>
      </c>
    </row>
    <row r="109" spans="1:68" ht="33" customHeight="1" x14ac:dyDescent="0.35">
      <c r="A109" t="str">
        <f>IF(COUNTIF(AsBuilt[[#This Row],[VM Check]:[Data Disk 1 Type Check]],"Fail")&gt;0,"Fail","Pass")</f>
        <v>Fail</v>
      </c>
      <c r="B109" t="s">
        <v>1504</v>
      </c>
      <c r="C109" t="s">
        <v>754</v>
      </c>
      <c r="D109" t="s">
        <v>755</v>
      </c>
      <c r="E109" t="s">
        <v>756</v>
      </c>
      <c r="F109" t="s">
        <v>757</v>
      </c>
      <c r="G109" t="s">
        <v>758</v>
      </c>
      <c r="H109" t="s">
        <v>1455</v>
      </c>
      <c r="J109" t="s">
        <v>760</v>
      </c>
      <c r="K109" t="s">
        <v>761</v>
      </c>
      <c r="L109" t="s">
        <v>754</v>
      </c>
      <c r="M109" t="s">
        <v>1505</v>
      </c>
      <c r="N109" t="s">
        <v>763</v>
      </c>
      <c r="O109" t="s">
        <v>764</v>
      </c>
      <c r="P109" t="s">
        <v>63</v>
      </c>
      <c r="R109" t="s">
        <v>1506</v>
      </c>
      <c r="S109" t="s">
        <v>754</v>
      </c>
      <c r="U109" t="s">
        <v>1507</v>
      </c>
      <c r="V109" t="s">
        <v>767</v>
      </c>
      <c r="W109">
        <v>64</v>
      </c>
      <c r="X109" t="s">
        <v>768</v>
      </c>
      <c r="Y109">
        <v>2</v>
      </c>
      <c r="Z109" t="s">
        <v>1508</v>
      </c>
      <c r="AA109">
        <v>8</v>
      </c>
      <c r="AB109" t="s">
        <v>770</v>
      </c>
      <c r="AC109" t="s">
        <v>768</v>
      </c>
      <c r="AD109" t="s">
        <v>1509</v>
      </c>
      <c r="AE109">
        <v>32</v>
      </c>
      <c r="AF109" t="s">
        <v>770</v>
      </c>
      <c r="AG109" t="s">
        <v>768</v>
      </c>
      <c r="AT109" t="s">
        <v>772</v>
      </c>
      <c r="AU109" t="s">
        <v>1510</v>
      </c>
      <c r="AV109" t="str" cm="1">
        <f t="array" ref="AV109">IF(B109=_xlfn.XLOOKUP(B109,VmSpecs[[#All],[VM Name]],VmSpecs[[#All],[VM Name]],"Failed",0,1),"Pass","Fail")</f>
        <v>Fail</v>
      </c>
      <c r="AW109" t="str" cm="1">
        <f t="array" ref="AW109">IF(D109=_xlfn.XLOOKUP($B109,VmSpecs[[#All],[VM Name]],VmSpecs[[#All],[Virtual Machine Resource Groups]],"Failed",0,1),"Pass","Fail")</f>
        <v>Fail</v>
      </c>
      <c r="AX109" t="str" cm="1">
        <f t="array" ref="AX109">IF(_xlfn.IFS(E109="australiacentral","Australia Central 1",E109="australiaeast","Australia East",E109="australiasoutheast","Australia SouthEast")=_xlfn.XLOOKUP($B109,VmSpecs[[#All],[VM Name]],VmSpecs[[#All],[Region]],"Failed",0,1),"Pass","Fail")</f>
        <v>Fail</v>
      </c>
      <c r="AY109" t="str" cm="1">
        <f t="array" ref="AY109">IF(F109=_xlfn.XLOOKUP($B109,VmSpecs[[#All],[VM Name]],VmSpecs[[#All],[Instance size]],"Failed",0,1),"Pass","Fail")</f>
        <v>Fail</v>
      </c>
      <c r="AZ109" t="str" cm="1">
        <f t="array" ref="AZ109">IF(LOWER(H109)=_xlfn.XLOOKUP($B109,VmSpecs[[#All],[VM Name]],VmSpecs[[#All],[Availability Set Name]],"Failed",0,1),"Pass","Fail")</f>
        <v>Fail</v>
      </c>
      <c r="BA109" t="str" cm="1">
        <f t="array" ref="BA109">IF(J109=_xlfn.XLOOKUP($B109,VmSpecs[[#All],[VM Name]],VmSpecs[[#All],[Virtual Network]],"Failed",0,1),"Pass","Fail")</f>
        <v>Fail</v>
      </c>
      <c r="BB109" t="str" cm="1">
        <f t="array" ref="BB109">IF(K109=_xlfn.XLOOKUP($B109,VmSpecs[[#All],[VM Name]],VmSpecs[[#All],[Subnet]],"Failed",0,1),"Pass","Fail")</f>
        <v>Fail</v>
      </c>
      <c r="BC109" t="str" cm="1">
        <f t="array" ref="BC109">IF(M109=_xlfn.XLOOKUP($B109,VmSpecs[[#All],[VM Name]],VmSpecs[[#All],[IP]],"Failed",0,1),"Pass","Fail")</f>
        <v>Fail</v>
      </c>
      <c r="BD109" t="str" cm="1">
        <f t="array" ref="BD109">IF(N109=_xlfn.XLOOKUP($B109,VmSpecs[[#All],[VM Name]],VmSpecs[[#All],[Network Security Group]],"Failed",0,1),"Pass","Fail")</f>
        <v>Fail</v>
      </c>
      <c r="BE109" t="str" cm="1">
        <f t="array" ref="BE109">IF(O109=_xlfn.XLOOKUP($B109,VmSpecs[[#All],[VM Name]],VmSpecs[[#All],[Route Table Name]],"Failed",0,1),"Pass","Fail")</f>
        <v>Fail</v>
      </c>
      <c r="BF109" t="str" cm="1">
        <f t="array" ref="BF109">IF(P109=_xlfn.XLOOKUP($B109,VmSpecs[[#All],[VM Name]],VmSpecs[[#All],[Operating System]],"Failed",0,1),"Pass","Fail")</f>
        <v>Fail</v>
      </c>
      <c r="BG109" t="str" cm="1">
        <f t="array" ref="BG109">IF(R109=_xlfn.XLOOKUP($B109,VmSpecs[[#All],[VM Name]],VmSpecs[[#All],[NIC name]],"Failed",0,1),"Pass","Fail")</f>
        <v>Fail</v>
      </c>
      <c r="BH109" t="str" cm="1">
        <f t="array" ref="BH109">IF(U109=_xlfn.XLOOKUP($B109,VmSpecs[[#All],[VM Name]],VmSpecs[[#All],[OS Disk Name]],"Failed",0,1),"Pass","Fail")</f>
        <v>Fail</v>
      </c>
      <c r="BI109" t="str" cm="1">
        <f t="array" ref="BI109">IF(W109=_xlfn.XLOOKUP($B109,VmSpecs[[#All],[VM Name]],VmSpecs[[#All],[OS Disk Size]],"Failed",0,1),"Pass","Fail")</f>
        <v>Fail</v>
      </c>
      <c r="BJ109" t="str" cm="1">
        <f t="array" ref="BJ109">IF(LEFT(X109,4)=LEFT(_xlfn.XLOOKUP($B109,VmSpecs[[#All],[VM Name]],VmSpecs[[#All],[OS Disk Type (Standard SSD etc)]],"Failed",0,1),4),"Pass","Fail")</f>
        <v>Fail</v>
      </c>
      <c r="BK109" t="str" cm="1">
        <f t="array" ref="BK109">IF(Z109=_xlfn.XLOOKUP($B109,VmSpecs[[#All],[VM Name]],VmSpecs[[#All],[Data Disk1 Name]],"Failed",0,1),"Pass","Fail")</f>
        <v>Fail</v>
      </c>
      <c r="BL109" t="str" cm="1">
        <f t="array" ref="BL109">IF(AA109=_xlfn.XLOOKUP($B109,VmSpecs[[#All],[VM Name]],VmSpecs[[#All],[Data Disk1 Size]],"Failed",0,1),"Pass","Fail")</f>
        <v>Fail</v>
      </c>
      <c r="BM109" t="str" cm="1">
        <f t="array" ref="BM109">IF(LEFT(AC109,4)=LEFT(_xlfn.XLOOKUP($B109,VmSpecs[[#All],[VM Name]],VmSpecs[[#All],[Data Disk1 Type]],"Failed",0,1),4),"Pass","Fail")</f>
        <v>Fail</v>
      </c>
      <c r="BO109" t="e">
        <f>VLOOKUP('VM Specs'!K109,'As Built'!B:B,1,FALSE)</f>
        <v>#N/A</v>
      </c>
      <c r="BP109" t="str">
        <f>IF(ISNA(Table613[[#This Row],[VM Build Sheet Check]]),'VM Specs'!K109,"")</f>
        <v>vmpfbpf2oes08</v>
      </c>
    </row>
    <row r="110" spans="1:68" ht="33" customHeight="1" x14ac:dyDescent="0.35">
      <c r="A110" t="str">
        <f>IF(COUNTIF(AsBuilt[[#This Row],[VM Check]:[Data Disk 1 Type Check]],"Fail")&gt;0,"Fail","Pass")</f>
        <v>Fail</v>
      </c>
      <c r="B110" t="s">
        <v>1511</v>
      </c>
      <c r="C110" t="s">
        <v>754</v>
      </c>
      <c r="D110" t="s">
        <v>755</v>
      </c>
      <c r="E110" t="s">
        <v>756</v>
      </c>
      <c r="F110" t="s">
        <v>757</v>
      </c>
      <c r="G110" t="s">
        <v>758</v>
      </c>
      <c r="H110" t="s">
        <v>1455</v>
      </c>
      <c r="J110" t="s">
        <v>760</v>
      </c>
      <c r="K110" t="s">
        <v>761</v>
      </c>
      <c r="L110" t="s">
        <v>754</v>
      </c>
      <c r="M110" t="s">
        <v>1512</v>
      </c>
      <c r="N110" t="s">
        <v>763</v>
      </c>
      <c r="O110" t="s">
        <v>764</v>
      </c>
      <c r="P110" t="s">
        <v>63</v>
      </c>
      <c r="R110" t="s">
        <v>1513</v>
      </c>
      <c r="S110" t="s">
        <v>754</v>
      </c>
      <c r="U110" t="s">
        <v>1514</v>
      </c>
      <c r="V110" t="s">
        <v>767</v>
      </c>
      <c r="W110">
        <v>64</v>
      </c>
      <c r="X110" t="s">
        <v>768</v>
      </c>
      <c r="Y110">
        <v>2</v>
      </c>
      <c r="Z110" t="s">
        <v>1515</v>
      </c>
      <c r="AA110">
        <v>8</v>
      </c>
      <c r="AB110" t="s">
        <v>770</v>
      </c>
      <c r="AC110" t="s">
        <v>768</v>
      </c>
      <c r="AD110" t="s">
        <v>1516</v>
      </c>
      <c r="AE110">
        <v>32</v>
      </c>
      <c r="AF110" t="s">
        <v>770</v>
      </c>
      <c r="AG110" t="s">
        <v>768</v>
      </c>
      <c r="AT110" t="s">
        <v>772</v>
      </c>
      <c r="AU110" t="s">
        <v>1517</v>
      </c>
      <c r="AV110" t="str" cm="1">
        <f t="array" ref="AV110">IF(B110=_xlfn.XLOOKUP(B110,VmSpecs[[#All],[VM Name]],VmSpecs[[#All],[VM Name]],"Failed",0,1),"Pass","Fail")</f>
        <v>Fail</v>
      </c>
      <c r="AW110" t="str" cm="1">
        <f t="array" ref="AW110">IF(D110=_xlfn.XLOOKUP($B110,VmSpecs[[#All],[VM Name]],VmSpecs[[#All],[Virtual Machine Resource Groups]],"Failed",0,1),"Pass","Fail")</f>
        <v>Fail</v>
      </c>
      <c r="AX110" t="str" cm="1">
        <f t="array" ref="AX110">IF(_xlfn.IFS(E110="australiacentral","Australia Central 1",E110="australiaeast","Australia East",E110="australiasoutheast","Australia SouthEast")=_xlfn.XLOOKUP($B110,VmSpecs[[#All],[VM Name]],VmSpecs[[#All],[Region]],"Failed",0,1),"Pass","Fail")</f>
        <v>Fail</v>
      </c>
      <c r="AY110" t="str" cm="1">
        <f t="array" ref="AY110">IF(F110=_xlfn.XLOOKUP($B110,VmSpecs[[#All],[VM Name]],VmSpecs[[#All],[Instance size]],"Failed",0,1),"Pass","Fail")</f>
        <v>Fail</v>
      </c>
      <c r="AZ110" t="str" cm="1">
        <f t="array" ref="AZ110">IF(LOWER(H110)=_xlfn.XLOOKUP($B110,VmSpecs[[#All],[VM Name]],VmSpecs[[#All],[Availability Set Name]],"Failed",0,1),"Pass","Fail")</f>
        <v>Fail</v>
      </c>
      <c r="BA110" t="str" cm="1">
        <f t="array" ref="BA110">IF(J110=_xlfn.XLOOKUP($B110,VmSpecs[[#All],[VM Name]],VmSpecs[[#All],[Virtual Network]],"Failed",0,1),"Pass","Fail")</f>
        <v>Fail</v>
      </c>
      <c r="BB110" t="str" cm="1">
        <f t="array" ref="BB110">IF(K110=_xlfn.XLOOKUP($B110,VmSpecs[[#All],[VM Name]],VmSpecs[[#All],[Subnet]],"Failed",0,1),"Pass","Fail")</f>
        <v>Fail</v>
      </c>
      <c r="BC110" t="str" cm="1">
        <f t="array" ref="BC110">IF(M110=_xlfn.XLOOKUP($B110,VmSpecs[[#All],[VM Name]],VmSpecs[[#All],[IP]],"Failed",0,1),"Pass","Fail")</f>
        <v>Fail</v>
      </c>
      <c r="BD110" t="str" cm="1">
        <f t="array" ref="BD110">IF(N110=_xlfn.XLOOKUP($B110,VmSpecs[[#All],[VM Name]],VmSpecs[[#All],[Network Security Group]],"Failed",0,1),"Pass","Fail")</f>
        <v>Fail</v>
      </c>
      <c r="BE110" t="str" cm="1">
        <f t="array" ref="BE110">IF(O110=_xlfn.XLOOKUP($B110,VmSpecs[[#All],[VM Name]],VmSpecs[[#All],[Route Table Name]],"Failed",0,1),"Pass","Fail")</f>
        <v>Fail</v>
      </c>
      <c r="BF110" t="str" cm="1">
        <f t="array" ref="BF110">IF(P110=_xlfn.XLOOKUP($B110,VmSpecs[[#All],[VM Name]],VmSpecs[[#All],[Operating System]],"Failed",0,1),"Pass","Fail")</f>
        <v>Fail</v>
      </c>
      <c r="BG110" t="str" cm="1">
        <f t="array" ref="BG110">IF(R110=_xlfn.XLOOKUP($B110,VmSpecs[[#All],[VM Name]],VmSpecs[[#All],[NIC name]],"Failed",0,1),"Pass","Fail")</f>
        <v>Fail</v>
      </c>
      <c r="BH110" t="str" cm="1">
        <f t="array" ref="BH110">IF(U110=_xlfn.XLOOKUP($B110,VmSpecs[[#All],[VM Name]],VmSpecs[[#All],[OS Disk Name]],"Failed",0,1),"Pass","Fail")</f>
        <v>Fail</v>
      </c>
      <c r="BI110" t="str" cm="1">
        <f t="array" ref="BI110">IF(W110=_xlfn.XLOOKUP($B110,VmSpecs[[#All],[VM Name]],VmSpecs[[#All],[OS Disk Size]],"Failed",0,1),"Pass","Fail")</f>
        <v>Fail</v>
      </c>
      <c r="BJ110" t="str" cm="1">
        <f t="array" ref="BJ110">IF(LEFT(X110,4)=LEFT(_xlfn.XLOOKUP($B110,VmSpecs[[#All],[VM Name]],VmSpecs[[#All],[OS Disk Type (Standard SSD etc)]],"Failed",0,1),4),"Pass","Fail")</f>
        <v>Fail</v>
      </c>
      <c r="BK110" t="str" cm="1">
        <f t="array" ref="BK110">IF(Z110=_xlfn.XLOOKUP($B110,VmSpecs[[#All],[VM Name]],VmSpecs[[#All],[Data Disk1 Name]],"Failed",0,1),"Pass","Fail")</f>
        <v>Fail</v>
      </c>
      <c r="BL110" t="str" cm="1">
        <f t="array" ref="BL110">IF(AA110=_xlfn.XLOOKUP($B110,VmSpecs[[#All],[VM Name]],VmSpecs[[#All],[Data Disk1 Size]],"Failed",0,1),"Pass","Fail")</f>
        <v>Fail</v>
      </c>
      <c r="BM110" t="str" cm="1">
        <f t="array" ref="BM110">IF(LEFT(AC110,4)=LEFT(_xlfn.XLOOKUP($B110,VmSpecs[[#All],[VM Name]],VmSpecs[[#All],[Data Disk1 Type]],"Failed",0,1),4),"Pass","Fail")</f>
        <v>Fail</v>
      </c>
      <c r="BO110" t="e">
        <f>VLOOKUP('VM Specs'!K110,'As Built'!B:B,1,FALSE)</f>
        <v>#N/A</v>
      </c>
      <c r="BP110" t="str">
        <f>IF(ISNA(Table613[[#This Row],[VM Build Sheet Check]]),'VM Specs'!K110,"")</f>
        <v>vmpfbpf2oes09</v>
      </c>
    </row>
    <row r="111" spans="1:68" ht="33" customHeight="1" x14ac:dyDescent="0.35">
      <c r="A111" t="str">
        <f>IF(COUNTIF(AsBuilt[[#This Row],[VM Check]:[Data Disk 1 Type Check]],"Fail")&gt;0,"Fail","Pass")</f>
        <v>Fail</v>
      </c>
      <c r="B111" t="s">
        <v>1518</v>
      </c>
      <c r="C111" t="s">
        <v>754</v>
      </c>
      <c r="D111" t="s">
        <v>755</v>
      </c>
      <c r="E111" t="s">
        <v>756</v>
      </c>
      <c r="F111" t="s">
        <v>757</v>
      </c>
      <c r="G111" t="s">
        <v>758</v>
      </c>
      <c r="H111" t="s">
        <v>1455</v>
      </c>
      <c r="J111" t="s">
        <v>760</v>
      </c>
      <c r="K111" t="s">
        <v>761</v>
      </c>
      <c r="L111" t="s">
        <v>754</v>
      </c>
      <c r="M111" t="s">
        <v>1519</v>
      </c>
      <c r="N111" t="s">
        <v>763</v>
      </c>
      <c r="O111" t="s">
        <v>764</v>
      </c>
      <c r="P111" t="s">
        <v>63</v>
      </c>
      <c r="R111" t="s">
        <v>1520</v>
      </c>
      <c r="S111" t="s">
        <v>754</v>
      </c>
      <c r="U111" t="s">
        <v>1521</v>
      </c>
      <c r="V111" t="s">
        <v>767</v>
      </c>
      <c r="W111">
        <v>64</v>
      </c>
      <c r="X111" t="s">
        <v>768</v>
      </c>
      <c r="Y111">
        <v>2</v>
      </c>
      <c r="Z111" t="s">
        <v>1522</v>
      </c>
      <c r="AA111">
        <v>8</v>
      </c>
      <c r="AB111" t="s">
        <v>770</v>
      </c>
      <c r="AC111" t="s">
        <v>768</v>
      </c>
      <c r="AD111" t="s">
        <v>1523</v>
      </c>
      <c r="AE111">
        <v>32</v>
      </c>
      <c r="AF111" t="s">
        <v>770</v>
      </c>
      <c r="AG111" t="s">
        <v>768</v>
      </c>
      <c r="AT111" t="s">
        <v>772</v>
      </c>
      <c r="AU111" t="s">
        <v>1524</v>
      </c>
      <c r="AV111" t="str" cm="1">
        <f t="array" ref="AV111">IF(B111=_xlfn.XLOOKUP(B111,VmSpecs[[#All],[VM Name]],VmSpecs[[#All],[VM Name]],"Failed",0,1),"Pass","Fail")</f>
        <v>Fail</v>
      </c>
      <c r="AW111" t="str" cm="1">
        <f t="array" ref="AW111">IF(D111=_xlfn.XLOOKUP($B111,VmSpecs[[#All],[VM Name]],VmSpecs[[#All],[Virtual Machine Resource Groups]],"Failed",0,1),"Pass","Fail")</f>
        <v>Fail</v>
      </c>
      <c r="AX111" t="str" cm="1">
        <f t="array" ref="AX111">IF(_xlfn.IFS(E111="australiacentral","Australia Central 1",E111="australiaeast","Australia East",E111="australiasoutheast","Australia SouthEast")=_xlfn.XLOOKUP($B111,VmSpecs[[#All],[VM Name]],VmSpecs[[#All],[Region]],"Failed",0,1),"Pass","Fail")</f>
        <v>Fail</v>
      </c>
      <c r="AY111" t="str" cm="1">
        <f t="array" ref="AY111">IF(F111=_xlfn.XLOOKUP($B111,VmSpecs[[#All],[VM Name]],VmSpecs[[#All],[Instance size]],"Failed",0,1),"Pass","Fail")</f>
        <v>Fail</v>
      </c>
      <c r="AZ111" t="str" cm="1">
        <f t="array" ref="AZ111">IF(LOWER(H111)=_xlfn.XLOOKUP($B111,VmSpecs[[#All],[VM Name]],VmSpecs[[#All],[Availability Set Name]],"Failed",0,1),"Pass","Fail")</f>
        <v>Fail</v>
      </c>
      <c r="BA111" t="str" cm="1">
        <f t="array" ref="BA111">IF(J111=_xlfn.XLOOKUP($B111,VmSpecs[[#All],[VM Name]],VmSpecs[[#All],[Virtual Network]],"Failed",0,1),"Pass","Fail")</f>
        <v>Fail</v>
      </c>
      <c r="BB111" t="str" cm="1">
        <f t="array" ref="BB111">IF(K111=_xlfn.XLOOKUP($B111,VmSpecs[[#All],[VM Name]],VmSpecs[[#All],[Subnet]],"Failed",0,1),"Pass","Fail")</f>
        <v>Fail</v>
      </c>
      <c r="BC111" t="str" cm="1">
        <f t="array" ref="BC111">IF(M111=_xlfn.XLOOKUP($B111,VmSpecs[[#All],[VM Name]],VmSpecs[[#All],[IP]],"Failed",0,1),"Pass","Fail")</f>
        <v>Fail</v>
      </c>
      <c r="BD111" t="str" cm="1">
        <f t="array" ref="BD111">IF(N111=_xlfn.XLOOKUP($B111,VmSpecs[[#All],[VM Name]],VmSpecs[[#All],[Network Security Group]],"Failed",0,1),"Pass","Fail")</f>
        <v>Fail</v>
      </c>
      <c r="BE111" t="str" cm="1">
        <f t="array" ref="BE111">IF(O111=_xlfn.XLOOKUP($B111,VmSpecs[[#All],[VM Name]],VmSpecs[[#All],[Route Table Name]],"Failed",0,1),"Pass","Fail")</f>
        <v>Fail</v>
      </c>
      <c r="BF111" t="str" cm="1">
        <f t="array" ref="BF111">IF(P111=_xlfn.XLOOKUP($B111,VmSpecs[[#All],[VM Name]],VmSpecs[[#All],[Operating System]],"Failed",0,1),"Pass","Fail")</f>
        <v>Fail</v>
      </c>
      <c r="BG111" t="str" cm="1">
        <f t="array" ref="BG111">IF(R111=_xlfn.XLOOKUP($B111,VmSpecs[[#All],[VM Name]],VmSpecs[[#All],[NIC name]],"Failed",0,1),"Pass","Fail")</f>
        <v>Fail</v>
      </c>
      <c r="BH111" t="str" cm="1">
        <f t="array" ref="BH111">IF(U111=_xlfn.XLOOKUP($B111,VmSpecs[[#All],[VM Name]],VmSpecs[[#All],[OS Disk Name]],"Failed",0,1),"Pass","Fail")</f>
        <v>Fail</v>
      </c>
      <c r="BI111" t="str" cm="1">
        <f t="array" ref="BI111">IF(W111=_xlfn.XLOOKUP($B111,VmSpecs[[#All],[VM Name]],VmSpecs[[#All],[OS Disk Size]],"Failed",0,1),"Pass","Fail")</f>
        <v>Fail</v>
      </c>
      <c r="BJ111" t="str" cm="1">
        <f t="array" ref="BJ111">IF(LEFT(X111,4)=LEFT(_xlfn.XLOOKUP($B111,VmSpecs[[#All],[VM Name]],VmSpecs[[#All],[OS Disk Type (Standard SSD etc)]],"Failed",0,1),4),"Pass","Fail")</f>
        <v>Fail</v>
      </c>
      <c r="BK111" t="str" cm="1">
        <f t="array" ref="BK111">IF(Z111=_xlfn.XLOOKUP($B111,VmSpecs[[#All],[VM Name]],VmSpecs[[#All],[Data Disk1 Name]],"Failed",0,1),"Pass","Fail")</f>
        <v>Fail</v>
      </c>
      <c r="BL111" t="str" cm="1">
        <f t="array" ref="BL111">IF(AA111=_xlfn.XLOOKUP($B111,VmSpecs[[#All],[VM Name]],VmSpecs[[#All],[Data Disk1 Size]],"Failed",0,1),"Pass","Fail")</f>
        <v>Fail</v>
      </c>
      <c r="BM111" t="str" cm="1">
        <f t="array" ref="BM111">IF(LEFT(AC111,4)=LEFT(_xlfn.XLOOKUP($B111,VmSpecs[[#All],[VM Name]],VmSpecs[[#All],[Data Disk1 Type]],"Failed",0,1),4),"Pass","Fail")</f>
        <v>Fail</v>
      </c>
      <c r="BO111" t="e">
        <f>VLOOKUP('VM Specs'!K111,'As Built'!B:B,1,FALSE)</f>
        <v>#N/A</v>
      </c>
      <c r="BP111" t="str">
        <f>IF(ISNA(Table613[[#This Row],[VM Build Sheet Check]]),'VM Specs'!K111,"")</f>
        <v>vmpfbpf2oes10</v>
      </c>
    </row>
    <row r="112" spans="1:68" ht="33" customHeight="1" x14ac:dyDescent="0.35">
      <c r="A112" t="str">
        <f>IF(COUNTIF(AsBuilt[[#This Row],[VM Check]:[Data Disk 1 Type Check]],"Fail")&gt;0,"Fail","Pass")</f>
        <v>Fail</v>
      </c>
      <c r="B112" t="s">
        <v>1525</v>
      </c>
      <c r="C112" t="s">
        <v>754</v>
      </c>
      <c r="D112" t="s">
        <v>755</v>
      </c>
      <c r="E112" t="s">
        <v>756</v>
      </c>
      <c r="F112" t="s">
        <v>757</v>
      </c>
      <c r="G112" t="s">
        <v>758</v>
      </c>
      <c r="H112" t="s">
        <v>1455</v>
      </c>
      <c r="J112" t="s">
        <v>760</v>
      </c>
      <c r="K112" t="s">
        <v>761</v>
      </c>
      <c r="L112" t="s">
        <v>754</v>
      </c>
      <c r="M112" t="s">
        <v>1526</v>
      </c>
      <c r="N112" t="s">
        <v>763</v>
      </c>
      <c r="O112" t="s">
        <v>764</v>
      </c>
      <c r="P112" t="s">
        <v>63</v>
      </c>
      <c r="R112" t="s">
        <v>1527</v>
      </c>
      <c r="S112" t="s">
        <v>754</v>
      </c>
      <c r="U112" t="s">
        <v>1528</v>
      </c>
      <c r="V112" t="s">
        <v>767</v>
      </c>
      <c r="W112">
        <v>64</v>
      </c>
      <c r="X112" t="s">
        <v>768</v>
      </c>
      <c r="Y112">
        <v>2</v>
      </c>
      <c r="Z112" t="s">
        <v>1529</v>
      </c>
      <c r="AA112">
        <v>8</v>
      </c>
      <c r="AB112" t="s">
        <v>770</v>
      </c>
      <c r="AC112" t="s">
        <v>768</v>
      </c>
      <c r="AD112" t="s">
        <v>1530</v>
      </c>
      <c r="AE112">
        <v>32</v>
      </c>
      <c r="AF112" t="s">
        <v>770</v>
      </c>
      <c r="AG112" t="s">
        <v>768</v>
      </c>
      <c r="AT112" t="s">
        <v>772</v>
      </c>
      <c r="AU112" t="s">
        <v>1531</v>
      </c>
      <c r="AV112" t="str" cm="1">
        <f t="array" ref="AV112">IF(B112=_xlfn.XLOOKUP(B112,VmSpecs[[#All],[VM Name]],VmSpecs[[#All],[VM Name]],"Failed",0,1),"Pass","Fail")</f>
        <v>Fail</v>
      </c>
      <c r="AW112" t="str" cm="1">
        <f t="array" ref="AW112">IF(D112=_xlfn.XLOOKUP($B112,VmSpecs[[#All],[VM Name]],VmSpecs[[#All],[Virtual Machine Resource Groups]],"Failed",0,1),"Pass","Fail")</f>
        <v>Fail</v>
      </c>
      <c r="AX112" t="str" cm="1">
        <f t="array" ref="AX112">IF(_xlfn.IFS(E112="australiacentral","Australia Central 1",E112="australiaeast","Australia East",E112="australiasoutheast","Australia SouthEast")=_xlfn.XLOOKUP($B112,VmSpecs[[#All],[VM Name]],VmSpecs[[#All],[Region]],"Failed",0,1),"Pass","Fail")</f>
        <v>Fail</v>
      </c>
      <c r="AY112" t="str" cm="1">
        <f t="array" ref="AY112">IF(F112=_xlfn.XLOOKUP($B112,VmSpecs[[#All],[VM Name]],VmSpecs[[#All],[Instance size]],"Failed",0,1),"Pass","Fail")</f>
        <v>Fail</v>
      </c>
      <c r="AZ112" t="str" cm="1">
        <f t="array" ref="AZ112">IF(LOWER(H112)=_xlfn.XLOOKUP($B112,VmSpecs[[#All],[VM Name]],VmSpecs[[#All],[Availability Set Name]],"Failed",0,1),"Pass","Fail")</f>
        <v>Fail</v>
      </c>
      <c r="BA112" t="str" cm="1">
        <f t="array" ref="BA112">IF(J112=_xlfn.XLOOKUP($B112,VmSpecs[[#All],[VM Name]],VmSpecs[[#All],[Virtual Network]],"Failed",0,1),"Pass","Fail")</f>
        <v>Fail</v>
      </c>
      <c r="BB112" t="str" cm="1">
        <f t="array" ref="BB112">IF(K112=_xlfn.XLOOKUP($B112,VmSpecs[[#All],[VM Name]],VmSpecs[[#All],[Subnet]],"Failed",0,1),"Pass","Fail")</f>
        <v>Fail</v>
      </c>
      <c r="BC112" t="str" cm="1">
        <f t="array" ref="BC112">IF(M112=_xlfn.XLOOKUP($B112,VmSpecs[[#All],[VM Name]],VmSpecs[[#All],[IP]],"Failed",0,1),"Pass","Fail")</f>
        <v>Fail</v>
      </c>
      <c r="BD112" t="str" cm="1">
        <f t="array" ref="BD112">IF(N112=_xlfn.XLOOKUP($B112,VmSpecs[[#All],[VM Name]],VmSpecs[[#All],[Network Security Group]],"Failed",0,1),"Pass","Fail")</f>
        <v>Fail</v>
      </c>
      <c r="BE112" t="str" cm="1">
        <f t="array" ref="BE112">IF(O112=_xlfn.XLOOKUP($B112,VmSpecs[[#All],[VM Name]],VmSpecs[[#All],[Route Table Name]],"Failed",0,1),"Pass","Fail")</f>
        <v>Fail</v>
      </c>
      <c r="BF112" t="str" cm="1">
        <f t="array" ref="BF112">IF(P112=_xlfn.XLOOKUP($B112,VmSpecs[[#All],[VM Name]],VmSpecs[[#All],[Operating System]],"Failed",0,1),"Pass","Fail")</f>
        <v>Fail</v>
      </c>
      <c r="BG112" t="str" cm="1">
        <f t="array" ref="BG112">IF(R112=_xlfn.XLOOKUP($B112,VmSpecs[[#All],[VM Name]],VmSpecs[[#All],[NIC name]],"Failed",0,1),"Pass","Fail")</f>
        <v>Fail</v>
      </c>
      <c r="BH112" t="str" cm="1">
        <f t="array" ref="BH112">IF(U112=_xlfn.XLOOKUP($B112,VmSpecs[[#All],[VM Name]],VmSpecs[[#All],[OS Disk Name]],"Failed",0,1),"Pass","Fail")</f>
        <v>Fail</v>
      </c>
      <c r="BI112" t="str" cm="1">
        <f t="array" ref="BI112">IF(W112=_xlfn.XLOOKUP($B112,VmSpecs[[#All],[VM Name]],VmSpecs[[#All],[OS Disk Size]],"Failed",0,1),"Pass","Fail")</f>
        <v>Fail</v>
      </c>
      <c r="BJ112" t="str" cm="1">
        <f t="array" ref="BJ112">IF(LEFT(X112,4)=LEFT(_xlfn.XLOOKUP($B112,VmSpecs[[#All],[VM Name]],VmSpecs[[#All],[OS Disk Type (Standard SSD etc)]],"Failed",0,1),4),"Pass","Fail")</f>
        <v>Fail</v>
      </c>
      <c r="BK112" t="str" cm="1">
        <f t="array" ref="BK112">IF(Z112=_xlfn.XLOOKUP($B112,VmSpecs[[#All],[VM Name]],VmSpecs[[#All],[Data Disk1 Name]],"Failed",0,1),"Pass","Fail")</f>
        <v>Fail</v>
      </c>
      <c r="BL112" t="str" cm="1">
        <f t="array" ref="BL112">IF(AA112=_xlfn.XLOOKUP($B112,VmSpecs[[#All],[VM Name]],VmSpecs[[#All],[Data Disk1 Size]],"Failed",0,1),"Pass","Fail")</f>
        <v>Fail</v>
      </c>
      <c r="BM112" t="str" cm="1">
        <f t="array" ref="BM112">IF(LEFT(AC112,4)=LEFT(_xlfn.XLOOKUP($B112,VmSpecs[[#All],[VM Name]],VmSpecs[[#All],[Data Disk1 Type]],"Failed",0,1),4),"Pass","Fail")</f>
        <v>Fail</v>
      </c>
      <c r="BO112" t="e">
        <f>VLOOKUP('VM Specs'!K112,'As Built'!B:B,1,FALSE)</f>
        <v>#N/A</v>
      </c>
      <c r="BP112" t="str">
        <f>IF(ISNA(Table613[[#This Row],[VM Build Sheet Check]]),'VM Specs'!K112,"")</f>
        <v>vmpfbpf2oes11</v>
      </c>
    </row>
    <row r="113" spans="1:68" ht="33" customHeight="1" x14ac:dyDescent="0.35">
      <c r="A113" t="str">
        <f>IF(COUNTIF(AsBuilt[[#This Row],[VM Check]:[Data Disk 1 Type Check]],"Fail")&gt;0,"Fail","Pass")</f>
        <v>Fail</v>
      </c>
      <c r="B113" t="s">
        <v>1532</v>
      </c>
      <c r="C113" t="s">
        <v>754</v>
      </c>
      <c r="D113" t="s">
        <v>755</v>
      </c>
      <c r="E113" t="s">
        <v>756</v>
      </c>
      <c r="F113" t="s">
        <v>757</v>
      </c>
      <c r="G113" t="s">
        <v>758</v>
      </c>
      <c r="H113" t="s">
        <v>1455</v>
      </c>
      <c r="J113" t="s">
        <v>760</v>
      </c>
      <c r="K113" t="s">
        <v>761</v>
      </c>
      <c r="L113" t="s">
        <v>754</v>
      </c>
      <c r="M113" t="s">
        <v>1533</v>
      </c>
      <c r="N113" t="s">
        <v>763</v>
      </c>
      <c r="O113" t="s">
        <v>764</v>
      </c>
      <c r="P113" t="s">
        <v>63</v>
      </c>
      <c r="R113" t="s">
        <v>1534</v>
      </c>
      <c r="S113" t="s">
        <v>754</v>
      </c>
      <c r="U113" t="s">
        <v>1535</v>
      </c>
      <c r="V113" t="s">
        <v>767</v>
      </c>
      <c r="W113">
        <v>64</v>
      </c>
      <c r="X113" t="s">
        <v>768</v>
      </c>
      <c r="Y113">
        <v>2</v>
      </c>
      <c r="Z113" t="s">
        <v>1536</v>
      </c>
      <c r="AA113">
        <v>8</v>
      </c>
      <c r="AB113" t="s">
        <v>770</v>
      </c>
      <c r="AC113" t="s">
        <v>768</v>
      </c>
      <c r="AD113" t="s">
        <v>1537</v>
      </c>
      <c r="AE113">
        <v>32</v>
      </c>
      <c r="AF113" t="s">
        <v>770</v>
      </c>
      <c r="AG113" t="s">
        <v>768</v>
      </c>
      <c r="AT113" t="s">
        <v>772</v>
      </c>
      <c r="AU113" t="s">
        <v>1538</v>
      </c>
      <c r="AV113" t="str" cm="1">
        <f t="array" ref="AV113">IF(B113=_xlfn.XLOOKUP(B113,VmSpecs[[#All],[VM Name]],VmSpecs[[#All],[VM Name]],"Failed",0,1),"Pass","Fail")</f>
        <v>Fail</v>
      </c>
      <c r="AW113" t="str" cm="1">
        <f t="array" ref="AW113">IF(D113=_xlfn.XLOOKUP($B113,VmSpecs[[#All],[VM Name]],VmSpecs[[#All],[Virtual Machine Resource Groups]],"Failed",0,1),"Pass","Fail")</f>
        <v>Fail</v>
      </c>
      <c r="AX113" t="str" cm="1">
        <f t="array" ref="AX113">IF(_xlfn.IFS(E113="australiacentral","Australia Central 1",E113="australiaeast","Australia East",E113="australiasoutheast","Australia SouthEast")=_xlfn.XLOOKUP($B113,VmSpecs[[#All],[VM Name]],VmSpecs[[#All],[Region]],"Failed",0,1),"Pass","Fail")</f>
        <v>Fail</v>
      </c>
      <c r="AY113" t="str" cm="1">
        <f t="array" ref="AY113">IF(F113=_xlfn.XLOOKUP($B113,VmSpecs[[#All],[VM Name]],VmSpecs[[#All],[Instance size]],"Failed",0,1),"Pass","Fail")</f>
        <v>Fail</v>
      </c>
      <c r="AZ113" t="str" cm="1">
        <f t="array" ref="AZ113">IF(LOWER(H113)=_xlfn.XLOOKUP($B113,VmSpecs[[#All],[VM Name]],VmSpecs[[#All],[Availability Set Name]],"Failed",0,1),"Pass","Fail")</f>
        <v>Fail</v>
      </c>
      <c r="BA113" t="str" cm="1">
        <f t="array" ref="BA113">IF(J113=_xlfn.XLOOKUP($B113,VmSpecs[[#All],[VM Name]],VmSpecs[[#All],[Virtual Network]],"Failed",0,1),"Pass","Fail")</f>
        <v>Fail</v>
      </c>
      <c r="BB113" t="str" cm="1">
        <f t="array" ref="BB113">IF(K113=_xlfn.XLOOKUP($B113,VmSpecs[[#All],[VM Name]],VmSpecs[[#All],[Subnet]],"Failed",0,1),"Pass","Fail")</f>
        <v>Fail</v>
      </c>
      <c r="BC113" t="str" cm="1">
        <f t="array" ref="BC113">IF(M113=_xlfn.XLOOKUP($B113,VmSpecs[[#All],[VM Name]],VmSpecs[[#All],[IP]],"Failed",0,1),"Pass","Fail")</f>
        <v>Fail</v>
      </c>
      <c r="BD113" t="str" cm="1">
        <f t="array" ref="BD113">IF(N113=_xlfn.XLOOKUP($B113,VmSpecs[[#All],[VM Name]],VmSpecs[[#All],[Network Security Group]],"Failed",0,1),"Pass","Fail")</f>
        <v>Fail</v>
      </c>
      <c r="BE113" t="str" cm="1">
        <f t="array" ref="BE113">IF(O113=_xlfn.XLOOKUP($B113,VmSpecs[[#All],[VM Name]],VmSpecs[[#All],[Route Table Name]],"Failed",0,1),"Pass","Fail")</f>
        <v>Fail</v>
      </c>
      <c r="BF113" t="str" cm="1">
        <f t="array" ref="BF113">IF(P113=_xlfn.XLOOKUP($B113,VmSpecs[[#All],[VM Name]],VmSpecs[[#All],[Operating System]],"Failed",0,1),"Pass","Fail")</f>
        <v>Fail</v>
      </c>
      <c r="BG113" t="str" cm="1">
        <f t="array" ref="BG113">IF(R113=_xlfn.XLOOKUP($B113,VmSpecs[[#All],[VM Name]],VmSpecs[[#All],[NIC name]],"Failed",0,1),"Pass","Fail")</f>
        <v>Fail</v>
      </c>
      <c r="BH113" t="str" cm="1">
        <f t="array" ref="BH113">IF(U113=_xlfn.XLOOKUP($B113,VmSpecs[[#All],[VM Name]],VmSpecs[[#All],[OS Disk Name]],"Failed",0,1),"Pass","Fail")</f>
        <v>Fail</v>
      </c>
      <c r="BI113" t="str" cm="1">
        <f t="array" ref="BI113">IF(W113=_xlfn.XLOOKUP($B113,VmSpecs[[#All],[VM Name]],VmSpecs[[#All],[OS Disk Size]],"Failed",0,1),"Pass","Fail")</f>
        <v>Fail</v>
      </c>
      <c r="BJ113" t="str" cm="1">
        <f t="array" ref="BJ113">IF(LEFT(X113,4)=LEFT(_xlfn.XLOOKUP($B113,VmSpecs[[#All],[VM Name]],VmSpecs[[#All],[OS Disk Type (Standard SSD etc)]],"Failed",0,1),4),"Pass","Fail")</f>
        <v>Fail</v>
      </c>
      <c r="BK113" t="str" cm="1">
        <f t="array" ref="BK113">IF(Z113=_xlfn.XLOOKUP($B113,VmSpecs[[#All],[VM Name]],VmSpecs[[#All],[Data Disk1 Name]],"Failed",0,1),"Pass","Fail")</f>
        <v>Fail</v>
      </c>
      <c r="BL113" t="str" cm="1">
        <f t="array" ref="BL113">IF(AA113=_xlfn.XLOOKUP($B113,VmSpecs[[#All],[VM Name]],VmSpecs[[#All],[Data Disk1 Size]],"Failed",0,1),"Pass","Fail")</f>
        <v>Fail</v>
      </c>
      <c r="BM113" t="str" cm="1">
        <f t="array" ref="BM113">IF(LEFT(AC113,4)=LEFT(_xlfn.XLOOKUP($B113,VmSpecs[[#All],[VM Name]],VmSpecs[[#All],[Data Disk1 Type]],"Failed",0,1),4),"Pass","Fail")</f>
        <v>Fail</v>
      </c>
      <c r="BO113" t="e">
        <f>VLOOKUP('VM Specs'!K113,'As Built'!B:B,1,FALSE)</f>
        <v>#N/A</v>
      </c>
      <c r="BP113" t="str">
        <f>IF(ISNA(Table613[[#This Row],[VM Build Sheet Check]]),'VM Specs'!K113,"")</f>
        <v>vmpfbpf2oes12</v>
      </c>
    </row>
    <row r="114" spans="1:68" ht="33" customHeight="1" x14ac:dyDescent="0.35">
      <c r="A114" t="str">
        <f>IF(COUNTIF(AsBuilt[[#This Row],[VM Check]:[Data Disk 1 Type Check]],"Fail")&gt;0,"Fail","Pass")</f>
        <v>Fail</v>
      </c>
      <c r="B114" t="s">
        <v>1539</v>
      </c>
      <c r="C114" t="s">
        <v>754</v>
      </c>
      <c r="D114" t="s">
        <v>755</v>
      </c>
      <c r="E114" t="s">
        <v>756</v>
      </c>
      <c r="F114" t="s">
        <v>757</v>
      </c>
      <c r="G114" t="s">
        <v>758</v>
      </c>
      <c r="H114" t="s">
        <v>1455</v>
      </c>
      <c r="J114" t="s">
        <v>760</v>
      </c>
      <c r="K114" t="s">
        <v>761</v>
      </c>
      <c r="L114" t="s">
        <v>754</v>
      </c>
      <c r="M114" t="s">
        <v>1540</v>
      </c>
      <c r="N114" t="s">
        <v>763</v>
      </c>
      <c r="O114" t="s">
        <v>764</v>
      </c>
      <c r="P114" t="s">
        <v>63</v>
      </c>
      <c r="R114" t="s">
        <v>1541</v>
      </c>
      <c r="S114" t="s">
        <v>754</v>
      </c>
      <c r="U114" t="s">
        <v>1542</v>
      </c>
      <c r="V114" t="s">
        <v>767</v>
      </c>
      <c r="W114">
        <v>64</v>
      </c>
      <c r="X114" t="s">
        <v>768</v>
      </c>
      <c r="Y114">
        <v>2</v>
      </c>
      <c r="Z114" t="s">
        <v>1543</v>
      </c>
      <c r="AA114">
        <v>8</v>
      </c>
      <c r="AB114" t="s">
        <v>770</v>
      </c>
      <c r="AC114" t="s">
        <v>768</v>
      </c>
      <c r="AD114" t="s">
        <v>1544</v>
      </c>
      <c r="AE114">
        <v>32</v>
      </c>
      <c r="AF114" t="s">
        <v>770</v>
      </c>
      <c r="AG114" t="s">
        <v>768</v>
      </c>
      <c r="AT114" t="s">
        <v>772</v>
      </c>
      <c r="AU114" t="s">
        <v>1545</v>
      </c>
      <c r="AV114" t="str" cm="1">
        <f t="array" ref="AV114">IF(B114=_xlfn.XLOOKUP(B114,VmSpecs[[#All],[VM Name]],VmSpecs[[#All],[VM Name]],"Failed",0,1),"Pass","Fail")</f>
        <v>Fail</v>
      </c>
      <c r="AW114" t="str" cm="1">
        <f t="array" ref="AW114">IF(D114=_xlfn.XLOOKUP($B114,VmSpecs[[#All],[VM Name]],VmSpecs[[#All],[Virtual Machine Resource Groups]],"Failed",0,1),"Pass","Fail")</f>
        <v>Fail</v>
      </c>
      <c r="AX114" t="str" cm="1">
        <f t="array" ref="AX114">IF(_xlfn.IFS(E114="australiacentral","Australia Central 1",E114="australiaeast","Australia East",E114="australiasoutheast","Australia SouthEast")=_xlfn.XLOOKUP($B114,VmSpecs[[#All],[VM Name]],VmSpecs[[#All],[Region]],"Failed",0,1),"Pass","Fail")</f>
        <v>Fail</v>
      </c>
      <c r="AY114" t="str" cm="1">
        <f t="array" ref="AY114">IF(F114=_xlfn.XLOOKUP($B114,VmSpecs[[#All],[VM Name]],VmSpecs[[#All],[Instance size]],"Failed",0,1),"Pass","Fail")</f>
        <v>Fail</v>
      </c>
      <c r="AZ114" t="str" cm="1">
        <f t="array" ref="AZ114">IF(LOWER(H114)=_xlfn.XLOOKUP($B114,VmSpecs[[#All],[VM Name]],VmSpecs[[#All],[Availability Set Name]],"Failed",0,1),"Pass","Fail")</f>
        <v>Fail</v>
      </c>
      <c r="BA114" t="str" cm="1">
        <f t="array" ref="BA114">IF(J114=_xlfn.XLOOKUP($B114,VmSpecs[[#All],[VM Name]],VmSpecs[[#All],[Virtual Network]],"Failed",0,1),"Pass","Fail")</f>
        <v>Fail</v>
      </c>
      <c r="BB114" t="str" cm="1">
        <f t="array" ref="BB114">IF(K114=_xlfn.XLOOKUP($B114,VmSpecs[[#All],[VM Name]],VmSpecs[[#All],[Subnet]],"Failed",0,1),"Pass","Fail")</f>
        <v>Fail</v>
      </c>
      <c r="BC114" t="str" cm="1">
        <f t="array" ref="BC114">IF(M114=_xlfn.XLOOKUP($B114,VmSpecs[[#All],[VM Name]],VmSpecs[[#All],[IP]],"Failed",0,1),"Pass","Fail")</f>
        <v>Fail</v>
      </c>
      <c r="BD114" t="str" cm="1">
        <f t="array" ref="BD114">IF(N114=_xlfn.XLOOKUP($B114,VmSpecs[[#All],[VM Name]],VmSpecs[[#All],[Network Security Group]],"Failed",0,1),"Pass","Fail")</f>
        <v>Fail</v>
      </c>
      <c r="BE114" t="str" cm="1">
        <f t="array" ref="BE114">IF(O114=_xlfn.XLOOKUP($B114,VmSpecs[[#All],[VM Name]],VmSpecs[[#All],[Route Table Name]],"Failed",0,1),"Pass","Fail")</f>
        <v>Fail</v>
      </c>
      <c r="BF114" t="str" cm="1">
        <f t="array" ref="BF114">IF(P114=_xlfn.XLOOKUP($B114,VmSpecs[[#All],[VM Name]],VmSpecs[[#All],[Operating System]],"Failed",0,1),"Pass","Fail")</f>
        <v>Fail</v>
      </c>
      <c r="BG114" t="str" cm="1">
        <f t="array" ref="BG114">IF(R114=_xlfn.XLOOKUP($B114,VmSpecs[[#All],[VM Name]],VmSpecs[[#All],[NIC name]],"Failed",0,1),"Pass","Fail")</f>
        <v>Fail</v>
      </c>
      <c r="BH114" t="str" cm="1">
        <f t="array" ref="BH114">IF(U114=_xlfn.XLOOKUP($B114,VmSpecs[[#All],[VM Name]],VmSpecs[[#All],[OS Disk Name]],"Failed",0,1),"Pass","Fail")</f>
        <v>Fail</v>
      </c>
      <c r="BI114" t="str" cm="1">
        <f t="array" ref="BI114">IF(W114=_xlfn.XLOOKUP($B114,VmSpecs[[#All],[VM Name]],VmSpecs[[#All],[OS Disk Size]],"Failed",0,1),"Pass","Fail")</f>
        <v>Fail</v>
      </c>
      <c r="BJ114" t="str" cm="1">
        <f t="array" ref="BJ114">IF(LEFT(X114,4)=LEFT(_xlfn.XLOOKUP($B114,VmSpecs[[#All],[VM Name]],VmSpecs[[#All],[OS Disk Type (Standard SSD etc)]],"Failed",0,1),4),"Pass","Fail")</f>
        <v>Fail</v>
      </c>
      <c r="BK114" t="str" cm="1">
        <f t="array" ref="BK114">IF(Z114=_xlfn.XLOOKUP($B114,VmSpecs[[#All],[VM Name]],VmSpecs[[#All],[Data Disk1 Name]],"Failed",0,1),"Pass","Fail")</f>
        <v>Fail</v>
      </c>
      <c r="BL114" t="str" cm="1">
        <f t="array" ref="BL114">IF(AA114=_xlfn.XLOOKUP($B114,VmSpecs[[#All],[VM Name]],VmSpecs[[#All],[Data Disk1 Size]],"Failed",0,1),"Pass","Fail")</f>
        <v>Fail</v>
      </c>
      <c r="BM114" t="str" cm="1">
        <f t="array" ref="BM114">IF(LEFT(AC114,4)=LEFT(_xlfn.XLOOKUP($B114,VmSpecs[[#All],[VM Name]],VmSpecs[[#All],[Data Disk1 Type]],"Failed",0,1),4),"Pass","Fail")</f>
        <v>Fail</v>
      </c>
      <c r="BO114" t="e">
        <f>VLOOKUP('VM Specs'!K114,'As Built'!B:B,1,FALSE)</f>
        <v>#N/A</v>
      </c>
      <c r="BP114" t="str">
        <f>IF(ISNA(Table613[[#This Row],[VM Build Sheet Check]]),'VM Specs'!K114,"")</f>
        <v>vmpfbpf2oes13</v>
      </c>
    </row>
    <row r="115" spans="1:68" ht="33" customHeight="1" x14ac:dyDescent="0.35">
      <c r="A115" t="str">
        <f>IF(COUNTIF(AsBuilt[[#This Row],[VM Check]:[Data Disk 1 Type Check]],"Fail")&gt;0,"Fail","Pass")</f>
        <v>Fail</v>
      </c>
      <c r="B115" t="s">
        <v>1546</v>
      </c>
      <c r="C115" t="s">
        <v>754</v>
      </c>
      <c r="D115" t="s">
        <v>755</v>
      </c>
      <c r="E115" t="s">
        <v>756</v>
      </c>
      <c r="F115" t="s">
        <v>757</v>
      </c>
      <c r="G115" t="s">
        <v>758</v>
      </c>
      <c r="H115" t="s">
        <v>1455</v>
      </c>
      <c r="J115" t="s">
        <v>760</v>
      </c>
      <c r="K115" t="s">
        <v>761</v>
      </c>
      <c r="L115" t="s">
        <v>754</v>
      </c>
      <c r="M115" t="s">
        <v>1547</v>
      </c>
      <c r="N115" t="s">
        <v>763</v>
      </c>
      <c r="O115" t="s">
        <v>764</v>
      </c>
      <c r="P115" t="s">
        <v>63</v>
      </c>
      <c r="R115" t="s">
        <v>1548</v>
      </c>
      <c r="S115" t="s">
        <v>754</v>
      </c>
      <c r="U115" t="s">
        <v>1549</v>
      </c>
      <c r="V115" t="s">
        <v>767</v>
      </c>
      <c r="W115">
        <v>64</v>
      </c>
      <c r="X115" t="s">
        <v>768</v>
      </c>
      <c r="Y115">
        <v>2</v>
      </c>
      <c r="Z115" t="s">
        <v>1550</v>
      </c>
      <c r="AA115">
        <v>8</v>
      </c>
      <c r="AB115" t="s">
        <v>770</v>
      </c>
      <c r="AC115" t="s">
        <v>768</v>
      </c>
      <c r="AD115" t="s">
        <v>1551</v>
      </c>
      <c r="AE115">
        <v>32</v>
      </c>
      <c r="AF115" t="s">
        <v>770</v>
      </c>
      <c r="AG115" t="s">
        <v>768</v>
      </c>
      <c r="AT115" t="s">
        <v>772</v>
      </c>
      <c r="AU115" t="s">
        <v>1552</v>
      </c>
      <c r="AV115" t="str" cm="1">
        <f t="array" ref="AV115">IF(B115=_xlfn.XLOOKUP(B115,VmSpecs[[#All],[VM Name]],VmSpecs[[#All],[VM Name]],"Failed",0,1),"Pass","Fail")</f>
        <v>Fail</v>
      </c>
      <c r="AW115" t="str" cm="1">
        <f t="array" ref="AW115">IF(D115=_xlfn.XLOOKUP($B115,VmSpecs[[#All],[VM Name]],VmSpecs[[#All],[Virtual Machine Resource Groups]],"Failed",0,1),"Pass","Fail")</f>
        <v>Fail</v>
      </c>
      <c r="AX115" t="str" cm="1">
        <f t="array" ref="AX115">IF(_xlfn.IFS(E115="australiacentral","Australia Central 1",E115="australiaeast","Australia East",E115="australiasoutheast","Australia SouthEast")=_xlfn.XLOOKUP($B115,VmSpecs[[#All],[VM Name]],VmSpecs[[#All],[Region]],"Failed",0,1),"Pass","Fail")</f>
        <v>Fail</v>
      </c>
      <c r="AY115" t="str" cm="1">
        <f t="array" ref="AY115">IF(F115=_xlfn.XLOOKUP($B115,VmSpecs[[#All],[VM Name]],VmSpecs[[#All],[Instance size]],"Failed",0,1),"Pass","Fail")</f>
        <v>Fail</v>
      </c>
      <c r="AZ115" t="str" cm="1">
        <f t="array" ref="AZ115">IF(LOWER(H115)=_xlfn.XLOOKUP($B115,VmSpecs[[#All],[VM Name]],VmSpecs[[#All],[Availability Set Name]],"Failed",0,1),"Pass","Fail")</f>
        <v>Fail</v>
      </c>
      <c r="BA115" t="str" cm="1">
        <f t="array" ref="BA115">IF(J115=_xlfn.XLOOKUP($B115,VmSpecs[[#All],[VM Name]],VmSpecs[[#All],[Virtual Network]],"Failed",0,1),"Pass","Fail")</f>
        <v>Fail</v>
      </c>
      <c r="BB115" t="str" cm="1">
        <f t="array" ref="BB115">IF(K115=_xlfn.XLOOKUP($B115,VmSpecs[[#All],[VM Name]],VmSpecs[[#All],[Subnet]],"Failed",0,1),"Pass","Fail")</f>
        <v>Fail</v>
      </c>
      <c r="BC115" t="str" cm="1">
        <f t="array" ref="BC115">IF(M115=_xlfn.XLOOKUP($B115,VmSpecs[[#All],[VM Name]],VmSpecs[[#All],[IP]],"Failed",0,1),"Pass","Fail")</f>
        <v>Fail</v>
      </c>
      <c r="BD115" t="str" cm="1">
        <f t="array" ref="BD115">IF(N115=_xlfn.XLOOKUP($B115,VmSpecs[[#All],[VM Name]],VmSpecs[[#All],[Network Security Group]],"Failed",0,1),"Pass","Fail")</f>
        <v>Fail</v>
      </c>
      <c r="BE115" t="str" cm="1">
        <f t="array" ref="BE115">IF(O115=_xlfn.XLOOKUP($B115,VmSpecs[[#All],[VM Name]],VmSpecs[[#All],[Route Table Name]],"Failed",0,1),"Pass","Fail")</f>
        <v>Fail</v>
      </c>
      <c r="BF115" t="str" cm="1">
        <f t="array" ref="BF115">IF(P115=_xlfn.XLOOKUP($B115,VmSpecs[[#All],[VM Name]],VmSpecs[[#All],[Operating System]],"Failed",0,1),"Pass","Fail")</f>
        <v>Fail</v>
      </c>
      <c r="BG115" t="str" cm="1">
        <f t="array" ref="BG115">IF(R115=_xlfn.XLOOKUP($B115,VmSpecs[[#All],[VM Name]],VmSpecs[[#All],[NIC name]],"Failed",0,1),"Pass","Fail")</f>
        <v>Fail</v>
      </c>
      <c r="BH115" t="str" cm="1">
        <f t="array" ref="BH115">IF(U115=_xlfn.XLOOKUP($B115,VmSpecs[[#All],[VM Name]],VmSpecs[[#All],[OS Disk Name]],"Failed",0,1),"Pass","Fail")</f>
        <v>Fail</v>
      </c>
      <c r="BI115" t="str" cm="1">
        <f t="array" ref="BI115">IF(W115=_xlfn.XLOOKUP($B115,VmSpecs[[#All],[VM Name]],VmSpecs[[#All],[OS Disk Size]],"Failed",0,1),"Pass","Fail")</f>
        <v>Fail</v>
      </c>
      <c r="BJ115" t="str" cm="1">
        <f t="array" ref="BJ115">IF(LEFT(X115,4)=LEFT(_xlfn.XLOOKUP($B115,VmSpecs[[#All],[VM Name]],VmSpecs[[#All],[OS Disk Type (Standard SSD etc)]],"Failed",0,1),4),"Pass","Fail")</f>
        <v>Fail</v>
      </c>
      <c r="BK115" t="str" cm="1">
        <f t="array" ref="BK115">IF(Z115=_xlfn.XLOOKUP($B115,VmSpecs[[#All],[VM Name]],VmSpecs[[#All],[Data Disk1 Name]],"Failed",0,1),"Pass","Fail")</f>
        <v>Fail</v>
      </c>
      <c r="BL115" t="str" cm="1">
        <f t="array" ref="BL115">IF(AA115=_xlfn.XLOOKUP($B115,VmSpecs[[#All],[VM Name]],VmSpecs[[#All],[Data Disk1 Size]],"Failed",0,1),"Pass","Fail")</f>
        <v>Fail</v>
      </c>
      <c r="BM115" t="str" cm="1">
        <f t="array" ref="BM115">IF(LEFT(AC115,4)=LEFT(_xlfn.XLOOKUP($B115,VmSpecs[[#All],[VM Name]],VmSpecs[[#All],[Data Disk1 Type]],"Failed",0,1),4),"Pass","Fail")</f>
        <v>Fail</v>
      </c>
      <c r="BO115" t="e">
        <f>VLOOKUP('VM Specs'!K115,'As Built'!B:B,1,FALSE)</f>
        <v>#N/A</v>
      </c>
      <c r="BP115" t="str">
        <f>IF(ISNA(Table613[[#This Row],[VM Build Sheet Check]]),'VM Specs'!K115,"")</f>
        <v>vmpfbpf2oes14</v>
      </c>
    </row>
    <row r="116" spans="1:68" ht="33" customHeight="1" x14ac:dyDescent="0.35">
      <c r="A116" t="str">
        <f>IF(COUNTIF(AsBuilt[[#This Row],[VM Check]:[Data Disk 1 Type Check]],"Fail")&gt;0,"Fail","Pass")</f>
        <v>Fail</v>
      </c>
      <c r="B116" t="s">
        <v>1553</v>
      </c>
      <c r="C116" t="s">
        <v>754</v>
      </c>
      <c r="D116" t="s">
        <v>755</v>
      </c>
      <c r="E116" t="s">
        <v>756</v>
      </c>
      <c r="F116" t="s">
        <v>757</v>
      </c>
      <c r="G116" t="s">
        <v>758</v>
      </c>
      <c r="H116" t="s">
        <v>1455</v>
      </c>
      <c r="J116" t="s">
        <v>760</v>
      </c>
      <c r="K116" t="s">
        <v>761</v>
      </c>
      <c r="L116" t="s">
        <v>754</v>
      </c>
      <c r="M116" t="s">
        <v>1554</v>
      </c>
      <c r="N116" t="s">
        <v>763</v>
      </c>
      <c r="O116" t="s">
        <v>764</v>
      </c>
      <c r="P116" t="s">
        <v>63</v>
      </c>
      <c r="R116" t="s">
        <v>1555</v>
      </c>
      <c r="S116" t="s">
        <v>754</v>
      </c>
      <c r="U116" t="s">
        <v>1556</v>
      </c>
      <c r="V116" t="s">
        <v>767</v>
      </c>
      <c r="W116">
        <v>64</v>
      </c>
      <c r="X116" t="s">
        <v>768</v>
      </c>
      <c r="Y116">
        <v>2</v>
      </c>
      <c r="Z116" t="s">
        <v>1557</v>
      </c>
      <c r="AA116">
        <v>8</v>
      </c>
      <c r="AB116" t="s">
        <v>770</v>
      </c>
      <c r="AC116" t="s">
        <v>768</v>
      </c>
      <c r="AD116" t="s">
        <v>1558</v>
      </c>
      <c r="AE116">
        <v>32</v>
      </c>
      <c r="AF116" t="s">
        <v>770</v>
      </c>
      <c r="AG116" t="s">
        <v>768</v>
      </c>
      <c r="AT116" t="s">
        <v>772</v>
      </c>
      <c r="AU116" t="s">
        <v>1559</v>
      </c>
      <c r="AV116" t="str" cm="1">
        <f t="array" ref="AV116">IF(B116=_xlfn.XLOOKUP(B116,VmSpecs[[#All],[VM Name]],VmSpecs[[#All],[VM Name]],"Failed",0,1),"Pass","Fail")</f>
        <v>Fail</v>
      </c>
      <c r="AW116" t="str" cm="1">
        <f t="array" ref="AW116">IF(D116=_xlfn.XLOOKUP($B116,VmSpecs[[#All],[VM Name]],VmSpecs[[#All],[Virtual Machine Resource Groups]],"Failed",0,1),"Pass","Fail")</f>
        <v>Fail</v>
      </c>
      <c r="AX116" t="str" cm="1">
        <f t="array" ref="AX116">IF(_xlfn.IFS(E116="australiacentral","Australia Central 1",E116="australiaeast","Australia East",E116="australiasoutheast","Australia SouthEast")=_xlfn.XLOOKUP($B116,VmSpecs[[#All],[VM Name]],VmSpecs[[#All],[Region]],"Failed",0,1),"Pass","Fail")</f>
        <v>Fail</v>
      </c>
      <c r="AY116" t="str" cm="1">
        <f t="array" ref="AY116">IF(F116=_xlfn.XLOOKUP($B116,VmSpecs[[#All],[VM Name]],VmSpecs[[#All],[Instance size]],"Failed",0,1),"Pass","Fail")</f>
        <v>Fail</v>
      </c>
      <c r="AZ116" t="str" cm="1">
        <f t="array" ref="AZ116">IF(LOWER(H116)=_xlfn.XLOOKUP($B116,VmSpecs[[#All],[VM Name]],VmSpecs[[#All],[Availability Set Name]],"Failed",0,1),"Pass","Fail")</f>
        <v>Fail</v>
      </c>
      <c r="BA116" t="str" cm="1">
        <f t="array" ref="BA116">IF(J116=_xlfn.XLOOKUP($B116,VmSpecs[[#All],[VM Name]],VmSpecs[[#All],[Virtual Network]],"Failed",0,1),"Pass","Fail")</f>
        <v>Fail</v>
      </c>
      <c r="BB116" t="str" cm="1">
        <f t="array" ref="BB116">IF(K116=_xlfn.XLOOKUP($B116,VmSpecs[[#All],[VM Name]],VmSpecs[[#All],[Subnet]],"Failed",0,1),"Pass","Fail")</f>
        <v>Fail</v>
      </c>
      <c r="BC116" t="str" cm="1">
        <f t="array" ref="BC116">IF(M116=_xlfn.XLOOKUP($B116,VmSpecs[[#All],[VM Name]],VmSpecs[[#All],[IP]],"Failed",0,1),"Pass","Fail")</f>
        <v>Fail</v>
      </c>
      <c r="BD116" t="str" cm="1">
        <f t="array" ref="BD116">IF(N116=_xlfn.XLOOKUP($B116,VmSpecs[[#All],[VM Name]],VmSpecs[[#All],[Network Security Group]],"Failed",0,1),"Pass","Fail")</f>
        <v>Fail</v>
      </c>
      <c r="BE116" t="str" cm="1">
        <f t="array" ref="BE116">IF(O116=_xlfn.XLOOKUP($B116,VmSpecs[[#All],[VM Name]],VmSpecs[[#All],[Route Table Name]],"Failed",0,1),"Pass","Fail")</f>
        <v>Fail</v>
      </c>
      <c r="BF116" t="str" cm="1">
        <f t="array" ref="BF116">IF(P116=_xlfn.XLOOKUP($B116,VmSpecs[[#All],[VM Name]],VmSpecs[[#All],[Operating System]],"Failed",0,1),"Pass","Fail")</f>
        <v>Fail</v>
      </c>
      <c r="BG116" t="str" cm="1">
        <f t="array" ref="BG116">IF(R116=_xlfn.XLOOKUP($B116,VmSpecs[[#All],[VM Name]],VmSpecs[[#All],[NIC name]],"Failed",0,1),"Pass","Fail")</f>
        <v>Fail</v>
      </c>
      <c r="BH116" t="str" cm="1">
        <f t="array" ref="BH116">IF(U116=_xlfn.XLOOKUP($B116,VmSpecs[[#All],[VM Name]],VmSpecs[[#All],[OS Disk Name]],"Failed",0,1),"Pass","Fail")</f>
        <v>Fail</v>
      </c>
      <c r="BI116" t="str" cm="1">
        <f t="array" ref="BI116">IF(W116=_xlfn.XLOOKUP($B116,VmSpecs[[#All],[VM Name]],VmSpecs[[#All],[OS Disk Size]],"Failed",0,1),"Pass","Fail")</f>
        <v>Fail</v>
      </c>
      <c r="BJ116" t="str" cm="1">
        <f t="array" ref="BJ116">IF(LEFT(X116,4)=LEFT(_xlfn.XLOOKUP($B116,VmSpecs[[#All],[VM Name]],VmSpecs[[#All],[OS Disk Type (Standard SSD etc)]],"Failed",0,1),4),"Pass","Fail")</f>
        <v>Fail</v>
      </c>
      <c r="BK116" t="str" cm="1">
        <f t="array" ref="BK116">IF(Z116=_xlfn.XLOOKUP($B116,VmSpecs[[#All],[VM Name]],VmSpecs[[#All],[Data Disk1 Name]],"Failed",0,1),"Pass","Fail")</f>
        <v>Fail</v>
      </c>
      <c r="BL116" t="str" cm="1">
        <f t="array" ref="BL116">IF(AA116=_xlfn.XLOOKUP($B116,VmSpecs[[#All],[VM Name]],VmSpecs[[#All],[Data Disk1 Size]],"Failed",0,1),"Pass","Fail")</f>
        <v>Fail</v>
      </c>
      <c r="BM116" t="str" cm="1">
        <f t="array" ref="BM116">IF(LEFT(AC116,4)=LEFT(_xlfn.XLOOKUP($B116,VmSpecs[[#All],[VM Name]],VmSpecs[[#All],[Data Disk1 Type]],"Failed",0,1),4),"Pass","Fail")</f>
        <v>Fail</v>
      </c>
      <c r="BO116" t="e">
        <f>VLOOKUP('VM Specs'!K116,'As Built'!B:B,1,FALSE)</f>
        <v>#N/A</v>
      </c>
      <c r="BP116" t="str">
        <f>IF(ISNA(Table613[[#This Row],[VM Build Sheet Check]]),'VM Specs'!K116,"")</f>
        <v>vmpfbpf2oes15</v>
      </c>
    </row>
    <row r="117" spans="1:68" ht="33" customHeight="1" x14ac:dyDescent="0.35">
      <c r="A117" t="str">
        <f>IF(COUNTIF(AsBuilt[[#This Row],[VM Check]:[Data Disk 1 Type Check]],"Fail")&gt;0,"Fail","Pass")</f>
        <v>Fail</v>
      </c>
      <c r="B117" t="s">
        <v>1560</v>
      </c>
      <c r="C117" t="s">
        <v>754</v>
      </c>
      <c r="D117" t="s">
        <v>755</v>
      </c>
      <c r="E117" t="s">
        <v>756</v>
      </c>
      <c r="F117" t="s">
        <v>757</v>
      </c>
      <c r="G117" t="s">
        <v>758</v>
      </c>
      <c r="H117" t="s">
        <v>1455</v>
      </c>
      <c r="J117" t="s">
        <v>760</v>
      </c>
      <c r="K117" t="s">
        <v>761</v>
      </c>
      <c r="L117" t="s">
        <v>754</v>
      </c>
      <c r="M117" t="s">
        <v>1561</v>
      </c>
      <c r="N117" t="s">
        <v>763</v>
      </c>
      <c r="O117" t="s">
        <v>764</v>
      </c>
      <c r="P117" t="s">
        <v>63</v>
      </c>
      <c r="R117" t="s">
        <v>1562</v>
      </c>
      <c r="S117" t="s">
        <v>754</v>
      </c>
      <c r="U117" t="s">
        <v>1563</v>
      </c>
      <c r="V117" t="s">
        <v>767</v>
      </c>
      <c r="W117">
        <v>64</v>
      </c>
      <c r="X117" t="s">
        <v>768</v>
      </c>
      <c r="Y117">
        <v>2</v>
      </c>
      <c r="Z117" t="s">
        <v>1564</v>
      </c>
      <c r="AA117">
        <v>8</v>
      </c>
      <c r="AB117" t="s">
        <v>770</v>
      </c>
      <c r="AC117" t="s">
        <v>768</v>
      </c>
      <c r="AD117" t="s">
        <v>1565</v>
      </c>
      <c r="AE117">
        <v>32</v>
      </c>
      <c r="AF117" t="s">
        <v>770</v>
      </c>
      <c r="AG117" t="s">
        <v>768</v>
      </c>
      <c r="AT117" t="s">
        <v>772</v>
      </c>
      <c r="AU117" t="s">
        <v>1566</v>
      </c>
      <c r="AV117" t="str" cm="1">
        <f t="array" ref="AV117">IF(B117=_xlfn.XLOOKUP(B117,VmSpecs[[#All],[VM Name]],VmSpecs[[#All],[VM Name]],"Failed",0,1),"Pass","Fail")</f>
        <v>Fail</v>
      </c>
      <c r="AW117" t="str" cm="1">
        <f t="array" ref="AW117">IF(D117=_xlfn.XLOOKUP($B117,VmSpecs[[#All],[VM Name]],VmSpecs[[#All],[Virtual Machine Resource Groups]],"Failed",0,1),"Pass","Fail")</f>
        <v>Fail</v>
      </c>
      <c r="AX117" t="str" cm="1">
        <f t="array" ref="AX117">IF(_xlfn.IFS(E117="australiacentral","Australia Central 1",E117="australiaeast","Australia East",E117="australiasoutheast","Australia SouthEast")=_xlfn.XLOOKUP($B117,VmSpecs[[#All],[VM Name]],VmSpecs[[#All],[Region]],"Failed",0,1),"Pass","Fail")</f>
        <v>Fail</v>
      </c>
      <c r="AY117" t="str" cm="1">
        <f t="array" ref="AY117">IF(F117=_xlfn.XLOOKUP($B117,VmSpecs[[#All],[VM Name]],VmSpecs[[#All],[Instance size]],"Failed",0,1),"Pass","Fail")</f>
        <v>Fail</v>
      </c>
      <c r="AZ117" t="str" cm="1">
        <f t="array" ref="AZ117">IF(LOWER(H117)=_xlfn.XLOOKUP($B117,VmSpecs[[#All],[VM Name]],VmSpecs[[#All],[Availability Set Name]],"Failed",0,1),"Pass","Fail")</f>
        <v>Fail</v>
      </c>
      <c r="BA117" t="str" cm="1">
        <f t="array" ref="BA117">IF(J117=_xlfn.XLOOKUP($B117,VmSpecs[[#All],[VM Name]],VmSpecs[[#All],[Virtual Network]],"Failed",0,1),"Pass","Fail")</f>
        <v>Fail</v>
      </c>
      <c r="BB117" t="str" cm="1">
        <f t="array" ref="BB117">IF(K117=_xlfn.XLOOKUP($B117,VmSpecs[[#All],[VM Name]],VmSpecs[[#All],[Subnet]],"Failed",0,1),"Pass","Fail")</f>
        <v>Fail</v>
      </c>
      <c r="BC117" t="str" cm="1">
        <f t="array" ref="BC117">IF(M117=_xlfn.XLOOKUP($B117,VmSpecs[[#All],[VM Name]],VmSpecs[[#All],[IP]],"Failed",0,1),"Pass","Fail")</f>
        <v>Fail</v>
      </c>
      <c r="BD117" t="str" cm="1">
        <f t="array" ref="BD117">IF(N117=_xlfn.XLOOKUP($B117,VmSpecs[[#All],[VM Name]],VmSpecs[[#All],[Network Security Group]],"Failed",0,1),"Pass","Fail")</f>
        <v>Fail</v>
      </c>
      <c r="BE117" t="str" cm="1">
        <f t="array" ref="BE117">IF(O117=_xlfn.XLOOKUP($B117,VmSpecs[[#All],[VM Name]],VmSpecs[[#All],[Route Table Name]],"Failed",0,1),"Pass","Fail")</f>
        <v>Fail</v>
      </c>
      <c r="BF117" t="str" cm="1">
        <f t="array" ref="BF117">IF(P117=_xlfn.XLOOKUP($B117,VmSpecs[[#All],[VM Name]],VmSpecs[[#All],[Operating System]],"Failed",0,1),"Pass","Fail")</f>
        <v>Fail</v>
      </c>
      <c r="BG117" t="str" cm="1">
        <f t="array" ref="BG117">IF(R117=_xlfn.XLOOKUP($B117,VmSpecs[[#All],[VM Name]],VmSpecs[[#All],[NIC name]],"Failed",0,1),"Pass","Fail")</f>
        <v>Fail</v>
      </c>
      <c r="BH117" t="str" cm="1">
        <f t="array" ref="BH117">IF(U117=_xlfn.XLOOKUP($B117,VmSpecs[[#All],[VM Name]],VmSpecs[[#All],[OS Disk Name]],"Failed",0,1),"Pass","Fail")</f>
        <v>Fail</v>
      </c>
      <c r="BI117" t="str" cm="1">
        <f t="array" ref="BI117">IF(W117=_xlfn.XLOOKUP($B117,VmSpecs[[#All],[VM Name]],VmSpecs[[#All],[OS Disk Size]],"Failed",0,1),"Pass","Fail")</f>
        <v>Fail</v>
      </c>
      <c r="BJ117" t="str" cm="1">
        <f t="array" ref="BJ117">IF(LEFT(X117,4)=LEFT(_xlfn.XLOOKUP($B117,VmSpecs[[#All],[VM Name]],VmSpecs[[#All],[OS Disk Type (Standard SSD etc)]],"Failed",0,1),4),"Pass","Fail")</f>
        <v>Fail</v>
      </c>
      <c r="BK117" t="str" cm="1">
        <f t="array" ref="BK117">IF(Z117=_xlfn.XLOOKUP($B117,VmSpecs[[#All],[VM Name]],VmSpecs[[#All],[Data Disk1 Name]],"Failed",0,1),"Pass","Fail")</f>
        <v>Fail</v>
      </c>
      <c r="BL117" t="str" cm="1">
        <f t="array" ref="BL117">IF(AA117=_xlfn.XLOOKUP($B117,VmSpecs[[#All],[VM Name]],VmSpecs[[#All],[Data Disk1 Size]],"Failed",0,1),"Pass","Fail")</f>
        <v>Fail</v>
      </c>
      <c r="BM117" t="str" cm="1">
        <f t="array" ref="BM117">IF(LEFT(AC117,4)=LEFT(_xlfn.XLOOKUP($B117,VmSpecs[[#All],[VM Name]],VmSpecs[[#All],[Data Disk1 Type]],"Failed",0,1),4),"Pass","Fail")</f>
        <v>Fail</v>
      </c>
      <c r="BO117" t="e">
        <f>VLOOKUP('VM Specs'!K117,'As Built'!B:B,1,FALSE)</f>
        <v>#N/A</v>
      </c>
      <c r="BP117" t="str">
        <f>IF(ISNA(Table613[[#This Row],[VM Build Sheet Check]]),'VM Specs'!K117,"")</f>
        <v>vmpfbpf2oes16</v>
      </c>
    </row>
    <row r="118" spans="1:68" ht="33" customHeight="1" x14ac:dyDescent="0.35">
      <c r="A118" t="str">
        <f>IF(COUNTIF(AsBuilt[[#This Row],[VM Check]:[Data Disk 1 Type Check]],"Fail")&gt;0,"Fail","Pass")</f>
        <v>Fail</v>
      </c>
      <c r="B118" t="s">
        <v>1567</v>
      </c>
      <c r="C118" t="s">
        <v>754</v>
      </c>
      <c r="D118" t="s">
        <v>755</v>
      </c>
      <c r="E118" t="s">
        <v>756</v>
      </c>
      <c r="F118" t="s">
        <v>757</v>
      </c>
      <c r="G118" t="s">
        <v>758</v>
      </c>
      <c r="H118" t="s">
        <v>1455</v>
      </c>
      <c r="J118" t="s">
        <v>760</v>
      </c>
      <c r="K118" t="s">
        <v>761</v>
      </c>
      <c r="L118" t="s">
        <v>754</v>
      </c>
      <c r="M118" t="s">
        <v>1568</v>
      </c>
      <c r="N118" t="s">
        <v>763</v>
      </c>
      <c r="O118" t="s">
        <v>764</v>
      </c>
      <c r="P118" t="s">
        <v>63</v>
      </c>
      <c r="R118" t="s">
        <v>1569</v>
      </c>
      <c r="S118" t="s">
        <v>754</v>
      </c>
      <c r="U118" t="s">
        <v>1570</v>
      </c>
      <c r="V118" t="s">
        <v>767</v>
      </c>
      <c r="W118">
        <v>64</v>
      </c>
      <c r="X118" t="s">
        <v>768</v>
      </c>
      <c r="Y118">
        <v>2</v>
      </c>
      <c r="Z118" t="s">
        <v>1571</v>
      </c>
      <c r="AA118">
        <v>8</v>
      </c>
      <c r="AB118" t="s">
        <v>770</v>
      </c>
      <c r="AC118" t="s">
        <v>768</v>
      </c>
      <c r="AD118" t="s">
        <v>1572</v>
      </c>
      <c r="AE118">
        <v>32</v>
      </c>
      <c r="AF118" t="s">
        <v>770</v>
      </c>
      <c r="AG118" t="s">
        <v>768</v>
      </c>
      <c r="AT118" t="s">
        <v>772</v>
      </c>
      <c r="AU118" t="s">
        <v>1573</v>
      </c>
      <c r="AV118" t="str" cm="1">
        <f t="array" ref="AV118">IF(B118=_xlfn.XLOOKUP(B118,VmSpecs[[#All],[VM Name]],VmSpecs[[#All],[VM Name]],"Failed",0,1),"Pass","Fail")</f>
        <v>Fail</v>
      </c>
      <c r="AW118" t="str" cm="1">
        <f t="array" ref="AW118">IF(D118=_xlfn.XLOOKUP($B118,VmSpecs[[#All],[VM Name]],VmSpecs[[#All],[Virtual Machine Resource Groups]],"Failed",0,1),"Pass","Fail")</f>
        <v>Fail</v>
      </c>
      <c r="AX118" t="str" cm="1">
        <f t="array" ref="AX118">IF(_xlfn.IFS(E118="australiacentral","Australia Central 1",E118="australiaeast","Australia East",E118="australiasoutheast","Australia SouthEast")=_xlfn.XLOOKUP($B118,VmSpecs[[#All],[VM Name]],VmSpecs[[#All],[Region]],"Failed",0,1),"Pass","Fail")</f>
        <v>Fail</v>
      </c>
      <c r="AY118" t="str" cm="1">
        <f t="array" ref="AY118">IF(F118=_xlfn.XLOOKUP($B118,VmSpecs[[#All],[VM Name]],VmSpecs[[#All],[Instance size]],"Failed",0,1),"Pass","Fail")</f>
        <v>Fail</v>
      </c>
      <c r="AZ118" t="str" cm="1">
        <f t="array" ref="AZ118">IF(LOWER(H118)=_xlfn.XLOOKUP($B118,VmSpecs[[#All],[VM Name]],VmSpecs[[#All],[Availability Set Name]],"Failed",0,1),"Pass","Fail")</f>
        <v>Fail</v>
      </c>
      <c r="BA118" t="str" cm="1">
        <f t="array" ref="BA118">IF(J118=_xlfn.XLOOKUP($B118,VmSpecs[[#All],[VM Name]],VmSpecs[[#All],[Virtual Network]],"Failed",0,1),"Pass","Fail")</f>
        <v>Fail</v>
      </c>
      <c r="BB118" t="str" cm="1">
        <f t="array" ref="BB118">IF(K118=_xlfn.XLOOKUP($B118,VmSpecs[[#All],[VM Name]],VmSpecs[[#All],[Subnet]],"Failed",0,1),"Pass","Fail")</f>
        <v>Fail</v>
      </c>
      <c r="BC118" t="str" cm="1">
        <f t="array" ref="BC118">IF(M118=_xlfn.XLOOKUP($B118,VmSpecs[[#All],[VM Name]],VmSpecs[[#All],[IP]],"Failed",0,1),"Pass","Fail")</f>
        <v>Fail</v>
      </c>
      <c r="BD118" t="str" cm="1">
        <f t="array" ref="BD118">IF(N118=_xlfn.XLOOKUP($B118,VmSpecs[[#All],[VM Name]],VmSpecs[[#All],[Network Security Group]],"Failed",0,1),"Pass","Fail")</f>
        <v>Fail</v>
      </c>
      <c r="BE118" t="str" cm="1">
        <f t="array" ref="BE118">IF(O118=_xlfn.XLOOKUP($B118,VmSpecs[[#All],[VM Name]],VmSpecs[[#All],[Route Table Name]],"Failed",0,1),"Pass","Fail")</f>
        <v>Fail</v>
      </c>
      <c r="BF118" t="str" cm="1">
        <f t="array" ref="BF118">IF(P118=_xlfn.XLOOKUP($B118,VmSpecs[[#All],[VM Name]],VmSpecs[[#All],[Operating System]],"Failed",0,1),"Pass","Fail")</f>
        <v>Fail</v>
      </c>
      <c r="BG118" t="str" cm="1">
        <f t="array" ref="BG118">IF(R118=_xlfn.XLOOKUP($B118,VmSpecs[[#All],[VM Name]],VmSpecs[[#All],[NIC name]],"Failed",0,1),"Pass","Fail")</f>
        <v>Fail</v>
      </c>
      <c r="BH118" t="str" cm="1">
        <f t="array" ref="BH118">IF(U118=_xlfn.XLOOKUP($B118,VmSpecs[[#All],[VM Name]],VmSpecs[[#All],[OS Disk Name]],"Failed",0,1),"Pass","Fail")</f>
        <v>Fail</v>
      </c>
      <c r="BI118" t="str" cm="1">
        <f t="array" ref="BI118">IF(W118=_xlfn.XLOOKUP($B118,VmSpecs[[#All],[VM Name]],VmSpecs[[#All],[OS Disk Size]],"Failed",0,1),"Pass","Fail")</f>
        <v>Fail</v>
      </c>
      <c r="BJ118" t="str" cm="1">
        <f t="array" ref="BJ118">IF(LEFT(X118,4)=LEFT(_xlfn.XLOOKUP($B118,VmSpecs[[#All],[VM Name]],VmSpecs[[#All],[OS Disk Type (Standard SSD etc)]],"Failed",0,1),4),"Pass","Fail")</f>
        <v>Fail</v>
      </c>
      <c r="BK118" t="str" cm="1">
        <f t="array" ref="BK118">IF(Z118=_xlfn.XLOOKUP($B118,VmSpecs[[#All],[VM Name]],VmSpecs[[#All],[Data Disk1 Name]],"Failed",0,1),"Pass","Fail")</f>
        <v>Fail</v>
      </c>
      <c r="BL118" t="str" cm="1">
        <f t="array" ref="BL118">IF(AA118=_xlfn.XLOOKUP($B118,VmSpecs[[#All],[VM Name]],VmSpecs[[#All],[Data Disk1 Size]],"Failed",0,1),"Pass","Fail")</f>
        <v>Fail</v>
      </c>
      <c r="BM118" t="str" cm="1">
        <f t="array" ref="BM118">IF(LEFT(AC118,4)=LEFT(_xlfn.XLOOKUP($B118,VmSpecs[[#All],[VM Name]],VmSpecs[[#All],[Data Disk1 Type]],"Failed",0,1),4),"Pass","Fail")</f>
        <v>Fail</v>
      </c>
      <c r="BO118" t="e">
        <f>VLOOKUP('VM Specs'!K118,'As Built'!B:B,1,FALSE)</f>
        <v>#N/A</v>
      </c>
      <c r="BP118" t="str">
        <f>IF(ISNA(Table613[[#This Row],[VM Build Sheet Check]]),'VM Specs'!K118,"")</f>
        <v>vmpfbpf2oes17</v>
      </c>
    </row>
    <row r="119" spans="1:68" ht="33" customHeight="1" x14ac:dyDescent="0.35">
      <c r="A119" t="str">
        <f>IF(COUNTIF(AsBuilt[[#This Row],[VM Check]:[Data Disk 1 Type Check]],"Fail")&gt;0,"Fail","Pass")</f>
        <v>Fail</v>
      </c>
      <c r="B119" t="s">
        <v>1574</v>
      </c>
      <c r="C119" t="s">
        <v>754</v>
      </c>
      <c r="D119" t="s">
        <v>755</v>
      </c>
      <c r="E119" t="s">
        <v>756</v>
      </c>
      <c r="F119" t="s">
        <v>757</v>
      </c>
      <c r="G119" t="s">
        <v>758</v>
      </c>
      <c r="H119" t="s">
        <v>1455</v>
      </c>
      <c r="J119" t="s">
        <v>760</v>
      </c>
      <c r="K119" t="s">
        <v>761</v>
      </c>
      <c r="L119" t="s">
        <v>754</v>
      </c>
      <c r="M119" t="s">
        <v>1575</v>
      </c>
      <c r="N119" t="s">
        <v>763</v>
      </c>
      <c r="O119" t="s">
        <v>764</v>
      </c>
      <c r="P119" t="s">
        <v>63</v>
      </c>
      <c r="R119" t="s">
        <v>1576</v>
      </c>
      <c r="S119" t="s">
        <v>754</v>
      </c>
      <c r="U119" t="s">
        <v>1577</v>
      </c>
      <c r="V119" t="s">
        <v>767</v>
      </c>
      <c r="W119">
        <v>64</v>
      </c>
      <c r="X119" t="s">
        <v>768</v>
      </c>
      <c r="Y119">
        <v>2</v>
      </c>
      <c r="Z119" t="s">
        <v>1578</v>
      </c>
      <c r="AA119">
        <v>8</v>
      </c>
      <c r="AB119" t="s">
        <v>770</v>
      </c>
      <c r="AC119" t="s">
        <v>768</v>
      </c>
      <c r="AD119" t="s">
        <v>1579</v>
      </c>
      <c r="AE119">
        <v>32</v>
      </c>
      <c r="AF119" t="s">
        <v>770</v>
      </c>
      <c r="AG119" t="s">
        <v>768</v>
      </c>
      <c r="AT119" t="s">
        <v>772</v>
      </c>
      <c r="AU119" t="s">
        <v>1580</v>
      </c>
      <c r="AV119" t="str" cm="1">
        <f t="array" ref="AV119">IF(B119=_xlfn.XLOOKUP(B119,VmSpecs[[#All],[VM Name]],VmSpecs[[#All],[VM Name]],"Failed",0,1),"Pass","Fail")</f>
        <v>Fail</v>
      </c>
      <c r="AW119" t="str" cm="1">
        <f t="array" ref="AW119">IF(D119=_xlfn.XLOOKUP($B119,VmSpecs[[#All],[VM Name]],VmSpecs[[#All],[Virtual Machine Resource Groups]],"Failed",0,1),"Pass","Fail")</f>
        <v>Fail</v>
      </c>
      <c r="AX119" t="str" cm="1">
        <f t="array" ref="AX119">IF(_xlfn.IFS(E119="australiacentral","Australia Central 1",E119="australiaeast","Australia East",E119="australiasoutheast","Australia SouthEast")=_xlfn.XLOOKUP($B119,VmSpecs[[#All],[VM Name]],VmSpecs[[#All],[Region]],"Failed",0,1),"Pass","Fail")</f>
        <v>Fail</v>
      </c>
      <c r="AY119" t="str" cm="1">
        <f t="array" ref="AY119">IF(F119=_xlfn.XLOOKUP($B119,VmSpecs[[#All],[VM Name]],VmSpecs[[#All],[Instance size]],"Failed",0,1),"Pass","Fail")</f>
        <v>Fail</v>
      </c>
      <c r="AZ119" t="str" cm="1">
        <f t="array" ref="AZ119">IF(LOWER(H119)=_xlfn.XLOOKUP($B119,VmSpecs[[#All],[VM Name]],VmSpecs[[#All],[Availability Set Name]],"Failed",0,1),"Pass","Fail")</f>
        <v>Fail</v>
      </c>
      <c r="BA119" t="str" cm="1">
        <f t="array" ref="BA119">IF(J119=_xlfn.XLOOKUP($B119,VmSpecs[[#All],[VM Name]],VmSpecs[[#All],[Virtual Network]],"Failed",0,1),"Pass","Fail")</f>
        <v>Fail</v>
      </c>
      <c r="BB119" t="str" cm="1">
        <f t="array" ref="BB119">IF(K119=_xlfn.XLOOKUP($B119,VmSpecs[[#All],[VM Name]],VmSpecs[[#All],[Subnet]],"Failed",0,1),"Pass","Fail")</f>
        <v>Fail</v>
      </c>
      <c r="BC119" t="str" cm="1">
        <f t="array" ref="BC119">IF(M119=_xlfn.XLOOKUP($B119,VmSpecs[[#All],[VM Name]],VmSpecs[[#All],[IP]],"Failed",0,1),"Pass","Fail")</f>
        <v>Fail</v>
      </c>
      <c r="BD119" t="str" cm="1">
        <f t="array" ref="BD119">IF(N119=_xlfn.XLOOKUP($B119,VmSpecs[[#All],[VM Name]],VmSpecs[[#All],[Network Security Group]],"Failed",0,1),"Pass","Fail")</f>
        <v>Fail</v>
      </c>
      <c r="BE119" t="str" cm="1">
        <f t="array" ref="BE119">IF(O119=_xlfn.XLOOKUP($B119,VmSpecs[[#All],[VM Name]],VmSpecs[[#All],[Route Table Name]],"Failed",0,1),"Pass","Fail")</f>
        <v>Fail</v>
      </c>
      <c r="BF119" t="str" cm="1">
        <f t="array" ref="BF119">IF(P119=_xlfn.XLOOKUP($B119,VmSpecs[[#All],[VM Name]],VmSpecs[[#All],[Operating System]],"Failed",0,1),"Pass","Fail")</f>
        <v>Fail</v>
      </c>
      <c r="BG119" t="str" cm="1">
        <f t="array" ref="BG119">IF(R119=_xlfn.XLOOKUP($B119,VmSpecs[[#All],[VM Name]],VmSpecs[[#All],[NIC name]],"Failed",0,1),"Pass","Fail")</f>
        <v>Fail</v>
      </c>
      <c r="BH119" t="str" cm="1">
        <f t="array" ref="BH119">IF(U119=_xlfn.XLOOKUP($B119,VmSpecs[[#All],[VM Name]],VmSpecs[[#All],[OS Disk Name]],"Failed",0,1),"Pass","Fail")</f>
        <v>Fail</v>
      </c>
      <c r="BI119" t="str" cm="1">
        <f t="array" ref="BI119">IF(W119=_xlfn.XLOOKUP($B119,VmSpecs[[#All],[VM Name]],VmSpecs[[#All],[OS Disk Size]],"Failed",0,1),"Pass","Fail")</f>
        <v>Fail</v>
      </c>
      <c r="BJ119" t="str" cm="1">
        <f t="array" ref="BJ119">IF(LEFT(X119,4)=LEFT(_xlfn.XLOOKUP($B119,VmSpecs[[#All],[VM Name]],VmSpecs[[#All],[OS Disk Type (Standard SSD etc)]],"Failed",0,1),4),"Pass","Fail")</f>
        <v>Fail</v>
      </c>
      <c r="BK119" t="str" cm="1">
        <f t="array" ref="BK119">IF(Z119=_xlfn.XLOOKUP($B119,VmSpecs[[#All],[VM Name]],VmSpecs[[#All],[Data Disk1 Name]],"Failed",0,1),"Pass","Fail")</f>
        <v>Fail</v>
      </c>
      <c r="BL119" t="str" cm="1">
        <f t="array" ref="BL119">IF(AA119=_xlfn.XLOOKUP($B119,VmSpecs[[#All],[VM Name]],VmSpecs[[#All],[Data Disk1 Size]],"Failed",0,1),"Pass","Fail")</f>
        <v>Fail</v>
      </c>
      <c r="BM119" t="str" cm="1">
        <f t="array" ref="BM119">IF(LEFT(AC119,4)=LEFT(_xlfn.XLOOKUP($B119,VmSpecs[[#All],[VM Name]],VmSpecs[[#All],[Data Disk1 Type]],"Failed",0,1),4),"Pass","Fail")</f>
        <v>Fail</v>
      </c>
      <c r="BO119" t="e">
        <f>VLOOKUP('VM Specs'!K119,'As Built'!B:B,1,FALSE)</f>
        <v>#N/A</v>
      </c>
      <c r="BP119" t="str">
        <f>IF(ISNA(Table613[[#This Row],[VM Build Sheet Check]]),'VM Specs'!K119,"")</f>
        <v>vmpfbpf2oes18</v>
      </c>
    </row>
    <row r="120" spans="1:68" ht="33" customHeight="1" x14ac:dyDescent="0.35">
      <c r="A120" t="str">
        <f>IF(COUNTIF(AsBuilt[[#This Row],[VM Check]:[Data Disk 1 Type Check]],"Fail")&gt;0,"Fail","Pass")</f>
        <v>Fail</v>
      </c>
      <c r="B120" t="s">
        <v>1581</v>
      </c>
      <c r="C120" t="s">
        <v>754</v>
      </c>
      <c r="D120" t="s">
        <v>755</v>
      </c>
      <c r="E120" t="s">
        <v>756</v>
      </c>
      <c r="F120" t="s">
        <v>757</v>
      </c>
      <c r="G120" t="s">
        <v>758</v>
      </c>
      <c r="H120" t="s">
        <v>1455</v>
      </c>
      <c r="J120" t="s">
        <v>760</v>
      </c>
      <c r="K120" t="s">
        <v>761</v>
      </c>
      <c r="L120" t="s">
        <v>754</v>
      </c>
      <c r="M120" t="s">
        <v>1582</v>
      </c>
      <c r="N120" t="s">
        <v>763</v>
      </c>
      <c r="O120" t="s">
        <v>764</v>
      </c>
      <c r="P120" t="s">
        <v>63</v>
      </c>
      <c r="R120" t="s">
        <v>1583</v>
      </c>
      <c r="S120" t="s">
        <v>754</v>
      </c>
      <c r="U120" t="s">
        <v>1584</v>
      </c>
      <c r="V120" t="s">
        <v>767</v>
      </c>
      <c r="W120">
        <v>64</v>
      </c>
      <c r="X120" t="s">
        <v>768</v>
      </c>
      <c r="Y120">
        <v>2</v>
      </c>
      <c r="Z120" t="s">
        <v>1585</v>
      </c>
      <c r="AA120">
        <v>8</v>
      </c>
      <c r="AB120" t="s">
        <v>770</v>
      </c>
      <c r="AC120" t="s">
        <v>768</v>
      </c>
      <c r="AD120" t="s">
        <v>1586</v>
      </c>
      <c r="AE120">
        <v>32</v>
      </c>
      <c r="AF120" t="s">
        <v>770</v>
      </c>
      <c r="AG120" t="s">
        <v>768</v>
      </c>
      <c r="AT120" t="s">
        <v>772</v>
      </c>
      <c r="AU120" t="s">
        <v>1587</v>
      </c>
      <c r="AV120" t="str" cm="1">
        <f t="array" ref="AV120">IF(B120=_xlfn.XLOOKUP(B120,VmSpecs[[#All],[VM Name]],VmSpecs[[#All],[VM Name]],"Failed",0,1),"Pass","Fail")</f>
        <v>Fail</v>
      </c>
      <c r="AW120" t="str" cm="1">
        <f t="array" ref="AW120">IF(D120=_xlfn.XLOOKUP($B120,VmSpecs[[#All],[VM Name]],VmSpecs[[#All],[Virtual Machine Resource Groups]],"Failed",0,1),"Pass","Fail")</f>
        <v>Fail</v>
      </c>
      <c r="AX120" t="str" cm="1">
        <f t="array" ref="AX120">IF(_xlfn.IFS(E120="australiacentral","Australia Central 1",E120="australiaeast","Australia East",E120="australiasoutheast","Australia SouthEast")=_xlfn.XLOOKUP($B120,VmSpecs[[#All],[VM Name]],VmSpecs[[#All],[Region]],"Failed",0,1),"Pass","Fail")</f>
        <v>Fail</v>
      </c>
      <c r="AY120" t="str" cm="1">
        <f t="array" ref="AY120">IF(F120=_xlfn.XLOOKUP($B120,VmSpecs[[#All],[VM Name]],VmSpecs[[#All],[Instance size]],"Failed",0,1),"Pass","Fail")</f>
        <v>Fail</v>
      </c>
      <c r="AZ120" t="str" cm="1">
        <f t="array" ref="AZ120">IF(LOWER(H120)=_xlfn.XLOOKUP($B120,VmSpecs[[#All],[VM Name]],VmSpecs[[#All],[Availability Set Name]],"Failed",0,1),"Pass","Fail")</f>
        <v>Fail</v>
      </c>
      <c r="BA120" t="str" cm="1">
        <f t="array" ref="BA120">IF(J120=_xlfn.XLOOKUP($B120,VmSpecs[[#All],[VM Name]],VmSpecs[[#All],[Virtual Network]],"Failed",0,1),"Pass","Fail")</f>
        <v>Fail</v>
      </c>
      <c r="BB120" t="str" cm="1">
        <f t="array" ref="BB120">IF(K120=_xlfn.XLOOKUP($B120,VmSpecs[[#All],[VM Name]],VmSpecs[[#All],[Subnet]],"Failed",0,1),"Pass","Fail")</f>
        <v>Fail</v>
      </c>
      <c r="BC120" t="str" cm="1">
        <f t="array" ref="BC120">IF(M120=_xlfn.XLOOKUP($B120,VmSpecs[[#All],[VM Name]],VmSpecs[[#All],[IP]],"Failed",0,1),"Pass","Fail")</f>
        <v>Fail</v>
      </c>
      <c r="BD120" t="str" cm="1">
        <f t="array" ref="BD120">IF(N120=_xlfn.XLOOKUP($B120,VmSpecs[[#All],[VM Name]],VmSpecs[[#All],[Network Security Group]],"Failed",0,1),"Pass","Fail")</f>
        <v>Fail</v>
      </c>
      <c r="BE120" t="str" cm="1">
        <f t="array" ref="BE120">IF(O120=_xlfn.XLOOKUP($B120,VmSpecs[[#All],[VM Name]],VmSpecs[[#All],[Route Table Name]],"Failed",0,1),"Pass","Fail")</f>
        <v>Fail</v>
      </c>
      <c r="BF120" t="str" cm="1">
        <f t="array" ref="BF120">IF(P120=_xlfn.XLOOKUP($B120,VmSpecs[[#All],[VM Name]],VmSpecs[[#All],[Operating System]],"Failed",0,1),"Pass","Fail")</f>
        <v>Fail</v>
      </c>
      <c r="BG120" t="str" cm="1">
        <f t="array" ref="BG120">IF(R120=_xlfn.XLOOKUP($B120,VmSpecs[[#All],[VM Name]],VmSpecs[[#All],[NIC name]],"Failed",0,1),"Pass","Fail")</f>
        <v>Fail</v>
      </c>
      <c r="BH120" t="str" cm="1">
        <f t="array" ref="BH120">IF(U120=_xlfn.XLOOKUP($B120,VmSpecs[[#All],[VM Name]],VmSpecs[[#All],[OS Disk Name]],"Failed",0,1),"Pass","Fail")</f>
        <v>Fail</v>
      </c>
      <c r="BI120" t="str" cm="1">
        <f t="array" ref="BI120">IF(W120=_xlfn.XLOOKUP($B120,VmSpecs[[#All],[VM Name]],VmSpecs[[#All],[OS Disk Size]],"Failed",0,1),"Pass","Fail")</f>
        <v>Fail</v>
      </c>
      <c r="BJ120" t="str" cm="1">
        <f t="array" ref="BJ120">IF(LEFT(X120,4)=LEFT(_xlfn.XLOOKUP($B120,VmSpecs[[#All],[VM Name]],VmSpecs[[#All],[OS Disk Type (Standard SSD etc)]],"Failed",0,1),4),"Pass","Fail")</f>
        <v>Fail</v>
      </c>
      <c r="BK120" t="str" cm="1">
        <f t="array" ref="BK120">IF(Z120=_xlfn.XLOOKUP($B120,VmSpecs[[#All],[VM Name]],VmSpecs[[#All],[Data Disk1 Name]],"Failed",0,1),"Pass","Fail")</f>
        <v>Fail</v>
      </c>
      <c r="BL120" t="str" cm="1">
        <f t="array" ref="BL120">IF(AA120=_xlfn.XLOOKUP($B120,VmSpecs[[#All],[VM Name]],VmSpecs[[#All],[Data Disk1 Size]],"Failed",0,1),"Pass","Fail")</f>
        <v>Fail</v>
      </c>
      <c r="BM120" t="str" cm="1">
        <f t="array" ref="BM120">IF(LEFT(AC120,4)=LEFT(_xlfn.XLOOKUP($B120,VmSpecs[[#All],[VM Name]],VmSpecs[[#All],[Data Disk1 Type]],"Failed",0,1),4),"Pass","Fail")</f>
        <v>Fail</v>
      </c>
      <c r="BO120" t="e">
        <f>VLOOKUP('VM Specs'!K120,'As Built'!B:B,1,FALSE)</f>
        <v>#N/A</v>
      </c>
      <c r="BP120" t="str">
        <f>IF(ISNA(Table613[[#This Row],[VM Build Sheet Check]]),'VM Specs'!K120,"")</f>
        <v>vmpfbpf2oes19</v>
      </c>
    </row>
    <row r="121" spans="1:68" ht="33" customHeight="1" x14ac:dyDescent="0.35">
      <c r="A121" t="str">
        <f>IF(COUNTIF(AsBuilt[[#This Row],[VM Check]:[Data Disk 1 Type Check]],"Fail")&gt;0,"Fail","Pass")</f>
        <v>Fail</v>
      </c>
      <c r="B121" t="s">
        <v>1588</v>
      </c>
      <c r="C121" t="s">
        <v>754</v>
      </c>
      <c r="D121" t="s">
        <v>755</v>
      </c>
      <c r="E121" t="s">
        <v>756</v>
      </c>
      <c r="F121" t="s">
        <v>1067</v>
      </c>
      <c r="G121" t="s">
        <v>758</v>
      </c>
      <c r="H121" t="s">
        <v>1589</v>
      </c>
      <c r="J121" t="s">
        <v>760</v>
      </c>
      <c r="K121" t="s">
        <v>761</v>
      </c>
      <c r="L121" t="s">
        <v>754</v>
      </c>
      <c r="M121" t="s">
        <v>1590</v>
      </c>
      <c r="N121" t="s">
        <v>763</v>
      </c>
      <c r="O121" t="s">
        <v>764</v>
      </c>
      <c r="P121" t="s">
        <v>63</v>
      </c>
      <c r="R121" t="s">
        <v>1591</v>
      </c>
      <c r="S121" t="s">
        <v>754</v>
      </c>
      <c r="U121" t="s">
        <v>1592</v>
      </c>
      <c r="V121" t="s">
        <v>767</v>
      </c>
      <c r="W121">
        <v>64</v>
      </c>
      <c r="X121" t="s">
        <v>768</v>
      </c>
      <c r="Y121">
        <v>2</v>
      </c>
      <c r="Z121" t="s">
        <v>1593</v>
      </c>
      <c r="AA121">
        <v>8</v>
      </c>
      <c r="AB121" t="s">
        <v>770</v>
      </c>
      <c r="AC121" t="s">
        <v>768</v>
      </c>
      <c r="AD121" t="s">
        <v>1594</v>
      </c>
      <c r="AE121">
        <v>32</v>
      </c>
      <c r="AF121" t="s">
        <v>770</v>
      </c>
      <c r="AG121" t="s">
        <v>768</v>
      </c>
      <c r="AT121" t="s">
        <v>772</v>
      </c>
      <c r="AU121" t="s">
        <v>1595</v>
      </c>
      <c r="AV121" t="str" cm="1">
        <f t="array" ref="AV121">IF(B121=_xlfn.XLOOKUP(B121,VmSpecs[[#All],[VM Name]],VmSpecs[[#All],[VM Name]],"Failed",0,1),"Pass","Fail")</f>
        <v>Fail</v>
      </c>
      <c r="AW121" t="str" cm="1">
        <f t="array" ref="AW121">IF(D121=_xlfn.XLOOKUP($B121,VmSpecs[[#All],[VM Name]],VmSpecs[[#All],[Virtual Machine Resource Groups]],"Failed",0,1),"Pass","Fail")</f>
        <v>Fail</v>
      </c>
      <c r="AX121" t="str" cm="1">
        <f t="array" ref="AX121">IF(_xlfn.IFS(E121="australiacentral","Australia Central 1",E121="australiaeast","Australia East",E121="australiasoutheast","Australia SouthEast")=_xlfn.XLOOKUP($B121,VmSpecs[[#All],[VM Name]],VmSpecs[[#All],[Region]],"Failed",0,1),"Pass","Fail")</f>
        <v>Fail</v>
      </c>
      <c r="AY121" t="str" cm="1">
        <f t="array" ref="AY121">IF(F121=_xlfn.XLOOKUP($B121,VmSpecs[[#All],[VM Name]],VmSpecs[[#All],[Instance size]],"Failed",0,1),"Pass","Fail")</f>
        <v>Fail</v>
      </c>
      <c r="AZ121" t="str" cm="1">
        <f t="array" ref="AZ121">IF(LOWER(H121)=_xlfn.XLOOKUP($B121,VmSpecs[[#All],[VM Name]],VmSpecs[[#All],[Availability Set Name]],"Failed",0,1),"Pass","Fail")</f>
        <v>Fail</v>
      </c>
      <c r="BA121" t="str" cm="1">
        <f t="array" ref="BA121">IF(J121=_xlfn.XLOOKUP($B121,VmSpecs[[#All],[VM Name]],VmSpecs[[#All],[Virtual Network]],"Failed",0,1),"Pass","Fail")</f>
        <v>Fail</v>
      </c>
      <c r="BB121" t="str" cm="1">
        <f t="array" ref="BB121">IF(K121=_xlfn.XLOOKUP($B121,VmSpecs[[#All],[VM Name]],VmSpecs[[#All],[Subnet]],"Failed",0,1),"Pass","Fail")</f>
        <v>Fail</v>
      </c>
      <c r="BC121" t="str" cm="1">
        <f t="array" ref="BC121">IF(M121=_xlfn.XLOOKUP($B121,VmSpecs[[#All],[VM Name]],VmSpecs[[#All],[IP]],"Failed",0,1),"Pass","Fail")</f>
        <v>Fail</v>
      </c>
      <c r="BD121" t="str" cm="1">
        <f t="array" ref="BD121">IF(N121=_xlfn.XLOOKUP($B121,VmSpecs[[#All],[VM Name]],VmSpecs[[#All],[Network Security Group]],"Failed",0,1),"Pass","Fail")</f>
        <v>Fail</v>
      </c>
      <c r="BE121" t="str" cm="1">
        <f t="array" ref="BE121">IF(O121=_xlfn.XLOOKUP($B121,VmSpecs[[#All],[VM Name]],VmSpecs[[#All],[Route Table Name]],"Failed",0,1),"Pass","Fail")</f>
        <v>Fail</v>
      </c>
      <c r="BF121" t="str" cm="1">
        <f t="array" ref="BF121">IF(P121=_xlfn.XLOOKUP($B121,VmSpecs[[#All],[VM Name]],VmSpecs[[#All],[Operating System]],"Failed",0,1),"Pass","Fail")</f>
        <v>Fail</v>
      </c>
      <c r="BG121" t="str" cm="1">
        <f t="array" ref="BG121">IF(R121=_xlfn.XLOOKUP($B121,VmSpecs[[#All],[VM Name]],VmSpecs[[#All],[NIC name]],"Failed",0,1),"Pass","Fail")</f>
        <v>Fail</v>
      </c>
      <c r="BH121" t="str" cm="1">
        <f t="array" ref="BH121">IF(U121=_xlfn.XLOOKUP($B121,VmSpecs[[#All],[VM Name]],VmSpecs[[#All],[OS Disk Name]],"Failed",0,1),"Pass","Fail")</f>
        <v>Fail</v>
      </c>
      <c r="BI121" t="str" cm="1">
        <f t="array" ref="BI121">IF(W121=_xlfn.XLOOKUP($B121,VmSpecs[[#All],[VM Name]],VmSpecs[[#All],[OS Disk Size]],"Failed",0,1),"Pass","Fail")</f>
        <v>Fail</v>
      </c>
      <c r="BJ121" t="str" cm="1">
        <f t="array" ref="BJ121">IF(LEFT(X121,4)=LEFT(_xlfn.XLOOKUP($B121,VmSpecs[[#All],[VM Name]],VmSpecs[[#All],[OS Disk Type (Standard SSD etc)]],"Failed",0,1),4),"Pass","Fail")</f>
        <v>Fail</v>
      </c>
      <c r="BK121" t="str" cm="1">
        <f t="array" ref="BK121">IF(Z121=_xlfn.XLOOKUP($B121,VmSpecs[[#All],[VM Name]],VmSpecs[[#All],[Data Disk1 Name]],"Failed",0,1),"Pass","Fail")</f>
        <v>Fail</v>
      </c>
      <c r="BL121" t="str" cm="1">
        <f t="array" ref="BL121">IF(AA121=_xlfn.XLOOKUP($B121,VmSpecs[[#All],[VM Name]],VmSpecs[[#All],[Data Disk1 Size]],"Failed",0,1),"Pass","Fail")</f>
        <v>Fail</v>
      </c>
      <c r="BM121" t="str" cm="1">
        <f t="array" ref="BM121">IF(LEFT(AC121,4)=LEFT(_xlfn.XLOOKUP($B121,VmSpecs[[#All],[VM Name]],VmSpecs[[#All],[Data Disk1 Type]],"Failed",0,1),4),"Pass","Fail")</f>
        <v>Fail</v>
      </c>
      <c r="BO121" t="e">
        <f>VLOOKUP('VM Specs'!K121,'As Built'!B:B,1,FALSE)</f>
        <v>#N/A</v>
      </c>
      <c r="BP121" t="str">
        <f>IF(ISNA(Table613[[#This Row],[VM Build Sheet Check]]),'VM Specs'!K121,"")</f>
        <v>vmpfbpf2oid01</v>
      </c>
    </row>
    <row r="122" spans="1:68" ht="33" customHeight="1" x14ac:dyDescent="0.35">
      <c r="A122" t="str">
        <f>IF(COUNTIF(AsBuilt[[#This Row],[VM Check]:[Data Disk 1 Type Check]],"Fail")&gt;0,"Fail","Pass")</f>
        <v>Fail</v>
      </c>
      <c r="B122" t="s">
        <v>1596</v>
      </c>
      <c r="C122" t="s">
        <v>754</v>
      </c>
      <c r="D122" t="s">
        <v>755</v>
      </c>
      <c r="E122" t="s">
        <v>756</v>
      </c>
      <c r="F122" t="s">
        <v>1067</v>
      </c>
      <c r="G122" t="s">
        <v>758</v>
      </c>
      <c r="H122" t="s">
        <v>1589</v>
      </c>
      <c r="J122" t="s">
        <v>760</v>
      </c>
      <c r="K122" t="s">
        <v>761</v>
      </c>
      <c r="L122" t="s">
        <v>754</v>
      </c>
      <c r="M122" t="s">
        <v>1597</v>
      </c>
      <c r="N122" t="s">
        <v>763</v>
      </c>
      <c r="O122" t="s">
        <v>764</v>
      </c>
      <c r="P122" t="s">
        <v>63</v>
      </c>
      <c r="R122" t="s">
        <v>1598</v>
      </c>
      <c r="S122" t="s">
        <v>754</v>
      </c>
      <c r="U122" t="s">
        <v>1599</v>
      </c>
      <c r="V122" t="s">
        <v>767</v>
      </c>
      <c r="W122">
        <v>64</v>
      </c>
      <c r="X122" t="s">
        <v>768</v>
      </c>
      <c r="Y122">
        <v>2</v>
      </c>
      <c r="Z122" t="s">
        <v>1600</v>
      </c>
      <c r="AA122">
        <v>8</v>
      </c>
      <c r="AB122" t="s">
        <v>770</v>
      </c>
      <c r="AC122" t="s">
        <v>768</v>
      </c>
      <c r="AD122" t="s">
        <v>1601</v>
      </c>
      <c r="AE122">
        <v>32</v>
      </c>
      <c r="AF122" t="s">
        <v>770</v>
      </c>
      <c r="AG122" t="s">
        <v>768</v>
      </c>
      <c r="AT122" t="s">
        <v>772</v>
      </c>
      <c r="AU122" t="s">
        <v>1602</v>
      </c>
      <c r="AV122" t="str" cm="1">
        <f t="array" ref="AV122">IF(B122=_xlfn.XLOOKUP(B122,VmSpecs[[#All],[VM Name]],VmSpecs[[#All],[VM Name]],"Failed",0,1),"Pass","Fail")</f>
        <v>Fail</v>
      </c>
      <c r="AW122" t="str" cm="1">
        <f t="array" ref="AW122">IF(D122=_xlfn.XLOOKUP($B122,VmSpecs[[#All],[VM Name]],VmSpecs[[#All],[Virtual Machine Resource Groups]],"Failed",0,1),"Pass","Fail")</f>
        <v>Fail</v>
      </c>
      <c r="AX122" t="str" cm="1">
        <f t="array" ref="AX122">IF(_xlfn.IFS(E122="australiacentral","Australia Central 1",E122="australiaeast","Australia East",E122="australiasoutheast","Australia SouthEast")=_xlfn.XLOOKUP($B122,VmSpecs[[#All],[VM Name]],VmSpecs[[#All],[Region]],"Failed",0,1),"Pass","Fail")</f>
        <v>Fail</v>
      </c>
      <c r="AY122" t="str" cm="1">
        <f t="array" ref="AY122">IF(F122=_xlfn.XLOOKUP($B122,VmSpecs[[#All],[VM Name]],VmSpecs[[#All],[Instance size]],"Failed",0,1),"Pass","Fail")</f>
        <v>Fail</v>
      </c>
      <c r="AZ122" t="str" cm="1">
        <f t="array" ref="AZ122">IF(LOWER(H122)=_xlfn.XLOOKUP($B122,VmSpecs[[#All],[VM Name]],VmSpecs[[#All],[Availability Set Name]],"Failed",0,1),"Pass","Fail")</f>
        <v>Fail</v>
      </c>
      <c r="BA122" t="str" cm="1">
        <f t="array" ref="BA122">IF(J122=_xlfn.XLOOKUP($B122,VmSpecs[[#All],[VM Name]],VmSpecs[[#All],[Virtual Network]],"Failed",0,1),"Pass","Fail")</f>
        <v>Fail</v>
      </c>
      <c r="BB122" t="str" cm="1">
        <f t="array" ref="BB122">IF(K122=_xlfn.XLOOKUP($B122,VmSpecs[[#All],[VM Name]],VmSpecs[[#All],[Subnet]],"Failed",0,1),"Pass","Fail")</f>
        <v>Fail</v>
      </c>
      <c r="BC122" t="str" cm="1">
        <f t="array" ref="BC122">IF(M122=_xlfn.XLOOKUP($B122,VmSpecs[[#All],[VM Name]],VmSpecs[[#All],[IP]],"Failed",0,1),"Pass","Fail")</f>
        <v>Fail</v>
      </c>
      <c r="BD122" t="str" cm="1">
        <f t="array" ref="BD122">IF(N122=_xlfn.XLOOKUP($B122,VmSpecs[[#All],[VM Name]],VmSpecs[[#All],[Network Security Group]],"Failed",0,1),"Pass","Fail")</f>
        <v>Fail</v>
      </c>
      <c r="BE122" t="str" cm="1">
        <f t="array" ref="BE122">IF(O122=_xlfn.XLOOKUP($B122,VmSpecs[[#All],[VM Name]],VmSpecs[[#All],[Route Table Name]],"Failed",0,1),"Pass","Fail")</f>
        <v>Fail</v>
      </c>
      <c r="BF122" t="str" cm="1">
        <f t="array" ref="BF122">IF(P122=_xlfn.XLOOKUP($B122,VmSpecs[[#All],[VM Name]],VmSpecs[[#All],[Operating System]],"Failed",0,1),"Pass","Fail")</f>
        <v>Fail</v>
      </c>
      <c r="BG122" t="str" cm="1">
        <f t="array" ref="BG122">IF(R122=_xlfn.XLOOKUP($B122,VmSpecs[[#All],[VM Name]],VmSpecs[[#All],[NIC name]],"Failed",0,1),"Pass","Fail")</f>
        <v>Fail</v>
      </c>
      <c r="BH122" t="str" cm="1">
        <f t="array" ref="BH122">IF(U122=_xlfn.XLOOKUP($B122,VmSpecs[[#All],[VM Name]],VmSpecs[[#All],[OS Disk Name]],"Failed",0,1),"Pass","Fail")</f>
        <v>Fail</v>
      </c>
      <c r="BI122" t="str" cm="1">
        <f t="array" ref="BI122">IF(W122=_xlfn.XLOOKUP($B122,VmSpecs[[#All],[VM Name]],VmSpecs[[#All],[OS Disk Size]],"Failed",0,1),"Pass","Fail")</f>
        <v>Fail</v>
      </c>
      <c r="BJ122" t="str" cm="1">
        <f t="array" ref="BJ122">IF(LEFT(X122,4)=LEFT(_xlfn.XLOOKUP($B122,VmSpecs[[#All],[VM Name]],VmSpecs[[#All],[OS Disk Type (Standard SSD etc)]],"Failed",0,1),4),"Pass","Fail")</f>
        <v>Fail</v>
      </c>
      <c r="BK122" t="str" cm="1">
        <f t="array" ref="BK122">IF(Z122=_xlfn.XLOOKUP($B122,VmSpecs[[#All],[VM Name]],VmSpecs[[#All],[Data Disk1 Name]],"Failed",0,1),"Pass","Fail")</f>
        <v>Fail</v>
      </c>
      <c r="BL122" t="str" cm="1">
        <f t="array" ref="BL122">IF(AA122=_xlfn.XLOOKUP($B122,VmSpecs[[#All],[VM Name]],VmSpecs[[#All],[Data Disk1 Size]],"Failed",0,1),"Pass","Fail")</f>
        <v>Fail</v>
      </c>
      <c r="BM122" t="str" cm="1">
        <f t="array" ref="BM122">IF(LEFT(AC122,4)=LEFT(_xlfn.XLOOKUP($B122,VmSpecs[[#All],[VM Name]],VmSpecs[[#All],[Data Disk1 Type]],"Failed",0,1),4),"Pass","Fail")</f>
        <v>Fail</v>
      </c>
      <c r="BO122" t="e">
        <f>VLOOKUP('VM Specs'!K122,'As Built'!B:B,1,FALSE)</f>
        <v>#N/A</v>
      </c>
      <c r="BP122" t="str">
        <f>IF(ISNA(Table613[[#This Row],[VM Build Sheet Check]]),'VM Specs'!K122,"")</f>
        <v>vmpfbpf2oid02</v>
      </c>
    </row>
    <row r="123" spans="1:68" ht="33" customHeight="1" x14ac:dyDescent="0.35">
      <c r="A123" t="str">
        <f>IF(COUNTIF(AsBuilt[[#This Row],[VM Check]:[Data Disk 1 Type Check]],"Fail")&gt;0,"Fail","Pass")</f>
        <v>Fail</v>
      </c>
      <c r="B123" t="s">
        <v>1603</v>
      </c>
      <c r="C123" t="s">
        <v>754</v>
      </c>
      <c r="D123" t="s">
        <v>755</v>
      </c>
      <c r="E123" t="s">
        <v>756</v>
      </c>
      <c r="F123" t="s">
        <v>1067</v>
      </c>
      <c r="G123" t="s">
        <v>758</v>
      </c>
      <c r="H123" t="s">
        <v>1589</v>
      </c>
      <c r="J123" t="s">
        <v>760</v>
      </c>
      <c r="K123" t="s">
        <v>761</v>
      </c>
      <c r="L123" t="s">
        <v>754</v>
      </c>
      <c r="M123" t="s">
        <v>1604</v>
      </c>
      <c r="N123" t="s">
        <v>763</v>
      </c>
      <c r="O123" t="s">
        <v>764</v>
      </c>
      <c r="P123" t="s">
        <v>63</v>
      </c>
      <c r="R123" t="s">
        <v>1605</v>
      </c>
      <c r="S123" t="s">
        <v>754</v>
      </c>
      <c r="U123" t="s">
        <v>1606</v>
      </c>
      <c r="V123" t="s">
        <v>767</v>
      </c>
      <c r="W123">
        <v>64</v>
      </c>
      <c r="X123" t="s">
        <v>768</v>
      </c>
      <c r="Y123">
        <v>2</v>
      </c>
      <c r="Z123" t="s">
        <v>1607</v>
      </c>
      <c r="AA123">
        <v>8</v>
      </c>
      <c r="AB123" t="s">
        <v>770</v>
      </c>
      <c r="AC123" t="s">
        <v>768</v>
      </c>
      <c r="AD123" t="s">
        <v>1608</v>
      </c>
      <c r="AE123">
        <v>32</v>
      </c>
      <c r="AF123" t="s">
        <v>770</v>
      </c>
      <c r="AG123" t="s">
        <v>768</v>
      </c>
      <c r="AT123" t="s">
        <v>772</v>
      </c>
      <c r="AU123" t="s">
        <v>1609</v>
      </c>
      <c r="AV123" t="str" cm="1">
        <f t="array" ref="AV123">IF(B123=_xlfn.XLOOKUP(B123,VmSpecs[[#All],[VM Name]],VmSpecs[[#All],[VM Name]],"Failed",0,1),"Pass","Fail")</f>
        <v>Fail</v>
      </c>
      <c r="AW123" t="str" cm="1">
        <f t="array" ref="AW123">IF(D123=_xlfn.XLOOKUP($B123,VmSpecs[[#All],[VM Name]],VmSpecs[[#All],[Virtual Machine Resource Groups]],"Failed",0,1),"Pass","Fail")</f>
        <v>Fail</v>
      </c>
      <c r="AX123" t="str" cm="1">
        <f t="array" ref="AX123">IF(_xlfn.IFS(E123="australiacentral","Australia Central 1",E123="australiaeast","Australia East",E123="australiasoutheast","Australia SouthEast")=_xlfn.XLOOKUP($B123,VmSpecs[[#All],[VM Name]],VmSpecs[[#All],[Region]],"Failed",0,1),"Pass","Fail")</f>
        <v>Fail</v>
      </c>
      <c r="AY123" t="str" cm="1">
        <f t="array" ref="AY123">IF(F123=_xlfn.XLOOKUP($B123,VmSpecs[[#All],[VM Name]],VmSpecs[[#All],[Instance size]],"Failed",0,1),"Pass","Fail")</f>
        <v>Fail</v>
      </c>
      <c r="AZ123" t="str" cm="1">
        <f t="array" ref="AZ123">IF(LOWER(H123)=_xlfn.XLOOKUP($B123,VmSpecs[[#All],[VM Name]],VmSpecs[[#All],[Availability Set Name]],"Failed",0,1),"Pass","Fail")</f>
        <v>Fail</v>
      </c>
      <c r="BA123" t="str" cm="1">
        <f t="array" ref="BA123">IF(J123=_xlfn.XLOOKUP($B123,VmSpecs[[#All],[VM Name]],VmSpecs[[#All],[Virtual Network]],"Failed",0,1),"Pass","Fail")</f>
        <v>Fail</v>
      </c>
      <c r="BB123" t="str" cm="1">
        <f t="array" ref="BB123">IF(K123=_xlfn.XLOOKUP($B123,VmSpecs[[#All],[VM Name]],VmSpecs[[#All],[Subnet]],"Failed",0,1),"Pass","Fail")</f>
        <v>Fail</v>
      </c>
      <c r="BC123" t="str" cm="1">
        <f t="array" ref="BC123">IF(M123=_xlfn.XLOOKUP($B123,VmSpecs[[#All],[VM Name]],VmSpecs[[#All],[IP]],"Failed",0,1),"Pass","Fail")</f>
        <v>Fail</v>
      </c>
      <c r="BD123" t="str" cm="1">
        <f t="array" ref="BD123">IF(N123=_xlfn.XLOOKUP($B123,VmSpecs[[#All],[VM Name]],VmSpecs[[#All],[Network Security Group]],"Failed",0,1),"Pass","Fail")</f>
        <v>Fail</v>
      </c>
      <c r="BE123" t="str" cm="1">
        <f t="array" ref="BE123">IF(O123=_xlfn.XLOOKUP($B123,VmSpecs[[#All],[VM Name]],VmSpecs[[#All],[Route Table Name]],"Failed",0,1),"Pass","Fail")</f>
        <v>Fail</v>
      </c>
      <c r="BF123" t="str" cm="1">
        <f t="array" ref="BF123">IF(P123=_xlfn.XLOOKUP($B123,VmSpecs[[#All],[VM Name]],VmSpecs[[#All],[Operating System]],"Failed",0,1),"Pass","Fail")</f>
        <v>Fail</v>
      </c>
      <c r="BG123" t="str" cm="1">
        <f t="array" ref="BG123">IF(R123=_xlfn.XLOOKUP($B123,VmSpecs[[#All],[VM Name]],VmSpecs[[#All],[NIC name]],"Failed",0,1),"Pass","Fail")</f>
        <v>Fail</v>
      </c>
      <c r="BH123" t="str" cm="1">
        <f t="array" ref="BH123">IF(U123=_xlfn.XLOOKUP($B123,VmSpecs[[#All],[VM Name]],VmSpecs[[#All],[OS Disk Name]],"Failed",0,1),"Pass","Fail")</f>
        <v>Fail</v>
      </c>
      <c r="BI123" t="str" cm="1">
        <f t="array" ref="BI123">IF(W123=_xlfn.XLOOKUP($B123,VmSpecs[[#All],[VM Name]],VmSpecs[[#All],[OS Disk Size]],"Failed",0,1),"Pass","Fail")</f>
        <v>Fail</v>
      </c>
      <c r="BJ123" t="str" cm="1">
        <f t="array" ref="BJ123">IF(LEFT(X123,4)=LEFT(_xlfn.XLOOKUP($B123,VmSpecs[[#All],[VM Name]],VmSpecs[[#All],[OS Disk Type (Standard SSD etc)]],"Failed",0,1),4),"Pass","Fail")</f>
        <v>Fail</v>
      </c>
      <c r="BK123" t="str" cm="1">
        <f t="array" ref="BK123">IF(Z123=_xlfn.XLOOKUP($B123,VmSpecs[[#All],[VM Name]],VmSpecs[[#All],[Data Disk1 Name]],"Failed",0,1),"Pass","Fail")</f>
        <v>Fail</v>
      </c>
      <c r="BL123" t="str" cm="1">
        <f t="array" ref="BL123">IF(AA123=_xlfn.XLOOKUP($B123,VmSpecs[[#All],[VM Name]],VmSpecs[[#All],[Data Disk1 Size]],"Failed",0,1),"Pass","Fail")</f>
        <v>Fail</v>
      </c>
      <c r="BM123" t="str" cm="1">
        <f t="array" ref="BM123">IF(LEFT(AC123,4)=LEFT(_xlfn.XLOOKUP($B123,VmSpecs[[#All],[VM Name]],VmSpecs[[#All],[Data Disk1 Type]],"Failed",0,1),4),"Pass","Fail")</f>
        <v>Fail</v>
      </c>
      <c r="BO123" t="e">
        <f>VLOOKUP('VM Specs'!K123,'As Built'!B:B,1,FALSE)</f>
        <v>#N/A</v>
      </c>
      <c r="BP123" t="str">
        <f>IF(ISNA(Table613[[#This Row],[VM Build Sheet Check]]),'VM Specs'!K123,"")</f>
        <v>vmpfbpf2oid03</v>
      </c>
    </row>
    <row r="124" spans="1:68" ht="33" customHeight="1" x14ac:dyDescent="0.35">
      <c r="A124" t="str">
        <f>IF(COUNTIF(AsBuilt[[#This Row],[VM Check]:[Data Disk 1 Type Check]],"Fail")&gt;0,"Fail","Pass")</f>
        <v>Fail</v>
      </c>
      <c r="B124" t="s">
        <v>1610</v>
      </c>
      <c r="C124" t="s">
        <v>754</v>
      </c>
      <c r="D124" t="s">
        <v>755</v>
      </c>
      <c r="E124" t="s">
        <v>756</v>
      </c>
      <c r="F124" t="s">
        <v>1067</v>
      </c>
      <c r="G124" t="s">
        <v>758</v>
      </c>
      <c r="H124" t="s">
        <v>1589</v>
      </c>
      <c r="J124" t="s">
        <v>760</v>
      </c>
      <c r="K124" t="s">
        <v>761</v>
      </c>
      <c r="L124" t="s">
        <v>754</v>
      </c>
      <c r="M124" t="s">
        <v>1611</v>
      </c>
      <c r="N124" t="s">
        <v>763</v>
      </c>
      <c r="O124" t="s">
        <v>764</v>
      </c>
      <c r="P124" t="s">
        <v>63</v>
      </c>
      <c r="R124" t="s">
        <v>1612</v>
      </c>
      <c r="S124" t="s">
        <v>754</v>
      </c>
      <c r="U124" t="s">
        <v>1613</v>
      </c>
      <c r="V124" t="s">
        <v>767</v>
      </c>
      <c r="W124">
        <v>64</v>
      </c>
      <c r="X124" t="s">
        <v>768</v>
      </c>
      <c r="Y124">
        <v>2</v>
      </c>
      <c r="Z124" t="s">
        <v>1614</v>
      </c>
      <c r="AA124">
        <v>8</v>
      </c>
      <c r="AB124" t="s">
        <v>770</v>
      </c>
      <c r="AC124" t="s">
        <v>768</v>
      </c>
      <c r="AD124" t="s">
        <v>1615</v>
      </c>
      <c r="AE124">
        <v>32</v>
      </c>
      <c r="AF124" t="s">
        <v>770</v>
      </c>
      <c r="AG124" t="s">
        <v>768</v>
      </c>
      <c r="AT124" t="s">
        <v>772</v>
      </c>
      <c r="AU124" t="s">
        <v>1616</v>
      </c>
      <c r="AV124" t="str" cm="1">
        <f t="array" ref="AV124">IF(B124=_xlfn.XLOOKUP(B124,VmSpecs[[#All],[VM Name]],VmSpecs[[#All],[VM Name]],"Failed",0,1),"Pass","Fail")</f>
        <v>Fail</v>
      </c>
      <c r="AW124" t="str" cm="1">
        <f t="array" ref="AW124">IF(D124=_xlfn.XLOOKUP($B124,VmSpecs[[#All],[VM Name]],VmSpecs[[#All],[Virtual Machine Resource Groups]],"Failed",0,1),"Pass","Fail")</f>
        <v>Fail</v>
      </c>
      <c r="AX124" t="str" cm="1">
        <f t="array" ref="AX124">IF(_xlfn.IFS(E124="australiacentral","Australia Central 1",E124="australiaeast","Australia East",E124="australiasoutheast","Australia SouthEast")=_xlfn.XLOOKUP($B124,VmSpecs[[#All],[VM Name]],VmSpecs[[#All],[Region]],"Failed",0,1),"Pass","Fail")</f>
        <v>Fail</v>
      </c>
      <c r="AY124" t="str" cm="1">
        <f t="array" ref="AY124">IF(F124=_xlfn.XLOOKUP($B124,VmSpecs[[#All],[VM Name]],VmSpecs[[#All],[Instance size]],"Failed",0,1),"Pass","Fail")</f>
        <v>Fail</v>
      </c>
      <c r="AZ124" t="str" cm="1">
        <f t="array" ref="AZ124">IF(LOWER(H124)=_xlfn.XLOOKUP($B124,VmSpecs[[#All],[VM Name]],VmSpecs[[#All],[Availability Set Name]],"Failed",0,1),"Pass","Fail")</f>
        <v>Fail</v>
      </c>
      <c r="BA124" t="str" cm="1">
        <f t="array" ref="BA124">IF(J124=_xlfn.XLOOKUP($B124,VmSpecs[[#All],[VM Name]],VmSpecs[[#All],[Virtual Network]],"Failed",0,1),"Pass","Fail")</f>
        <v>Fail</v>
      </c>
      <c r="BB124" t="str" cm="1">
        <f t="array" ref="BB124">IF(K124=_xlfn.XLOOKUP($B124,VmSpecs[[#All],[VM Name]],VmSpecs[[#All],[Subnet]],"Failed",0,1),"Pass","Fail")</f>
        <v>Fail</v>
      </c>
      <c r="BC124" t="str" cm="1">
        <f t="array" ref="BC124">IF(M124=_xlfn.XLOOKUP($B124,VmSpecs[[#All],[VM Name]],VmSpecs[[#All],[IP]],"Failed",0,1),"Pass","Fail")</f>
        <v>Fail</v>
      </c>
      <c r="BD124" t="str" cm="1">
        <f t="array" ref="BD124">IF(N124=_xlfn.XLOOKUP($B124,VmSpecs[[#All],[VM Name]],VmSpecs[[#All],[Network Security Group]],"Failed",0,1),"Pass","Fail")</f>
        <v>Fail</v>
      </c>
      <c r="BE124" t="str" cm="1">
        <f t="array" ref="BE124">IF(O124=_xlfn.XLOOKUP($B124,VmSpecs[[#All],[VM Name]],VmSpecs[[#All],[Route Table Name]],"Failed",0,1),"Pass","Fail")</f>
        <v>Fail</v>
      </c>
      <c r="BF124" t="str" cm="1">
        <f t="array" ref="BF124">IF(P124=_xlfn.XLOOKUP($B124,VmSpecs[[#All],[VM Name]],VmSpecs[[#All],[Operating System]],"Failed",0,1),"Pass","Fail")</f>
        <v>Fail</v>
      </c>
      <c r="BG124" t="str" cm="1">
        <f t="array" ref="BG124">IF(R124=_xlfn.XLOOKUP($B124,VmSpecs[[#All],[VM Name]],VmSpecs[[#All],[NIC name]],"Failed",0,1),"Pass","Fail")</f>
        <v>Fail</v>
      </c>
      <c r="BH124" t="str" cm="1">
        <f t="array" ref="BH124">IF(U124=_xlfn.XLOOKUP($B124,VmSpecs[[#All],[VM Name]],VmSpecs[[#All],[OS Disk Name]],"Failed",0,1),"Pass","Fail")</f>
        <v>Fail</v>
      </c>
      <c r="BI124" t="str" cm="1">
        <f t="array" ref="BI124">IF(W124=_xlfn.XLOOKUP($B124,VmSpecs[[#All],[VM Name]],VmSpecs[[#All],[OS Disk Size]],"Failed",0,1),"Pass","Fail")</f>
        <v>Fail</v>
      </c>
      <c r="BJ124" t="str" cm="1">
        <f t="array" ref="BJ124">IF(LEFT(X124,4)=LEFT(_xlfn.XLOOKUP($B124,VmSpecs[[#All],[VM Name]],VmSpecs[[#All],[OS Disk Type (Standard SSD etc)]],"Failed",0,1),4),"Pass","Fail")</f>
        <v>Fail</v>
      </c>
      <c r="BK124" t="str" cm="1">
        <f t="array" ref="BK124">IF(Z124=_xlfn.XLOOKUP($B124,VmSpecs[[#All],[VM Name]],VmSpecs[[#All],[Data Disk1 Name]],"Failed",0,1),"Pass","Fail")</f>
        <v>Fail</v>
      </c>
      <c r="BL124" t="str" cm="1">
        <f t="array" ref="BL124">IF(AA124=_xlfn.XLOOKUP($B124,VmSpecs[[#All],[VM Name]],VmSpecs[[#All],[Data Disk1 Size]],"Failed",0,1),"Pass","Fail")</f>
        <v>Fail</v>
      </c>
      <c r="BM124" t="str" cm="1">
        <f t="array" ref="BM124">IF(LEFT(AC124,4)=LEFT(_xlfn.XLOOKUP($B124,VmSpecs[[#All],[VM Name]],VmSpecs[[#All],[Data Disk1 Type]],"Failed",0,1),4),"Pass","Fail")</f>
        <v>Fail</v>
      </c>
      <c r="BO124" t="e">
        <f>VLOOKUP('VM Specs'!K124,'As Built'!B:B,1,FALSE)</f>
        <v>#N/A</v>
      </c>
      <c r="BP124" t="str">
        <f>IF(ISNA(Table613[[#This Row],[VM Build Sheet Check]]),'VM Specs'!K124,"")</f>
        <v>vmpfbpf2oid04</v>
      </c>
    </row>
    <row r="125" spans="1:68" ht="33" customHeight="1" x14ac:dyDescent="0.35">
      <c r="A125" t="str">
        <f>IF(COUNTIF(AsBuilt[[#This Row],[VM Check]:[Data Disk 1 Type Check]],"Fail")&gt;0,"Fail","Pass")</f>
        <v>Fail</v>
      </c>
      <c r="B125" t="s">
        <v>1617</v>
      </c>
      <c r="C125" t="s">
        <v>754</v>
      </c>
      <c r="D125" t="s">
        <v>755</v>
      </c>
      <c r="E125" t="s">
        <v>756</v>
      </c>
      <c r="F125" t="s">
        <v>1067</v>
      </c>
      <c r="G125" t="s">
        <v>758</v>
      </c>
      <c r="H125" t="s">
        <v>1589</v>
      </c>
      <c r="J125" t="s">
        <v>760</v>
      </c>
      <c r="K125" t="s">
        <v>761</v>
      </c>
      <c r="L125" t="s">
        <v>754</v>
      </c>
      <c r="M125" t="s">
        <v>1618</v>
      </c>
      <c r="N125" t="s">
        <v>763</v>
      </c>
      <c r="O125" t="s">
        <v>764</v>
      </c>
      <c r="P125" t="s">
        <v>63</v>
      </c>
      <c r="R125" t="s">
        <v>1619</v>
      </c>
      <c r="S125" t="s">
        <v>754</v>
      </c>
      <c r="U125" t="s">
        <v>1620</v>
      </c>
      <c r="V125" t="s">
        <v>767</v>
      </c>
      <c r="W125">
        <v>64</v>
      </c>
      <c r="X125" t="s">
        <v>768</v>
      </c>
      <c r="Y125">
        <v>2</v>
      </c>
      <c r="Z125" t="s">
        <v>1621</v>
      </c>
      <c r="AA125">
        <v>8</v>
      </c>
      <c r="AB125" t="s">
        <v>770</v>
      </c>
      <c r="AC125" t="s">
        <v>768</v>
      </c>
      <c r="AD125" t="s">
        <v>1622</v>
      </c>
      <c r="AE125">
        <v>32</v>
      </c>
      <c r="AF125" t="s">
        <v>770</v>
      </c>
      <c r="AG125" t="s">
        <v>768</v>
      </c>
      <c r="AT125" t="s">
        <v>772</v>
      </c>
      <c r="AU125" t="s">
        <v>1623</v>
      </c>
      <c r="AV125" t="str" cm="1">
        <f t="array" ref="AV125">IF(B125=_xlfn.XLOOKUP(B125,VmSpecs[[#All],[VM Name]],VmSpecs[[#All],[VM Name]],"Failed",0,1),"Pass","Fail")</f>
        <v>Fail</v>
      </c>
      <c r="AW125" t="str" cm="1">
        <f t="array" ref="AW125">IF(D125=_xlfn.XLOOKUP($B125,VmSpecs[[#All],[VM Name]],VmSpecs[[#All],[Virtual Machine Resource Groups]],"Failed",0,1),"Pass","Fail")</f>
        <v>Fail</v>
      </c>
      <c r="AX125" t="str" cm="1">
        <f t="array" ref="AX125">IF(_xlfn.IFS(E125="australiacentral","Australia Central 1",E125="australiaeast","Australia East",E125="australiasoutheast","Australia SouthEast")=_xlfn.XLOOKUP($B125,VmSpecs[[#All],[VM Name]],VmSpecs[[#All],[Region]],"Failed",0,1),"Pass","Fail")</f>
        <v>Fail</v>
      </c>
      <c r="AY125" t="str" cm="1">
        <f t="array" ref="AY125">IF(F125=_xlfn.XLOOKUP($B125,VmSpecs[[#All],[VM Name]],VmSpecs[[#All],[Instance size]],"Failed",0,1),"Pass","Fail")</f>
        <v>Fail</v>
      </c>
      <c r="AZ125" t="str" cm="1">
        <f t="array" ref="AZ125">IF(LOWER(H125)=_xlfn.XLOOKUP($B125,VmSpecs[[#All],[VM Name]],VmSpecs[[#All],[Availability Set Name]],"Failed",0,1),"Pass","Fail")</f>
        <v>Fail</v>
      </c>
      <c r="BA125" t="str" cm="1">
        <f t="array" ref="BA125">IF(J125=_xlfn.XLOOKUP($B125,VmSpecs[[#All],[VM Name]],VmSpecs[[#All],[Virtual Network]],"Failed",0,1),"Pass","Fail")</f>
        <v>Fail</v>
      </c>
      <c r="BB125" t="str" cm="1">
        <f t="array" ref="BB125">IF(K125=_xlfn.XLOOKUP($B125,VmSpecs[[#All],[VM Name]],VmSpecs[[#All],[Subnet]],"Failed",0,1),"Pass","Fail")</f>
        <v>Fail</v>
      </c>
      <c r="BC125" t="str" cm="1">
        <f t="array" ref="BC125">IF(M125=_xlfn.XLOOKUP($B125,VmSpecs[[#All],[VM Name]],VmSpecs[[#All],[IP]],"Failed",0,1),"Pass","Fail")</f>
        <v>Fail</v>
      </c>
      <c r="BD125" t="str" cm="1">
        <f t="array" ref="BD125">IF(N125=_xlfn.XLOOKUP($B125,VmSpecs[[#All],[VM Name]],VmSpecs[[#All],[Network Security Group]],"Failed",0,1),"Pass","Fail")</f>
        <v>Fail</v>
      </c>
      <c r="BE125" t="str" cm="1">
        <f t="array" ref="BE125">IF(O125=_xlfn.XLOOKUP($B125,VmSpecs[[#All],[VM Name]],VmSpecs[[#All],[Route Table Name]],"Failed",0,1),"Pass","Fail")</f>
        <v>Fail</v>
      </c>
      <c r="BF125" t="str" cm="1">
        <f t="array" ref="BF125">IF(P125=_xlfn.XLOOKUP($B125,VmSpecs[[#All],[VM Name]],VmSpecs[[#All],[Operating System]],"Failed",0,1),"Pass","Fail")</f>
        <v>Fail</v>
      </c>
      <c r="BG125" t="str" cm="1">
        <f t="array" ref="BG125">IF(R125=_xlfn.XLOOKUP($B125,VmSpecs[[#All],[VM Name]],VmSpecs[[#All],[NIC name]],"Failed",0,1),"Pass","Fail")</f>
        <v>Fail</v>
      </c>
      <c r="BH125" t="str" cm="1">
        <f t="array" ref="BH125">IF(U125=_xlfn.XLOOKUP($B125,VmSpecs[[#All],[VM Name]],VmSpecs[[#All],[OS Disk Name]],"Failed",0,1),"Pass","Fail")</f>
        <v>Fail</v>
      </c>
      <c r="BI125" t="str" cm="1">
        <f t="array" ref="BI125">IF(W125=_xlfn.XLOOKUP($B125,VmSpecs[[#All],[VM Name]],VmSpecs[[#All],[OS Disk Size]],"Failed",0,1),"Pass","Fail")</f>
        <v>Fail</v>
      </c>
      <c r="BJ125" t="str" cm="1">
        <f t="array" ref="BJ125">IF(LEFT(X125,4)=LEFT(_xlfn.XLOOKUP($B125,VmSpecs[[#All],[VM Name]],VmSpecs[[#All],[OS Disk Type (Standard SSD etc)]],"Failed",0,1),4),"Pass","Fail")</f>
        <v>Fail</v>
      </c>
      <c r="BK125" t="str" cm="1">
        <f t="array" ref="BK125">IF(Z125=_xlfn.XLOOKUP($B125,VmSpecs[[#All],[VM Name]],VmSpecs[[#All],[Data Disk1 Name]],"Failed",0,1),"Pass","Fail")</f>
        <v>Fail</v>
      </c>
      <c r="BL125" t="str" cm="1">
        <f t="array" ref="BL125">IF(AA125=_xlfn.XLOOKUP($B125,VmSpecs[[#All],[VM Name]],VmSpecs[[#All],[Data Disk1 Size]],"Failed",0,1),"Pass","Fail")</f>
        <v>Fail</v>
      </c>
      <c r="BM125" t="str" cm="1">
        <f t="array" ref="BM125">IF(LEFT(AC125,4)=LEFT(_xlfn.XLOOKUP($B125,VmSpecs[[#All],[VM Name]],VmSpecs[[#All],[Data Disk1 Type]],"Failed",0,1),4),"Pass","Fail")</f>
        <v>Fail</v>
      </c>
      <c r="BO125" t="e">
        <f>VLOOKUP('VM Specs'!K125,'As Built'!B:B,1,FALSE)</f>
        <v>#N/A</v>
      </c>
      <c r="BP125" t="str">
        <f>IF(ISNA(Table613[[#This Row],[VM Build Sheet Check]]),'VM Specs'!K125,"")</f>
        <v>vmpfbpf2oid05</v>
      </c>
    </row>
    <row r="126" spans="1:68" ht="33" customHeight="1" x14ac:dyDescent="0.35">
      <c r="A126" t="str">
        <f>IF(COUNTIF(AsBuilt[[#This Row],[VM Check]:[Data Disk 1 Type Check]],"Fail")&gt;0,"Fail","Pass")</f>
        <v>Fail</v>
      </c>
      <c r="B126" t="s">
        <v>1624</v>
      </c>
      <c r="C126" t="s">
        <v>754</v>
      </c>
      <c r="D126" t="s">
        <v>755</v>
      </c>
      <c r="E126" t="s">
        <v>756</v>
      </c>
      <c r="F126" t="s">
        <v>1067</v>
      </c>
      <c r="G126" t="s">
        <v>758</v>
      </c>
      <c r="H126" t="s">
        <v>1589</v>
      </c>
      <c r="J126" t="s">
        <v>760</v>
      </c>
      <c r="K126" t="s">
        <v>761</v>
      </c>
      <c r="L126" t="s">
        <v>754</v>
      </c>
      <c r="M126" t="s">
        <v>1625</v>
      </c>
      <c r="N126" t="s">
        <v>763</v>
      </c>
      <c r="O126" t="s">
        <v>764</v>
      </c>
      <c r="P126" t="s">
        <v>63</v>
      </c>
      <c r="R126" t="s">
        <v>1626</v>
      </c>
      <c r="S126" t="s">
        <v>754</v>
      </c>
      <c r="U126" t="s">
        <v>1627</v>
      </c>
      <c r="V126" t="s">
        <v>767</v>
      </c>
      <c r="W126">
        <v>64</v>
      </c>
      <c r="X126" t="s">
        <v>768</v>
      </c>
      <c r="Y126">
        <v>2</v>
      </c>
      <c r="Z126" t="s">
        <v>1628</v>
      </c>
      <c r="AA126">
        <v>8</v>
      </c>
      <c r="AB126" t="s">
        <v>770</v>
      </c>
      <c r="AC126" t="s">
        <v>768</v>
      </c>
      <c r="AD126" t="s">
        <v>1629</v>
      </c>
      <c r="AE126">
        <v>32</v>
      </c>
      <c r="AF126" t="s">
        <v>770</v>
      </c>
      <c r="AG126" t="s">
        <v>768</v>
      </c>
      <c r="AT126" t="s">
        <v>772</v>
      </c>
      <c r="AU126" t="s">
        <v>1630</v>
      </c>
      <c r="AV126" t="str" cm="1">
        <f t="array" ref="AV126">IF(B126=_xlfn.XLOOKUP(B126,VmSpecs[[#All],[VM Name]],VmSpecs[[#All],[VM Name]],"Failed",0,1),"Pass","Fail")</f>
        <v>Fail</v>
      </c>
      <c r="AW126" t="str" cm="1">
        <f t="array" ref="AW126">IF(D126=_xlfn.XLOOKUP($B126,VmSpecs[[#All],[VM Name]],VmSpecs[[#All],[Virtual Machine Resource Groups]],"Failed",0,1),"Pass","Fail")</f>
        <v>Fail</v>
      </c>
      <c r="AX126" t="str" cm="1">
        <f t="array" ref="AX126">IF(_xlfn.IFS(E126="australiacentral","Australia Central 1",E126="australiaeast","Australia East",E126="australiasoutheast","Australia SouthEast")=_xlfn.XLOOKUP($B126,VmSpecs[[#All],[VM Name]],VmSpecs[[#All],[Region]],"Failed",0,1),"Pass","Fail")</f>
        <v>Fail</v>
      </c>
      <c r="AY126" t="str" cm="1">
        <f t="array" ref="AY126">IF(F126=_xlfn.XLOOKUP($B126,VmSpecs[[#All],[VM Name]],VmSpecs[[#All],[Instance size]],"Failed",0,1),"Pass","Fail")</f>
        <v>Fail</v>
      </c>
      <c r="AZ126" t="str" cm="1">
        <f t="array" ref="AZ126">IF(LOWER(H126)=_xlfn.XLOOKUP($B126,VmSpecs[[#All],[VM Name]],VmSpecs[[#All],[Availability Set Name]],"Failed",0,1),"Pass","Fail")</f>
        <v>Fail</v>
      </c>
      <c r="BA126" t="str" cm="1">
        <f t="array" ref="BA126">IF(J126=_xlfn.XLOOKUP($B126,VmSpecs[[#All],[VM Name]],VmSpecs[[#All],[Virtual Network]],"Failed",0,1),"Pass","Fail")</f>
        <v>Fail</v>
      </c>
      <c r="BB126" t="str" cm="1">
        <f t="array" ref="BB126">IF(K126=_xlfn.XLOOKUP($B126,VmSpecs[[#All],[VM Name]],VmSpecs[[#All],[Subnet]],"Failed",0,1),"Pass","Fail")</f>
        <v>Fail</v>
      </c>
      <c r="BC126" t="str" cm="1">
        <f t="array" ref="BC126">IF(M126=_xlfn.XLOOKUP($B126,VmSpecs[[#All],[VM Name]],VmSpecs[[#All],[IP]],"Failed",0,1),"Pass","Fail")</f>
        <v>Fail</v>
      </c>
      <c r="BD126" t="str" cm="1">
        <f t="array" ref="BD126">IF(N126=_xlfn.XLOOKUP($B126,VmSpecs[[#All],[VM Name]],VmSpecs[[#All],[Network Security Group]],"Failed",0,1),"Pass","Fail")</f>
        <v>Fail</v>
      </c>
      <c r="BE126" t="str" cm="1">
        <f t="array" ref="BE126">IF(O126=_xlfn.XLOOKUP($B126,VmSpecs[[#All],[VM Name]],VmSpecs[[#All],[Route Table Name]],"Failed",0,1),"Pass","Fail")</f>
        <v>Fail</v>
      </c>
      <c r="BF126" t="str" cm="1">
        <f t="array" ref="BF126">IF(P126=_xlfn.XLOOKUP($B126,VmSpecs[[#All],[VM Name]],VmSpecs[[#All],[Operating System]],"Failed",0,1),"Pass","Fail")</f>
        <v>Fail</v>
      </c>
      <c r="BG126" t="str" cm="1">
        <f t="array" ref="BG126">IF(R126=_xlfn.XLOOKUP($B126,VmSpecs[[#All],[VM Name]],VmSpecs[[#All],[NIC name]],"Failed",0,1),"Pass","Fail")</f>
        <v>Fail</v>
      </c>
      <c r="BH126" t="str" cm="1">
        <f t="array" ref="BH126">IF(U126=_xlfn.XLOOKUP($B126,VmSpecs[[#All],[VM Name]],VmSpecs[[#All],[OS Disk Name]],"Failed",0,1),"Pass","Fail")</f>
        <v>Fail</v>
      </c>
      <c r="BI126" t="str" cm="1">
        <f t="array" ref="BI126">IF(W126=_xlfn.XLOOKUP($B126,VmSpecs[[#All],[VM Name]],VmSpecs[[#All],[OS Disk Size]],"Failed",0,1),"Pass","Fail")</f>
        <v>Fail</v>
      </c>
      <c r="BJ126" t="str" cm="1">
        <f t="array" ref="BJ126">IF(LEFT(X126,4)=LEFT(_xlfn.XLOOKUP($B126,VmSpecs[[#All],[VM Name]],VmSpecs[[#All],[OS Disk Type (Standard SSD etc)]],"Failed",0,1),4),"Pass","Fail")</f>
        <v>Fail</v>
      </c>
      <c r="BK126" t="str" cm="1">
        <f t="array" ref="BK126">IF(Z126=_xlfn.XLOOKUP($B126,VmSpecs[[#All],[VM Name]],VmSpecs[[#All],[Data Disk1 Name]],"Failed",0,1),"Pass","Fail")</f>
        <v>Fail</v>
      </c>
      <c r="BL126" t="str" cm="1">
        <f t="array" ref="BL126">IF(AA126=_xlfn.XLOOKUP($B126,VmSpecs[[#All],[VM Name]],VmSpecs[[#All],[Data Disk1 Size]],"Failed",0,1),"Pass","Fail")</f>
        <v>Fail</v>
      </c>
      <c r="BM126" t="str" cm="1">
        <f t="array" ref="BM126">IF(LEFT(AC126,4)=LEFT(_xlfn.XLOOKUP($B126,VmSpecs[[#All],[VM Name]],VmSpecs[[#All],[Data Disk1 Type]],"Failed",0,1),4),"Pass","Fail")</f>
        <v>Fail</v>
      </c>
      <c r="BO126" t="e">
        <f>VLOOKUP('VM Specs'!K126,'As Built'!B:B,1,FALSE)</f>
        <v>#N/A</v>
      </c>
      <c r="BP126" t="str">
        <f>IF(ISNA(Table613[[#This Row],[VM Build Sheet Check]]),'VM Specs'!K126,"")</f>
        <v>vmpfbpf2oid06</v>
      </c>
    </row>
    <row r="127" spans="1:68" ht="33" customHeight="1" x14ac:dyDescent="0.35">
      <c r="A127" t="str">
        <f>IF(COUNTIF(AsBuilt[[#This Row],[VM Check]:[Data Disk 1 Type Check]],"Fail")&gt;0,"Fail","Pass")</f>
        <v>Fail</v>
      </c>
      <c r="B127" t="s">
        <v>1631</v>
      </c>
      <c r="C127" t="s">
        <v>754</v>
      </c>
      <c r="D127" t="s">
        <v>755</v>
      </c>
      <c r="E127" t="s">
        <v>756</v>
      </c>
      <c r="F127" t="s">
        <v>1067</v>
      </c>
      <c r="G127" t="s">
        <v>758</v>
      </c>
      <c r="H127" t="s">
        <v>1589</v>
      </c>
      <c r="J127" t="s">
        <v>760</v>
      </c>
      <c r="K127" t="s">
        <v>761</v>
      </c>
      <c r="L127" t="s">
        <v>754</v>
      </c>
      <c r="M127" t="s">
        <v>1632</v>
      </c>
      <c r="N127" t="s">
        <v>763</v>
      </c>
      <c r="O127" t="s">
        <v>764</v>
      </c>
      <c r="P127" t="s">
        <v>63</v>
      </c>
      <c r="R127" t="s">
        <v>1633</v>
      </c>
      <c r="S127" t="s">
        <v>754</v>
      </c>
      <c r="U127" t="s">
        <v>1634</v>
      </c>
      <c r="V127" t="s">
        <v>767</v>
      </c>
      <c r="W127">
        <v>64</v>
      </c>
      <c r="X127" t="s">
        <v>768</v>
      </c>
      <c r="Y127">
        <v>2</v>
      </c>
      <c r="Z127" t="s">
        <v>1635</v>
      </c>
      <c r="AA127">
        <v>8</v>
      </c>
      <c r="AB127" t="s">
        <v>770</v>
      </c>
      <c r="AC127" t="s">
        <v>768</v>
      </c>
      <c r="AD127" t="s">
        <v>1636</v>
      </c>
      <c r="AE127">
        <v>32</v>
      </c>
      <c r="AF127" t="s">
        <v>770</v>
      </c>
      <c r="AG127" t="s">
        <v>768</v>
      </c>
      <c r="AT127" t="s">
        <v>772</v>
      </c>
      <c r="AU127" t="s">
        <v>1637</v>
      </c>
      <c r="AV127" t="str" cm="1">
        <f t="array" ref="AV127">IF(B127=_xlfn.XLOOKUP(B127,VmSpecs[[#All],[VM Name]],VmSpecs[[#All],[VM Name]],"Failed",0,1),"Pass","Fail")</f>
        <v>Fail</v>
      </c>
      <c r="AW127" t="str" cm="1">
        <f t="array" ref="AW127">IF(D127=_xlfn.XLOOKUP($B127,VmSpecs[[#All],[VM Name]],VmSpecs[[#All],[Virtual Machine Resource Groups]],"Failed",0,1),"Pass","Fail")</f>
        <v>Fail</v>
      </c>
      <c r="AX127" t="str" cm="1">
        <f t="array" ref="AX127">IF(_xlfn.IFS(E127="australiacentral","Australia Central 1",E127="australiaeast","Australia East",E127="australiasoutheast","Australia SouthEast")=_xlfn.XLOOKUP($B127,VmSpecs[[#All],[VM Name]],VmSpecs[[#All],[Region]],"Failed",0,1),"Pass","Fail")</f>
        <v>Fail</v>
      </c>
      <c r="AY127" t="str" cm="1">
        <f t="array" ref="AY127">IF(F127=_xlfn.XLOOKUP($B127,VmSpecs[[#All],[VM Name]],VmSpecs[[#All],[Instance size]],"Failed",0,1),"Pass","Fail")</f>
        <v>Fail</v>
      </c>
      <c r="AZ127" t="str" cm="1">
        <f t="array" ref="AZ127">IF(LOWER(H127)=_xlfn.XLOOKUP($B127,VmSpecs[[#All],[VM Name]],VmSpecs[[#All],[Availability Set Name]],"Failed",0,1),"Pass","Fail")</f>
        <v>Fail</v>
      </c>
      <c r="BA127" t="str" cm="1">
        <f t="array" ref="BA127">IF(J127=_xlfn.XLOOKUP($B127,VmSpecs[[#All],[VM Name]],VmSpecs[[#All],[Virtual Network]],"Failed",0,1),"Pass","Fail")</f>
        <v>Fail</v>
      </c>
      <c r="BB127" t="str" cm="1">
        <f t="array" ref="BB127">IF(K127=_xlfn.XLOOKUP($B127,VmSpecs[[#All],[VM Name]],VmSpecs[[#All],[Subnet]],"Failed",0,1),"Pass","Fail")</f>
        <v>Fail</v>
      </c>
      <c r="BC127" t="str" cm="1">
        <f t="array" ref="BC127">IF(M127=_xlfn.XLOOKUP($B127,VmSpecs[[#All],[VM Name]],VmSpecs[[#All],[IP]],"Failed",0,1),"Pass","Fail")</f>
        <v>Fail</v>
      </c>
      <c r="BD127" t="str" cm="1">
        <f t="array" ref="BD127">IF(N127=_xlfn.XLOOKUP($B127,VmSpecs[[#All],[VM Name]],VmSpecs[[#All],[Network Security Group]],"Failed",0,1),"Pass","Fail")</f>
        <v>Fail</v>
      </c>
      <c r="BE127" t="str" cm="1">
        <f t="array" ref="BE127">IF(O127=_xlfn.XLOOKUP($B127,VmSpecs[[#All],[VM Name]],VmSpecs[[#All],[Route Table Name]],"Failed",0,1),"Pass","Fail")</f>
        <v>Fail</v>
      </c>
      <c r="BF127" t="str" cm="1">
        <f t="array" ref="BF127">IF(P127=_xlfn.XLOOKUP($B127,VmSpecs[[#All],[VM Name]],VmSpecs[[#All],[Operating System]],"Failed",0,1),"Pass","Fail")</f>
        <v>Fail</v>
      </c>
      <c r="BG127" t="str" cm="1">
        <f t="array" ref="BG127">IF(R127=_xlfn.XLOOKUP($B127,VmSpecs[[#All],[VM Name]],VmSpecs[[#All],[NIC name]],"Failed",0,1),"Pass","Fail")</f>
        <v>Fail</v>
      </c>
      <c r="BH127" t="str" cm="1">
        <f t="array" ref="BH127">IF(U127=_xlfn.XLOOKUP($B127,VmSpecs[[#All],[VM Name]],VmSpecs[[#All],[OS Disk Name]],"Failed",0,1),"Pass","Fail")</f>
        <v>Fail</v>
      </c>
      <c r="BI127" t="str" cm="1">
        <f t="array" ref="BI127">IF(W127=_xlfn.XLOOKUP($B127,VmSpecs[[#All],[VM Name]],VmSpecs[[#All],[OS Disk Size]],"Failed",0,1),"Pass","Fail")</f>
        <v>Fail</v>
      </c>
      <c r="BJ127" t="str" cm="1">
        <f t="array" ref="BJ127">IF(LEFT(X127,4)=LEFT(_xlfn.XLOOKUP($B127,VmSpecs[[#All],[VM Name]],VmSpecs[[#All],[OS Disk Type (Standard SSD etc)]],"Failed",0,1),4),"Pass","Fail")</f>
        <v>Fail</v>
      </c>
      <c r="BK127" t="str" cm="1">
        <f t="array" ref="BK127">IF(Z127=_xlfn.XLOOKUP($B127,VmSpecs[[#All],[VM Name]],VmSpecs[[#All],[Data Disk1 Name]],"Failed",0,1),"Pass","Fail")</f>
        <v>Fail</v>
      </c>
      <c r="BL127" t="str" cm="1">
        <f t="array" ref="BL127">IF(AA127=_xlfn.XLOOKUP($B127,VmSpecs[[#All],[VM Name]],VmSpecs[[#All],[Data Disk1 Size]],"Failed",0,1),"Pass","Fail")</f>
        <v>Fail</v>
      </c>
      <c r="BM127" t="str" cm="1">
        <f t="array" ref="BM127">IF(LEFT(AC127,4)=LEFT(_xlfn.XLOOKUP($B127,VmSpecs[[#All],[VM Name]],VmSpecs[[#All],[Data Disk1 Type]],"Failed",0,1),4),"Pass","Fail")</f>
        <v>Fail</v>
      </c>
      <c r="BO127" t="e">
        <f>VLOOKUP('VM Specs'!K127,'As Built'!B:B,1,FALSE)</f>
        <v>#N/A</v>
      </c>
      <c r="BP127" t="str">
        <f>IF(ISNA(Table613[[#This Row],[VM Build Sheet Check]]),'VM Specs'!K127,"")</f>
        <v>vmpfbpf2oid07</v>
      </c>
    </row>
    <row r="128" spans="1:68" ht="33" customHeight="1" x14ac:dyDescent="0.35">
      <c r="A128" t="str">
        <f>IF(COUNTIF(AsBuilt[[#This Row],[VM Check]:[Data Disk 1 Type Check]],"Fail")&gt;0,"Fail","Pass")</f>
        <v>Fail</v>
      </c>
      <c r="B128" t="s">
        <v>1638</v>
      </c>
      <c r="C128" t="s">
        <v>754</v>
      </c>
      <c r="D128" t="s">
        <v>755</v>
      </c>
      <c r="E128" t="s">
        <v>756</v>
      </c>
      <c r="F128" t="s">
        <v>1067</v>
      </c>
      <c r="G128" t="s">
        <v>758</v>
      </c>
      <c r="H128" t="s">
        <v>1589</v>
      </c>
      <c r="J128" t="s">
        <v>760</v>
      </c>
      <c r="K128" t="s">
        <v>761</v>
      </c>
      <c r="L128" t="s">
        <v>754</v>
      </c>
      <c r="M128" t="s">
        <v>1639</v>
      </c>
      <c r="N128" t="s">
        <v>763</v>
      </c>
      <c r="O128" t="s">
        <v>764</v>
      </c>
      <c r="P128" t="s">
        <v>63</v>
      </c>
      <c r="R128" t="s">
        <v>1640</v>
      </c>
      <c r="S128" t="s">
        <v>754</v>
      </c>
      <c r="U128" t="s">
        <v>1641</v>
      </c>
      <c r="V128" t="s">
        <v>767</v>
      </c>
      <c r="W128">
        <v>64</v>
      </c>
      <c r="X128" t="s">
        <v>768</v>
      </c>
      <c r="Y128">
        <v>2</v>
      </c>
      <c r="Z128" t="s">
        <v>1642</v>
      </c>
      <c r="AA128">
        <v>8</v>
      </c>
      <c r="AB128" t="s">
        <v>770</v>
      </c>
      <c r="AC128" t="s">
        <v>768</v>
      </c>
      <c r="AD128" t="s">
        <v>1643</v>
      </c>
      <c r="AE128">
        <v>32</v>
      </c>
      <c r="AF128" t="s">
        <v>770</v>
      </c>
      <c r="AG128" t="s">
        <v>768</v>
      </c>
      <c r="AT128" t="s">
        <v>772</v>
      </c>
      <c r="AU128" t="s">
        <v>1644</v>
      </c>
      <c r="AV128" t="str" cm="1">
        <f t="array" ref="AV128">IF(B128=_xlfn.XLOOKUP(B128,VmSpecs[[#All],[VM Name]],VmSpecs[[#All],[VM Name]],"Failed",0,1),"Pass","Fail")</f>
        <v>Fail</v>
      </c>
      <c r="AW128" t="str" cm="1">
        <f t="array" ref="AW128">IF(D128=_xlfn.XLOOKUP($B128,VmSpecs[[#All],[VM Name]],VmSpecs[[#All],[Virtual Machine Resource Groups]],"Failed",0,1),"Pass","Fail")</f>
        <v>Fail</v>
      </c>
      <c r="AX128" t="str" cm="1">
        <f t="array" ref="AX128">IF(_xlfn.IFS(E128="australiacentral","Australia Central 1",E128="australiaeast","Australia East",E128="australiasoutheast","Australia SouthEast")=_xlfn.XLOOKUP($B128,VmSpecs[[#All],[VM Name]],VmSpecs[[#All],[Region]],"Failed",0,1),"Pass","Fail")</f>
        <v>Fail</v>
      </c>
      <c r="AY128" t="str" cm="1">
        <f t="array" ref="AY128">IF(F128=_xlfn.XLOOKUP($B128,VmSpecs[[#All],[VM Name]],VmSpecs[[#All],[Instance size]],"Failed",0,1),"Pass","Fail")</f>
        <v>Fail</v>
      </c>
      <c r="AZ128" t="str" cm="1">
        <f t="array" ref="AZ128">IF(LOWER(H128)=_xlfn.XLOOKUP($B128,VmSpecs[[#All],[VM Name]],VmSpecs[[#All],[Availability Set Name]],"Failed",0,1),"Pass","Fail")</f>
        <v>Fail</v>
      </c>
      <c r="BA128" t="str" cm="1">
        <f t="array" ref="BA128">IF(J128=_xlfn.XLOOKUP($B128,VmSpecs[[#All],[VM Name]],VmSpecs[[#All],[Virtual Network]],"Failed",0,1),"Pass","Fail")</f>
        <v>Fail</v>
      </c>
      <c r="BB128" t="str" cm="1">
        <f t="array" ref="BB128">IF(K128=_xlfn.XLOOKUP($B128,VmSpecs[[#All],[VM Name]],VmSpecs[[#All],[Subnet]],"Failed",0,1),"Pass","Fail")</f>
        <v>Fail</v>
      </c>
      <c r="BC128" t="str" cm="1">
        <f t="array" ref="BC128">IF(M128=_xlfn.XLOOKUP($B128,VmSpecs[[#All],[VM Name]],VmSpecs[[#All],[IP]],"Failed",0,1),"Pass","Fail")</f>
        <v>Fail</v>
      </c>
      <c r="BD128" t="str" cm="1">
        <f t="array" ref="BD128">IF(N128=_xlfn.XLOOKUP($B128,VmSpecs[[#All],[VM Name]],VmSpecs[[#All],[Network Security Group]],"Failed",0,1),"Pass","Fail")</f>
        <v>Fail</v>
      </c>
      <c r="BE128" t="str" cm="1">
        <f t="array" ref="BE128">IF(O128=_xlfn.XLOOKUP($B128,VmSpecs[[#All],[VM Name]],VmSpecs[[#All],[Route Table Name]],"Failed",0,1),"Pass","Fail")</f>
        <v>Fail</v>
      </c>
      <c r="BF128" t="str" cm="1">
        <f t="array" ref="BF128">IF(P128=_xlfn.XLOOKUP($B128,VmSpecs[[#All],[VM Name]],VmSpecs[[#All],[Operating System]],"Failed",0,1),"Pass","Fail")</f>
        <v>Fail</v>
      </c>
      <c r="BG128" t="str" cm="1">
        <f t="array" ref="BG128">IF(R128=_xlfn.XLOOKUP($B128,VmSpecs[[#All],[VM Name]],VmSpecs[[#All],[NIC name]],"Failed",0,1),"Pass","Fail")</f>
        <v>Fail</v>
      </c>
      <c r="BH128" t="str" cm="1">
        <f t="array" ref="BH128">IF(U128=_xlfn.XLOOKUP($B128,VmSpecs[[#All],[VM Name]],VmSpecs[[#All],[OS Disk Name]],"Failed",0,1),"Pass","Fail")</f>
        <v>Fail</v>
      </c>
      <c r="BI128" t="str" cm="1">
        <f t="array" ref="BI128">IF(W128=_xlfn.XLOOKUP($B128,VmSpecs[[#All],[VM Name]],VmSpecs[[#All],[OS Disk Size]],"Failed",0,1),"Pass","Fail")</f>
        <v>Fail</v>
      </c>
      <c r="BJ128" t="str" cm="1">
        <f t="array" ref="BJ128">IF(LEFT(X128,4)=LEFT(_xlfn.XLOOKUP($B128,VmSpecs[[#All],[VM Name]],VmSpecs[[#All],[OS Disk Type (Standard SSD etc)]],"Failed",0,1),4),"Pass","Fail")</f>
        <v>Fail</v>
      </c>
      <c r="BK128" t="str" cm="1">
        <f t="array" ref="BK128">IF(Z128=_xlfn.XLOOKUP($B128,VmSpecs[[#All],[VM Name]],VmSpecs[[#All],[Data Disk1 Name]],"Failed",0,1),"Pass","Fail")</f>
        <v>Fail</v>
      </c>
      <c r="BL128" t="str" cm="1">
        <f t="array" ref="BL128">IF(AA128=_xlfn.XLOOKUP($B128,VmSpecs[[#All],[VM Name]],VmSpecs[[#All],[Data Disk1 Size]],"Failed",0,1),"Pass","Fail")</f>
        <v>Fail</v>
      </c>
      <c r="BM128" t="str" cm="1">
        <f t="array" ref="BM128">IF(LEFT(AC128,4)=LEFT(_xlfn.XLOOKUP($B128,VmSpecs[[#All],[VM Name]],VmSpecs[[#All],[Data Disk1 Type]],"Failed",0,1),4),"Pass","Fail")</f>
        <v>Fail</v>
      </c>
      <c r="BO128" t="e">
        <f>VLOOKUP('VM Specs'!K128,'As Built'!B:B,1,FALSE)</f>
        <v>#N/A</v>
      </c>
      <c r="BP128" t="str">
        <f>IF(ISNA(Table613[[#This Row],[VM Build Sheet Check]]),'VM Specs'!K128,"")</f>
        <v>vmpfbpf2oid08</v>
      </c>
    </row>
    <row r="129" spans="1:68" ht="33" customHeight="1" x14ac:dyDescent="0.35">
      <c r="A129" t="str">
        <f>IF(COUNTIF(AsBuilt[[#This Row],[VM Check]:[Data Disk 1 Type Check]],"Fail")&gt;0,"Fail","Pass")</f>
        <v>Fail</v>
      </c>
      <c r="B129" t="s">
        <v>1645</v>
      </c>
      <c r="C129" t="s">
        <v>754</v>
      </c>
      <c r="D129" t="s">
        <v>755</v>
      </c>
      <c r="E129" t="s">
        <v>756</v>
      </c>
      <c r="F129" t="s">
        <v>1067</v>
      </c>
      <c r="G129" t="s">
        <v>758</v>
      </c>
      <c r="H129" t="s">
        <v>1589</v>
      </c>
      <c r="J129" t="s">
        <v>760</v>
      </c>
      <c r="K129" t="s">
        <v>761</v>
      </c>
      <c r="L129" t="s">
        <v>754</v>
      </c>
      <c r="M129" t="s">
        <v>1646</v>
      </c>
      <c r="N129" t="s">
        <v>763</v>
      </c>
      <c r="O129" t="s">
        <v>764</v>
      </c>
      <c r="P129" t="s">
        <v>63</v>
      </c>
      <c r="R129" t="s">
        <v>1647</v>
      </c>
      <c r="S129" t="s">
        <v>754</v>
      </c>
      <c r="U129" t="s">
        <v>1648</v>
      </c>
      <c r="V129" t="s">
        <v>767</v>
      </c>
      <c r="W129">
        <v>64</v>
      </c>
      <c r="X129" t="s">
        <v>768</v>
      </c>
      <c r="Y129">
        <v>2</v>
      </c>
      <c r="Z129" t="s">
        <v>1649</v>
      </c>
      <c r="AA129">
        <v>8</v>
      </c>
      <c r="AB129" t="s">
        <v>770</v>
      </c>
      <c r="AC129" t="s">
        <v>768</v>
      </c>
      <c r="AD129" t="s">
        <v>1650</v>
      </c>
      <c r="AE129">
        <v>32</v>
      </c>
      <c r="AF129" t="s">
        <v>770</v>
      </c>
      <c r="AG129" t="s">
        <v>768</v>
      </c>
      <c r="AT129" t="s">
        <v>772</v>
      </c>
      <c r="AU129" t="s">
        <v>1651</v>
      </c>
      <c r="AV129" t="str" cm="1">
        <f t="array" ref="AV129">IF(B129=_xlfn.XLOOKUP(B129,VmSpecs[[#All],[VM Name]],VmSpecs[[#All],[VM Name]],"Failed",0,1),"Pass","Fail")</f>
        <v>Fail</v>
      </c>
      <c r="AW129" t="str" cm="1">
        <f t="array" ref="AW129">IF(D129=_xlfn.XLOOKUP($B129,VmSpecs[[#All],[VM Name]],VmSpecs[[#All],[Virtual Machine Resource Groups]],"Failed",0,1),"Pass","Fail")</f>
        <v>Fail</v>
      </c>
      <c r="AX129" t="str" cm="1">
        <f t="array" ref="AX129">IF(_xlfn.IFS(E129="australiacentral","Australia Central 1",E129="australiaeast","Australia East",E129="australiasoutheast","Australia SouthEast")=_xlfn.XLOOKUP($B129,VmSpecs[[#All],[VM Name]],VmSpecs[[#All],[Region]],"Failed",0,1),"Pass","Fail")</f>
        <v>Fail</v>
      </c>
      <c r="AY129" t="str" cm="1">
        <f t="array" ref="AY129">IF(F129=_xlfn.XLOOKUP($B129,VmSpecs[[#All],[VM Name]],VmSpecs[[#All],[Instance size]],"Failed",0,1),"Pass","Fail")</f>
        <v>Fail</v>
      </c>
      <c r="AZ129" t="str" cm="1">
        <f t="array" ref="AZ129">IF(LOWER(H129)=_xlfn.XLOOKUP($B129,VmSpecs[[#All],[VM Name]],VmSpecs[[#All],[Availability Set Name]],"Failed",0,1),"Pass","Fail")</f>
        <v>Fail</v>
      </c>
      <c r="BA129" t="str" cm="1">
        <f t="array" ref="BA129">IF(J129=_xlfn.XLOOKUP($B129,VmSpecs[[#All],[VM Name]],VmSpecs[[#All],[Virtual Network]],"Failed",0,1),"Pass","Fail")</f>
        <v>Fail</v>
      </c>
      <c r="BB129" t="str" cm="1">
        <f t="array" ref="BB129">IF(K129=_xlfn.XLOOKUP($B129,VmSpecs[[#All],[VM Name]],VmSpecs[[#All],[Subnet]],"Failed",0,1),"Pass","Fail")</f>
        <v>Fail</v>
      </c>
      <c r="BC129" t="str" cm="1">
        <f t="array" ref="BC129">IF(M129=_xlfn.XLOOKUP($B129,VmSpecs[[#All],[VM Name]],VmSpecs[[#All],[IP]],"Failed",0,1),"Pass","Fail")</f>
        <v>Fail</v>
      </c>
      <c r="BD129" t="str" cm="1">
        <f t="array" ref="BD129">IF(N129=_xlfn.XLOOKUP($B129,VmSpecs[[#All],[VM Name]],VmSpecs[[#All],[Network Security Group]],"Failed",0,1),"Pass","Fail")</f>
        <v>Fail</v>
      </c>
      <c r="BE129" t="str" cm="1">
        <f t="array" ref="BE129">IF(O129=_xlfn.XLOOKUP($B129,VmSpecs[[#All],[VM Name]],VmSpecs[[#All],[Route Table Name]],"Failed",0,1),"Pass","Fail")</f>
        <v>Fail</v>
      </c>
      <c r="BF129" t="str" cm="1">
        <f t="array" ref="BF129">IF(P129=_xlfn.XLOOKUP($B129,VmSpecs[[#All],[VM Name]],VmSpecs[[#All],[Operating System]],"Failed",0,1),"Pass","Fail")</f>
        <v>Fail</v>
      </c>
      <c r="BG129" t="str" cm="1">
        <f t="array" ref="BG129">IF(R129=_xlfn.XLOOKUP($B129,VmSpecs[[#All],[VM Name]],VmSpecs[[#All],[NIC name]],"Failed",0,1),"Pass","Fail")</f>
        <v>Fail</v>
      </c>
      <c r="BH129" t="str" cm="1">
        <f t="array" ref="BH129">IF(U129=_xlfn.XLOOKUP($B129,VmSpecs[[#All],[VM Name]],VmSpecs[[#All],[OS Disk Name]],"Failed",0,1),"Pass","Fail")</f>
        <v>Fail</v>
      </c>
      <c r="BI129" t="str" cm="1">
        <f t="array" ref="BI129">IF(W129=_xlfn.XLOOKUP($B129,VmSpecs[[#All],[VM Name]],VmSpecs[[#All],[OS Disk Size]],"Failed",0,1),"Pass","Fail")</f>
        <v>Fail</v>
      </c>
      <c r="BJ129" t="str" cm="1">
        <f t="array" ref="BJ129">IF(LEFT(X129,4)=LEFT(_xlfn.XLOOKUP($B129,VmSpecs[[#All],[VM Name]],VmSpecs[[#All],[OS Disk Type (Standard SSD etc)]],"Failed",0,1),4),"Pass","Fail")</f>
        <v>Fail</v>
      </c>
      <c r="BK129" t="str" cm="1">
        <f t="array" ref="BK129">IF(Z129=_xlfn.XLOOKUP($B129,VmSpecs[[#All],[VM Name]],VmSpecs[[#All],[Data Disk1 Name]],"Failed",0,1),"Pass","Fail")</f>
        <v>Fail</v>
      </c>
      <c r="BL129" t="str" cm="1">
        <f t="array" ref="BL129">IF(AA129=_xlfn.XLOOKUP($B129,VmSpecs[[#All],[VM Name]],VmSpecs[[#All],[Data Disk1 Size]],"Failed",0,1),"Pass","Fail")</f>
        <v>Fail</v>
      </c>
      <c r="BM129" t="str" cm="1">
        <f t="array" ref="BM129">IF(LEFT(AC129,4)=LEFT(_xlfn.XLOOKUP($B129,VmSpecs[[#All],[VM Name]],VmSpecs[[#All],[Data Disk1 Type]],"Failed",0,1),4),"Pass","Fail")</f>
        <v>Fail</v>
      </c>
      <c r="BO129" t="e">
        <f>VLOOKUP('VM Specs'!K129,'As Built'!B:B,1,FALSE)</f>
        <v>#N/A</v>
      </c>
      <c r="BP129" t="str">
        <f>IF(ISNA(Table613[[#This Row],[VM Build Sheet Check]]),'VM Specs'!K129,"")</f>
        <v>vmpfbpf2oid09</v>
      </c>
    </row>
    <row r="130" spans="1:68" ht="33" customHeight="1" x14ac:dyDescent="0.35">
      <c r="A130" t="str">
        <f>IF(COUNTIF(AsBuilt[[#This Row],[VM Check]:[Data Disk 1 Type Check]],"Fail")&gt;0,"Fail","Pass")</f>
        <v>Fail</v>
      </c>
      <c r="B130" t="s">
        <v>1652</v>
      </c>
      <c r="C130" t="s">
        <v>754</v>
      </c>
      <c r="D130" t="s">
        <v>755</v>
      </c>
      <c r="E130" t="s">
        <v>756</v>
      </c>
      <c r="F130" t="s">
        <v>1067</v>
      </c>
      <c r="G130" t="s">
        <v>758</v>
      </c>
      <c r="H130" t="s">
        <v>1589</v>
      </c>
      <c r="J130" t="s">
        <v>760</v>
      </c>
      <c r="K130" t="s">
        <v>761</v>
      </c>
      <c r="L130" t="s">
        <v>754</v>
      </c>
      <c r="M130" t="s">
        <v>1653</v>
      </c>
      <c r="N130" t="s">
        <v>763</v>
      </c>
      <c r="O130" t="s">
        <v>764</v>
      </c>
      <c r="P130" t="s">
        <v>63</v>
      </c>
      <c r="R130" t="s">
        <v>1654</v>
      </c>
      <c r="S130" t="s">
        <v>754</v>
      </c>
      <c r="U130" t="s">
        <v>1655</v>
      </c>
      <c r="V130" t="s">
        <v>767</v>
      </c>
      <c r="W130">
        <v>64</v>
      </c>
      <c r="X130" t="s">
        <v>768</v>
      </c>
      <c r="Y130">
        <v>2</v>
      </c>
      <c r="Z130" t="s">
        <v>1656</v>
      </c>
      <c r="AA130">
        <v>8</v>
      </c>
      <c r="AB130" t="s">
        <v>770</v>
      </c>
      <c r="AC130" t="s">
        <v>768</v>
      </c>
      <c r="AD130" t="s">
        <v>1657</v>
      </c>
      <c r="AE130">
        <v>32</v>
      </c>
      <c r="AF130" t="s">
        <v>770</v>
      </c>
      <c r="AG130" t="s">
        <v>768</v>
      </c>
      <c r="AT130" t="s">
        <v>772</v>
      </c>
      <c r="AU130" t="s">
        <v>1658</v>
      </c>
      <c r="AV130" t="str" cm="1">
        <f t="array" ref="AV130">IF(B130=_xlfn.XLOOKUP(B130,VmSpecs[[#All],[VM Name]],VmSpecs[[#All],[VM Name]],"Failed",0,1),"Pass","Fail")</f>
        <v>Fail</v>
      </c>
      <c r="AW130" t="str" cm="1">
        <f t="array" ref="AW130">IF(D130=_xlfn.XLOOKUP($B130,VmSpecs[[#All],[VM Name]],VmSpecs[[#All],[Virtual Machine Resource Groups]],"Failed",0,1),"Pass","Fail")</f>
        <v>Fail</v>
      </c>
      <c r="AX130" t="str" cm="1">
        <f t="array" ref="AX130">IF(_xlfn.IFS(E130="australiacentral","Australia Central 1",E130="australiaeast","Australia East",E130="australiasoutheast","Australia SouthEast")=_xlfn.XLOOKUP($B130,VmSpecs[[#All],[VM Name]],VmSpecs[[#All],[Region]],"Failed",0,1),"Pass","Fail")</f>
        <v>Fail</v>
      </c>
      <c r="AY130" t="str" cm="1">
        <f t="array" ref="AY130">IF(F130=_xlfn.XLOOKUP($B130,VmSpecs[[#All],[VM Name]],VmSpecs[[#All],[Instance size]],"Failed",0,1),"Pass","Fail")</f>
        <v>Fail</v>
      </c>
      <c r="AZ130" t="str" cm="1">
        <f t="array" ref="AZ130">IF(LOWER(H130)=_xlfn.XLOOKUP($B130,VmSpecs[[#All],[VM Name]],VmSpecs[[#All],[Availability Set Name]],"Failed",0,1),"Pass","Fail")</f>
        <v>Fail</v>
      </c>
      <c r="BA130" t="str" cm="1">
        <f t="array" ref="BA130">IF(J130=_xlfn.XLOOKUP($B130,VmSpecs[[#All],[VM Name]],VmSpecs[[#All],[Virtual Network]],"Failed",0,1),"Pass","Fail")</f>
        <v>Fail</v>
      </c>
      <c r="BB130" t="str" cm="1">
        <f t="array" ref="BB130">IF(K130=_xlfn.XLOOKUP($B130,VmSpecs[[#All],[VM Name]],VmSpecs[[#All],[Subnet]],"Failed",0,1),"Pass","Fail")</f>
        <v>Fail</v>
      </c>
      <c r="BC130" t="str" cm="1">
        <f t="array" ref="BC130">IF(M130=_xlfn.XLOOKUP($B130,VmSpecs[[#All],[VM Name]],VmSpecs[[#All],[IP]],"Failed",0,1),"Pass","Fail")</f>
        <v>Fail</v>
      </c>
      <c r="BD130" t="str" cm="1">
        <f t="array" ref="BD130">IF(N130=_xlfn.XLOOKUP($B130,VmSpecs[[#All],[VM Name]],VmSpecs[[#All],[Network Security Group]],"Failed",0,1),"Pass","Fail")</f>
        <v>Fail</v>
      </c>
      <c r="BE130" t="str" cm="1">
        <f t="array" ref="BE130">IF(O130=_xlfn.XLOOKUP($B130,VmSpecs[[#All],[VM Name]],VmSpecs[[#All],[Route Table Name]],"Failed",0,1),"Pass","Fail")</f>
        <v>Fail</v>
      </c>
      <c r="BF130" t="str" cm="1">
        <f t="array" ref="BF130">IF(P130=_xlfn.XLOOKUP($B130,VmSpecs[[#All],[VM Name]],VmSpecs[[#All],[Operating System]],"Failed",0,1),"Pass","Fail")</f>
        <v>Fail</v>
      </c>
      <c r="BG130" t="str" cm="1">
        <f t="array" ref="BG130">IF(R130=_xlfn.XLOOKUP($B130,VmSpecs[[#All],[VM Name]],VmSpecs[[#All],[NIC name]],"Failed",0,1),"Pass","Fail")</f>
        <v>Fail</v>
      </c>
      <c r="BH130" t="str" cm="1">
        <f t="array" ref="BH130">IF(U130=_xlfn.XLOOKUP($B130,VmSpecs[[#All],[VM Name]],VmSpecs[[#All],[OS Disk Name]],"Failed",0,1),"Pass","Fail")</f>
        <v>Fail</v>
      </c>
      <c r="BI130" t="str" cm="1">
        <f t="array" ref="BI130">IF(W130=_xlfn.XLOOKUP($B130,VmSpecs[[#All],[VM Name]],VmSpecs[[#All],[OS Disk Size]],"Failed",0,1),"Pass","Fail")</f>
        <v>Fail</v>
      </c>
      <c r="BJ130" t="str" cm="1">
        <f t="array" ref="BJ130">IF(LEFT(X130,4)=LEFT(_xlfn.XLOOKUP($B130,VmSpecs[[#All],[VM Name]],VmSpecs[[#All],[OS Disk Type (Standard SSD etc)]],"Failed",0,1),4),"Pass","Fail")</f>
        <v>Fail</v>
      </c>
      <c r="BK130" t="str" cm="1">
        <f t="array" ref="BK130">IF(Z130=_xlfn.XLOOKUP($B130,VmSpecs[[#All],[VM Name]],VmSpecs[[#All],[Data Disk1 Name]],"Failed",0,1),"Pass","Fail")</f>
        <v>Fail</v>
      </c>
      <c r="BL130" t="str" cm="1">
        <f t="array" ref="BL130">IF(AA130=_xlfn.XLOOKUP($B130,VmSpecs[[#All],[VM Name]],VmSpecs[[#All],[Data Disk1 Size]],"Failed",0,1),"Pass","Fail")</f>
        <v>Fail</v>
      </c>
      <c r="BM130" t="str" cm="1">
        <f t="array" ref="BM130">IF(LEFT(AC130,4)=LEFT(_xlfn.XLOOKUP($B130,VmSpecs[[#All],[VM Name]],VmSpecs[[#All],[Data Disk1 Type]],"Failed",0,1),4),"Pass","Fail")</f>
        <v>Fail</v>
      </c>
      <c r="BO130" t="e">
        <f>VLOOKUP('VM Specs'!K130,'As Built'!B:B,1,FALSE)</f>
        <v>#N/A</v>
      </c>
      <c r="BP130" t="str">
        <f>IF(ISNA(Table613[[#This Row],[VM Build Sheet Check]]),'VM Specs'!K130,"")</f>
        <v>vmpfbpf2oid10</v>
      </c>
    </row>
    <row r="131" spans="1:68" ht="33" customHeight="1" x14ac:dyDescent="0.35">
      <c r="A131" t="str">
        <f>IF(COUNTIF(AsBuilt[[#This Row],[VM Check]:[Data Disk 1 Type Check]],"Fail")&gt;0,"Fail","Pass")</f>
        <v>Fail</v>
      </c>
      <c r="B131" t="s">
        <v>1659</v>
      </c>
      <c r="C131" t="s">
        <v>754</v>
      </c>
      <c r="D131" t="s">
        <v>755</v>
      </c>
      <c r="E131" t="s">
        <v>756</v>
      </c>
      <c r="F131" t="s">
        <v>1067</v>
      </c>
      <c r="G131" t="s">
        <v>758</v>
      </c>
      <c r="H131" t="s">
        <v>1589</v>
      </c>
      <c r="J131" t="s">
        <v>760</v>
      </c>
      <c r="K131" t="s">
        <v>761</v>
      </c>
      <c r="L131" t="s">
        <v>754</v>
      </c>
      <c r="M131" t="s">
        <v>1660</v>
      </c>
      <c r="N131" t="s">
        <v>763</v>
      </c>
      <c r="O131" t="s">
        <v>764</v>
      </c>
      <c r="P131" t="s">
        <v>63</v>
      </c>
      <c r="R131" t="s">
        <v>1661</v>
      </c>
      <c r="S131" t="s">
        <v>754</v>
      </c>
      <c r="U131" t="s">
        <v>1662</v>
      </c>
      <c r="V131" t="s">
        <v>767</v>
      </c>
      <c r="W131">
        <v>64</v>
      </c>
      <c r="X131" t="s">
        <v>768</v>
      </c>
      <c r="Y131">
        <v>2</v>
      </c>
      <c r="Z131" t="s">
        <v>1663</v>
      </c>
      <c r="AA131">
        <v>8</v>
      </c>
      <c r="AB131" t="s">
        <v>770</v>
      </c>
      <c r="AC131" t="s">
        <v>768</v>
      </c>
      <c r="AD131" t="s">
        <v>1664</v>
      </c>
      <c r="AE131">
        <v>32</v>
      </c>
      <c r="AF131" t="s">
        <v>770</v>
      </c>
      <c r="AG131" t="s">
        <v>768</v>
      </c>
      <c r="AT131" t="s">
        <v>772</v>
      </c>
      <c r="AU131" t="s">
        <v>1665</v>
      </c>
      <c r="AV131" t="str" cm="1">
        <f t="array" ref="AV131">IF(B131=_xlfn.XLOOKUP(B131,VmSpecs[[#All],[VM Name]],VmSpecs[[#All],[VM Name]],"Failed",0,1),"Pass","Fail")</f>
        <v>Fail</v>
      </c>
      <c r="AW131" t="str" cm="1">
        <f t="array" ref="AW131">IF(D131=_xlfn.XLOOKUP($B131,VmSpecs[[#All],[VM Name]],VmSpecs[[#All],[Virtual Machine Resource Groups]],"Failed",0,1),"Pass","Fail")</f>
        <v>Fail</v>
      </c>
      <c r="AX131" t="str" cm="1">
        <f t="array" ref="AX131">IF(_xlfn.IFS(E131="australiacentral","Australia Central 1",E131="australiaeast","Australia East",E131="australiasoutheast","Australia SouthEast")=_xlfn.XLOOKUP($B131,VmSpecs[[#All],[VM Name]],VmSpecs[[#All],[Region]],"Failed",0,1),"Pass","Fail")</f>
        <v>Fail</v>
      </c>
      <c r="AY131" t="str" cm="1">
        <f t="array" ref="AY131">IF(F131=_xlfn.XLOOKUP($B131,VmSpecs[[#All],[VM Name]],VmSpecs[[#All],[Instance size]],"Failed",0,1),"Pass","Fail")</f>
        <v>Fail</v>
      </c>
      <c r="AZ131" t="str" cm="1">
        <f t="array" ref="AZ131">IF(LOWER(H131)=_xlfn.XLOOKUP($B131,VmSpecs[[#All],[VM Name]],VmSpecs[[#All],[Availability Set Name]],"Failed",0,1),"Pass","Fail")</f>
        <v>Fail</v>
      </c>
      <c r="BA131" t="str" cm="1">
        <f t="array" ref="BA131">IF(J131=_xlfn.XLOOKUP($B131,VmSpecs[[#All],[VM Name]],VmSpecs[[#All],[Virtual Network]],"Failed",0,1),"Pass","Fail")</f>
        <v>Fail</v>
      </c>
      <c r="BB131" t="str" cm="1">
        <f t="array" ref="BB131">IF(K131=_xlfn.XLOOKUP($B131,VmSpecs[[#All],[VM Name]],VmSpecs[[#All],[Subnet]],"Failed",0,1),"Pass","Fail")</f>
        <v>Fail</v>
      </c>
      <c r="BC131" t="str" cm="1">
        <f t="array" ref="BC131">IF(M131=_xlfn.XLOOKUP($B131,VmSpecs[[#All],[VM Name]],VmSpecs[[#All],[IP]],"Failed",0,1),"Pass","Fail")</f>
        <v>Fail</v>
      </c>
      <c r="BD131" t="str" cm="1">
        <f t="array" ref="BD131">IF(N131=_xlfn.XLOOKUP($B131,VmSpecs[[#All],[VM Name]],VmSpecs[[#All],[Network Security Group]],"Failed",0,1),"Pass","Fail")</f>
        <v>Fail</v>
      </c>
      <c r="BE131" t="str" cm="1">
        <f t="array" ref="BE131">IF(O131=_xlfn.XLOOKUP($B131,VmSpecs[[#All],[VM Name]],VmSpecs[[#All],[Route Table Name]],"Failed",0,1),"Pass","Fail")</f>
        <v>Fail</v>
      </c>
      <c r="BF131" t="str" cm="1">
        <f t="array" ref="BF131">IF(P131=_xlfn.XLOOKUP($B131,VmSpecs[[#All],[VM Name]],VmSpecs[[#All],[Operating System]],"Failed",0,1),"Pass","Fail")</f>
        <v>Fail</v>
      </c>
      <c r="BG131" t="str" cm="1">
        <f t="array" ref="BG131">IF(R131=_xlfn.XLOOKUP($B131,VmSpecs[[#All],[VM Name]],VmSpecs[[#All],[NIC name]],"Failed",0,1),"Pass","Fail")</f>
        <v>Fail</v>
      </c>
      <c r="BH131" t="str" cm="1">
        <f t="array" ref="BH131">IF(U131=_xlfn.XLOOKUP($B131,VmSpecs[[#All],[VM Name]],VmSpecs[[#All],[OS Disk Name]],"Failed",0,1),"Pass","Fail")</f>
        <v>Fail</v>
      </c>
      <c r="BI131" t="str" cm="1">
        <f t="array" ref="BI131">IF(W131=_xlfn.XLOOKUP($B131,VmSpecs[[#All],[VM Name]],VmSpecs[[#All],[OS Disk Size]],"Failed",0,1),"Pass","Fail")</f>
        <v>Fail</v>
      </c>
      <c r="BJ131" t="str" cm="1">
        <f t="array" ref="BJ131">IF(LEFT(X131,4)=LEFT(_xlfn.XLOOKUP($B131,VmSpecs[[#All],[VM Name]],VmSpecs[[#All],[OS Disk Type (Standard SSD etc)]],"Failed",0,1),4),"Pass","Fail")</f>
        <v>Fail</v>
      </c>
      <c r="BK131" t="str" cm="1">
        <f t="array" ref="BK131">IF(Z131=_xlfn.XLOOKUP($B131,VmSpecs[[#All],[VM Name]],VmSpecs[[#All],[Data Disk1 Name]],"Failed",0,1),"Pass","Fail")</f>
        <v>Fail</v>
      </c>
      <c r="BL131" t="str" cm="1">
        <f t="array" ref="BL131">IF(AA131=_xlfn.XLOOKUP($B131,VmSpecs[[#All],[VM Name]],VmSpecs[[#All],[Data Disk1 Size]],"Failed",0,1),"Pass","Fail")</f>
        <v>Fail</v>
      </c>
      <c r="BM131" t="str" cm="1">
        <f t="array" ref="BM131">IF(LEFT(AC131,4)=LEFT(_xlfn.XLOOKUP($B131,VmSpecs[[#All],[VM Name]],VmSpecs[[#All],[Data Disk1 Type]],"Failed",0,1),4),"Pass","Fail")</f>
        <v>Fail</v>
      </c>
      <c r="BO131" t="e">
        <f>VLOOKUP('VM Specs'!K131,'As Built'!B:B,1,FALSE)</f>
        <v>#N/A</v>
      </c>
      <c r="BP131" t="str">
        <f>IF(ISNA(Table613[[#This Row],[VM Build Sheet Check]]),'VM Specs'!K131,"")</f>
        <v>vmpfbpf2oid11</v>
      </c>
    </row>
    <row r="132" spans="1:68" ht="33" customHeight="1" x14ac:dyDescent="0.35">
      <c r="A132" t="str">
        <f>IF(COUNTIF(AsBuilt[[#This Row],[VM Check]:[Data Disk 1 Type Check]],"Fail")&gt;0,"Fail","Pass")</f>
        <v>Fail</v>
      </c>
      <c r="B132" t="s">
        <v>1666</v>
      </c>
      <c r="C132" t="s">
        <v>754</v>
      </c>
      <c r="D132" t="s">
        <v>755</v>
      </c>
      <c r="E132" t="s">
        <v>756</v>
      </c>
      <c r="F132" t="s">
        <v>1067</v>
      </c>
      <c r="G132" t="s">
        <v>758</v>
      </c>
      <c r="H132" t="s">
        <v>1589</v>
      </c>
      <c r="J132" t="s">
        <v>760</v>
      </c>
      <c r="K132" t="s">
        <v>761</v>
      </c>
      <c r="L132" t="s">
        <v>754</v>
      </c>
      <c r="M132" t="s">
        <v>1667</v>
      </c>
      <c r="N132" t="s">
        <v>763</v>
      </c>
      <c r="O132" t="s">
        <v>764</v>
      </c>
      <c r="P132" t="s">
        <v>63</v>
      </c>
      <c r="R132" t="s">
        <v>1668</v>
      </c>
      <c r="S132" t="s">
        <v>754</v>
      </c>
      <c r="U132" t="s">
        <v>1669</v>
      </c>
      <c r="V132" t="s">
        <v>767</v>
      </c>
      <c r="W132">
        <v>64</v>
      </c>
      <c r="X132" t="s">
        <v>768</v>
      </c>
      <c r="Y132">
        <v>2</v>
      </c>
      <c r="Z132" t="s">
        <v>1670</v>
      </c>
      <c r="AA132">
        <v>8</v>
      </c>
      <c r="AB132" t="s">
        <v>770</v>
      </c>
      <c r="AC132" t="s">
        <v>768</v>
      </c>
      <c r="AD132" t="s">
        <v>1671</v>
      </c>
      <c r="AE132">
        <v>32</v>
      </c>
      <c r="AF132" t="s">
        <v>770</v>
      </c>
      <c r="AG132" t="s">
        <v>768</v>
      </c>
      <c r="AT132" t="s">
        <v>772</v>
      </c>
      <c r="AU132" t="s">
        <v>1672</v>
      </c>
      <c r="AV132" t="str" cm="1">
        <f t="array" ref="AV132">IF(B132=_xlfn.XLOOKUP(B132,VmSpecs[[#All],[VM Name]],VmSpecs[[#All],[VM Name]],"Failed",0,1),"Pass","Fail")</f>
        <v>Fail</v>
      </c>
      <c r="AW132" t="str" cm="1">
        <f t="array" ref="AW132">IF(D132=_xlfn.XLOOKUP($B132,VmSpecs[[#All],[VM Name]],VmSpecs[[#All],[Virtual Machine Resource Groups]],"Failed",0,1),"Pass","Fail")</f>
        <v>Fail</v>
      </c>
      <c r="AX132" t="str" cm="1">
        <f t="array" ref="AX132">IF(_xlfn.IFS(E132="australiacentral","Australia Central 1",E132="australiaeast","Australia East",E132="australiasoutheast","Australia SouthEast")=_xlfn.XLOOKUP($B132,VmSpecs[[#All],[VM Name]],VmSpecs[[#All],[Region]],"Failed",0,1),"Pass","Fail")</f>
        <v>Fail</v>
      </c>
      <c r="AY132" t="str" cm="1">
        <f t="array" ref="AY132">IF(F132=_xlfn.XLOOKUP($B132,VmSpecs[[#All],[VM Name]],VmSpecs[[#All],[Instance size]],"Failed",0,1),"Pass","Fail")</f>
        <v>Fail</v>
      </c>
      <c r="AZ132" t="str" cm="1">
        <f t="array" ref="AZ132">IF(LOWER(H132)=_xlfn.XLOOKUP($B132,VmSpecs[[#All],[VM Name]],VmSpecs[[#All],[Availability Set Name]],"Failed",0,1),"Pass","Fail")</f>
        <v>Fail</v>
      </c>
      <c r="BA132" t="str" cm="1">
        <f t="array" ref="BA132">IF(J132=_xlfn.XLOOKUP($B132,VmSpecs[[#All],[VM Name]],VmSpecs[[#All],[Virtual Network]],"Failed",0,1),"Pass","Fail")</f>
        <v>Fail</v>
      </c>
      <c r="BB132" t="str" cm="1">
        <f t="array" ref="BB132">IF(K132=_xlfn.XLOOKUP($B132,VmSpecs[[#All],[VM Name]],VmSpecs[[#All],[Subnet]],"Failed",0,1),"Pass","Fail")</f>
        <v>Fail</v>
      </c>
      <c r="BC132" t="str" cm="1">
        <f t="array" ref="BC132">IF(M132=_xlfn.XLOOKUP($B132,VmSpecs[[#All],[VM Name]],VmSpecs[[#All],[IP]],"Failed",0,1),"Pass","Fail")</f>
        <v>Fail</v>
      </c>
      <c r="BD132" t="str" cm="1">
        <f t="array" ref="BD132">IF(N132=_xlfn.XLOOKUP($B132,VmSpecs[[#All],[VM Name]],VmSpecs[[#All],[Network Security Group]],"Failed",0,1),"Pass","Fail")</f>
        <v>Fail</v>
      </c>
      <c r="BE132" t="str" cm="1">
        <f t="array" ref="BE132">IF(O132=_xlfn.XLOOKUP($B132,VmSpecs[[#All],[VM Name]],VmSpecs[[#All],[Route Table Name]],"Failed",0,1),"Pass","Fail")</f>
        <v>Fail</v>
      </c>
      <c r="BF132" t="str" cm="1">
        <f t="array" ref="BF132">IF(P132=_xlfn.XLOOKUP($B132,VmSpecs[[#All],[VM Name]],VmSpecs[[#All],[Operating System]],"Failed",0,1),"Pass","Fail")</f>
        <v>Fail</v>
      </c>
      <c r="BG132" t="str" cm="1">
        <f t="array" ref="BG132">IF(R132=_xlfn.XLOOKUP($B132,VmSpecs[[#All],[VM Name]],VmSpecs[[#All],[NIC name]],"Failed",0,1),"Pass","Fail")</f>
        <v>Fail</v>
      </c>
      <c r="BH132" t="str" cm="1">
        <f t="array" ref="BH132">IF(U132=_xlfn.XLOOKUP($B132,VmSpecs[[#All],[VM Name]],VmSpecs[[#All],[OS Disk Name]],"Failed",0,1),"Pass","Fail")</f>
        <v>Fail</v>
      </c>
      <c r="BI132" t="str" cm="1">
        <f t="array" ref="BI132">IF(W132=_xlfn.XLOOKUP($B132,VmSpecs[[#All],[VM Name]],VmSpecs[[#All],[OS Disk Size]],"Failed",0,1),"Pass","Fail")</f>
        <v>Fail</v>
      </c>
      <c r="BJ132" t="str" cm="1">
        <f t="array" ref="BJ132">IF(LEFT(X132,4)=LEFT(_xlfn.XLOOKUP($B132,VmSpecs[[#All],[VM Name]],VmSpecs[[#All],[OS Disk Type (Standard SSD etc)]],"Failed",0,1),4),"Pass","Fail")</f>
        <v>Fail</v>
      </c>
      <c r="BK132" t="str" cm="1">
        <f t="array" ref="BK132">IF(Z132=_xlfn.XLOOKUP($B132,VmSpecs[[#All],[VM Name]],VmSpecs[[#All],[Data Disk1 Name]],"Failed",0,1),"Pass","Fail")</f>
        <v>Fail</v>
      </c>
      <c r="BL132" t="str" cm="1">
        <f t="array" ref="BL132">IF(AA132=_xlfn.XLOOKUP($B132,VmSpecs[[#All],[VM Name]],VmSpecs[[#All],[Data Disk1 Size]],"Failed",0,1),"Pass","Fail")</f>
        <v>Fail</v>
      </c>
      <c r="BM132" t="str" cm="1">
        <f t="array" ref="BM132">IF(LEFT(AC132,4)=LEFT(_xlfn.XLOOKUP($B132,VmSpecs[[#All],[VM Name]],VmSpecs[[#All],[Data Disk1 Type]],"Failed",0,1),4),"Pass","Fail")</f>
        <v>Fail</v>
      </c>
      <c r="BO132" t="e">
        <f>VLOOKUP('VM Specs'!K132,'As Built'!B:B,1,FALSE)</f>
        <v>#N/A</v>
      </c>
      <c r="BP132" t="str">
        <f>IF(ISNA(Table613[[#This Row],[VM Build Sheet Check]]),'VM Specs'!K132,"")</f>
        <v>vmpfbpf2oid12</v>
      </c>
    </row>
    <row r="133" spans="1:68" ht="33" customHeight="1" x14ac:dyDescent="0.35">
      <c r="A133" t="str">
        <f>IF(COUNTIF(AsBuilt[[#This Row],[VM Check]:[Data Disk 1 Type Check]],"Fail")&gt;0,"Fail","Pass")</f>
        <v>Fail</v>
      </c>
      <c r="B133" t="s">
        <v>1673</v>
      </c>
      <c r="C133" t="s">
        <v>754</v>
      </c>
      <c r="D133" t="s">
        <v>755</v>
      </c>
      <c r="E133" t="s">
        <v>756</v>
      </c>
      <c r="F133" t="s">
        <v>1067</v>
      </c>
      <c r="G133" t="s">
        <v>758</v>
      </c>
      <c r="H133" t="s">
        <v>1589</v>
      </c>
      <c r="J133" t="s">
        <v>760</v>
      </c>
      <c r="K133" t="s">
        <v>761</v>
      </c>
      <c r="L133" t="s">
        <v>754</v>
      </c>
      <c r="M133" t="s">
        <v>1674</v>
      </c>
      <c r="N133" t="s">
        <v>763</v>
      </c>
      <c r="O133" t="s">
        <v>764</v>
      </c>
      <c r="P133" t="s">
        <v>63</v>
      </c>
      <c r="R133" t="s">
        <v>1675</v>
      </c>
      <c r="S133" t="s">
        <v>754</v>
      </c>
      <c r="U133" t="s">
        <v>1676</v>
      </c>
      <c r="V133" t="s">
        <v>767</v>
      </c>
      <c r="W133">
        <v>64</v>
      </c>
      <c r="X133" t="s">
        <v>768</v>
      </c>
      <c r="Y133">
        <v>2</v>
      </c>
      <c r="Z133" t="s">
        <v>1677</v>
      </c>
      <c r="AA133">
        <v>8</v>
      </c>
      <c r="AB133" t="s">
        <v>770</v>
      </c>
      <c r="AC133" t="s">
        <v>768</v>
      </c>
      <c r="AD133" t="s">
        <v>1678</v>
      </c>
      <c r="AE133">
        <v>32</v>
      </c>
      <c r="AF133" t="s">
        <v>770</v>
      </c>
      <c r="AG133" t="s">
        <v>768</v>
      </c>
      <c r="AT133" t="s">
        <v>772</v>
      </c>
      <c r="AU133" t="s">
        <v>1679</v>
      </c>
      <c r="AV133" t="str" cm="1">
        <f t="array" ref="AV133">IF(B133=_xlfn.XLOOKUP(B133,VmSpecs[[#All],[VM Name]],VmSpecs[[#All],[VM Name]],"Failed",0,1),"Pass","Fail")</f>
        <v>Fail</v>
      </c>
      <c r="AW133" t="str" cm="1">
        <f t="array" ref="AW133">IF(D133=_xlfn.XLOOKUP($B133,VmSpecs[[#All],[VM Name]],VmSpecs[[#All],[Virtual Machine Resource Groups]],"Failed",0,1),"Pass","Fail")</f>
        <v>Fail</v>
      </c>
      <c r="AX133" t="str" cm="1">
        <f t="array" ref="AX133">IF(_xlfn.IFS(E133="australiacentral","Australia Central 1",E133="australiaeast","Australia East",E133="australiasoutheast","Australia SouthEast")=_xlfn.XLOOKUP($B133,VmSpecs[[#All],[VM Name]],VmSpecs[[#All],[Region]],"Failed",0,1),"Pass","Fail")</f>
        <v>Fail</v>
      </c>
      <c r="AY133" t="str" cm="1">
        <f t="array" ref="AY133">IF(F133=_xlfn.XLOOKUP($B133,VmSpecs[[#All],[VM Name]],VmSpecs[[#All],[Instance size]],"Failed",0,1),"Pass","Fail")</f>
        <v>Fail</v>
      </c>
      <c r="AZ133" t="str" cm="1">
        <f t="array" ref="AZ133">IF(LOWER(H133)=_xlfn.XLOOKUP($B133,VmSpecs[[#All],[VM Name]],VmSpecs[[#All],[Availability Set Name]],"Failed",0,1),"Pass","Fail")</f>
        <v>Fail</v>
      </c>
      <c r="BA133" t="str" cm="1">
        <f t="array" ref="BA133">IF(J133=_xlfn.XLOOKUP($B133,VmSpecs[[#All],[VM Name]],VmSpecs[[#All],[Virtual Network]],"Failed",0,1),"Pass","Fail")</f>
        <v>Fail</v>
      </c>
      <c r="BB133" t="str" cm="1">
        <f t="array" ref="BB133">IF(K133=_xlfn.XLOOKUP($B133,VmSpecs[[#All],[VM Name]],VmSpecs[[#All],[Subnet]],"Failed",0,1),"Pass","Fail")</f>
        <v>Fail</v>
      </c>
      <c r="BC133" t="str" cm="1">
        <f t="array" ref="BC133">IF(M133=_xlfn.XLOOKUP($B133,VmSpecs[[#All],[VM Name]],VmSpecs[[#All],[IP]],"Failed",0,1),"Pass","Fail")</f>
        <v>Fail</v>
      </c>
      <c r="BD133" t="str" cm="1">
        <f t="array" ref="BD133">IF(N133=_xlfn.XLOOKUP($B133,VmSpecs[[#All],[VM Name]],VmSpecs[[#All],[Network Security Group]],"Failed",0,1),"Pass","Fail")</f>
        <v>Fail</v>
      </c>
      <c r="BE133" t="str" cm="1">
        <f t="array" ref="BE133">IF(O133=_xlfn.XLOOKUP($B133,VmSpecs[[#All],[VM Name]],VmSpecs[[#All],[Route Table Name]],"Failed",0,1),"Pass","Fail")</f>
        <v>Fail</v>
      </c>
      <c r="BF133" t="str" cm="1">
        <f t="array" ref="BF133">IF(P133=_xlfn.XLOOKUP($B133,VmSpecs[[#All],[VM Name]],VmSpecs[[#All],[Operating System]],"Failed",0,1),"Pass","Fail")</f>
        <v>Fail</v>
      </c>
      <c r="BG133" t="str" cm="1">
        <f t="array" ref="BG133">IF(R133=_xlfn.XLOOKUP($B133,VmSpecs[[#All],[VM Name]],VmSpecs[[#All],[NIC name]],"Failed",0,1),"Pass","Fail")</f>
        <v>Fail</v>
      </c>
      <c r="BH133" t="str" cm="1">
        <f t="array" ref="BH133">IF(U133=_xlfn.XLOOKUP($B133,VmSpecs[[#All],[VM Name]],VmSpecs[[#All],[OS Disk Name]],"Failed",0,1),"Pass","Fail")</f>
        <v>Fail</v>
      </c>
      <c r="BI133" t="str" cm="1">
        <f t="array" ref="BI133">IF(W133=_xlfn.XLOOKUP($B133,VmSpecs[[#All],[VM Name]],VmSpecs[[#All],[OS Disk Size]],"Failed",0,1),"Pass","Fail")</f>
        <v>Fail</v>
      </c>
      <c r="BJ133" t="str" cm="1">
        <f t="array" ref="BJ133">IF(LEFT(X133,4)=LEFT(_xlfn.XLOOKUP($B133,VmSpecs[[#All],[VM Name]],VmSpecs[[#All],[OS Disk Type (Standard SSD etc)]],"Failed",0,1),4),"Pass","Fail")</f>
        <v>Fail</v>
      </c>
      <c r="BK133" t="str" cm="1">
        <f t="array" ref="BK133">IF(Z133=_xlfn.XLOOKUP($B133,VmSpecs[[#All],[VM Name]],VmSpecs[[#All],[Data Disk1 Name]],"Failed",0,1),"Pass","Fail")</f>
        <v>Fail</v>
      </c>
      <c r="BL133" t="str" cm="1">
        <f t="array" ref="BL133">IF(AA133=_xlfn.XLOOKUP($B133,VmSpecs[[#All],[VM Name]],VmSpecs[[#All],[Data Disk1 Size]],"Failed",0,1),"Pass","Fail")</f>
        <v>Fail</v>
      </c>
      <c r="BM133" t="str" cm="1">
        <f t="array" ref="BM133">IF(LEFT(AC133,4)=LEFT(_xlfn.XLOOKUP($B133,VmSpecs[[#All],[VM Name]],VmSpecs[[#All],[Data Disk1 Type]],"Failed",0,1),4),"Pass","Fail")</f>
        <v>Fail</v>
      </c>
      <c r="BO133" t="e">
        <f>VLOOKUP('VM Specs'!K133,'As Built'!B:B,1,FALSE)</f>
        <v>#N/A</v>
      </c>
      <c r="BP133" t="str">
        <f>IF(ISNA(Table613[[#This Row],[VM Build Sheet Check]]),'VM Specs'!K133,"")</f>
        <v>vmpfbpf2oid13</v>
      </c>
    </row>
    <row r="134" spans="1:68" ht="33" customHeight="1" x14ac:dyDescent="0.35">
      <c r="A134" t="str">
        <f>IF(COUNTIF(AsBuilt[[#This Row],[VM Check]:[Data Disk 1 Type Check]],"Fail")&gt;0,"Fail","Pass")</f>
        <v>Fail</v>
      </c>
      <c r="B134" t="s">
        <v>1680</v>
      </c>
      <c r="C134" t="s">
        <v>754</v>
      </c>
      <c r="D134" t="s">
        <v>755</v>
      </c>
      <c r="E134" t="s">
        <v>756</v>
      </c>
      <c r="F134" t="s">
        <v>1067</v>
      </c>
      <c r="G134" t="s">
        <v>758</v>
      </c>
      <c r="H134" t="s">
        <v>1589</v>
      </c>
      <c r="J134" t="s">
        <v>760</v>
      </c>
      <c r="K134" t="s">
        <v>761</v>
      </c>
      <c r="L134" t="s">
        <v>754</v>
      </c>
      <c r="M134" t="s">
        <v>1681</v>
      </c>
      <c r="N134" t="s">
        <v>763</v>
      </c>
      <c r="O134" t="s">
        <v>764</v>
      </c>
      <c r="P134" t="s">
        <v>63</v>
      </c>
      <c r="R134" t="s">
        <v>1682</v>
      </c>
      <c r="S134" t="s">
        <v>754</v>
      </c>
      <c r="U134" t="s">
        <v>1683</v>
      </c>
      <c r="V134" t="s">
        <v>767</v>
      </c>
      <c r="W134">
        <v>64</v>
      </c>
      <c r="X134" t="s">
        <v>768</v>
      </c>
      <c r="Y134">
        <v>2</v>
      </c>
      <c r="Z134" t="s">
        <v>1684</v>
      </c>
      <c r="AA134">
        <v>8</v>
      </c>
      <c r="AB134" t="s">
        <v>770</v>
      </c>
      <c r="AC134" t="s">
        <v>768</v>
      </c>
      <c r="AD134" t="s">
        <v>1685</v>
      </c>
      <c r="AE134">
        <v>32</v>
      </c>
      <c r="AF134" t="s">
        <v>770</v>
      </c>
      <c r="AG134" t="s">
        <v>768</v>
      </c>
      <c r="AT134" t="s">
        <v>772</v>
      </c>
      <c r="AU134" t="s">
        <v>1686</v>
      </c>
      <c r="AV134" t="str" cm="1">
        <f t="array" ref="AV134">IF(B134=_xlfn.XLOOKUP(B134,VmSpecs[[#All],[VM Name]],VmSpecs[[#All],[VM Name]],"Failed",0,1),"Pass","Fail")</f>
        <v>Fail</v>
      </c>
      <c r="AW134" t="str" cm="1">
        <f t="array" ref="AW134">IF(D134=_xlfn.XLOOKUP($B134,VmSpecs[[#All],[VM Name]],VmSpecs[[#All],[Virtual Machine Resource Groups]],"Failed",0,1),"Pass","Fail")</f>
        <v>Fail</v>
      </c>
      <c r="AX134" t="str" cm="1">
        <f t="array" ref="AX134">IF(_xlfn.IFS(E134="australiacentral","Australia Central 1",E134="australiaeast","Australia East",E134="australiasoutheast","Australia SouthEast")=_xlfn.XLOOKUP($B134,VmSpecs[[#All],[VM Name]],VmSpecs[[#All],[Region]],"Failed",0,1),"Pass","Fail")</f>
        <v>Fail</v>
      </c>
      <c r="AY134" t="str" cm="1">
        <f t="array" ref="AY134">IF(F134=_xlfn.XLOOKUP($B134,VmSpecs[[#All],[VM Name]],VmSpecs[[#All],[Instance size]],"Failed",0,1),"Pass","Fail")</f>
        <v>Fail</v>
      </c>
      <c r="AZ134" t="str" cm="1">
        <f t="array" ref="AZ134">IF(LOWER(H134)=_xlfn.XLOOKUP($B134,VmSpecs[[#All],[VM Name]],VmSpecs[[#All],[Availability Set Name]],"Failed",0,1),"Pass","Fail")</f>
        <v>Fail</v>
      </c>
      <c r="BA134" t="str" cm="1">
        <f t="array" ref="BA134">IF(J134=_xlfn.XLOOKUP($B134,VmSpecs[[#All],[VM Name]],VmSpecs[[#All],[Virtual Network]],"Failed",0,1),"Pass","Fail")</f>
        <v>Fail</v>
      </c>
      <c r="BB134" t="str" cm="1">
        <f t="array" ref="BB134">IF(K134=_xlfn.XLOOKUP($B134,VmSpecs[[#All],[VM Name]],VmSpecs[[#All],[Subnet]],"Failed",0,1),"Pass","Fail")</f>
        <v>Fail</v>
      </c>
      <c r="BC134" t="str" cm="1">
        <f t="array" ref="BC134">IF(M134=_xlfn.XLOOKUP($B134,VmSpecs[[#All],[VM Name]],VmSpecs[[#All],[IP]],"Failed",0,1),"Pass","Fail")</f>
        <v>Fail</v>
      </c>
      <c r="BD134" t="str" cm="1">
        <f t="array" ref="BD134">IF(N134=_xlfn.XLOOKUP($B134,VmSpecs[[#All],[VM Name]],VmSpecs[[#All],[Network Security Group]],"Failed",0,1),"Pass","Fail")</f>
        <v>Fail</v>
      </c>
      <c r="BE134" t="str" cm="1">
        <f t="array" ref="BE134">IF(O134=_xlfn.XLOOKUP($B134,VmSpecs[[#All],[VM Name]],VmSpecs[[#All],[Route Table Name]],"Failed",0,1),"Pass","Fail")</f>
        <v>Fail</v>
      </c>
      <c r="BF134" t="str" cm="1">
        <f t="array" ref="BF134">IF(P134=_xlfn.XLOOKUP($B134,VmSpecs[[#All],[VM Name]],VmSpecs[[#All],[Operating System]],"Failed",0,1),"Pass","Fail")</f>
        <v>Fail</v>
      </c>
      <c r="BG134" t="str" cm="1">
        <f t="array" ref="BG134">IF(R134=_xlfn.XLOOKUP($B134,VmSpecs[[#All],[VM Name]],VmSpecs[[#All],[NIC name]],"Failed",0,1),"Pass","Fail")</f>
        <v>Fail</v>
      </c>
      <c r="BH134" t="str" cm="1">
        <f t="array" ref="BH134">IF(U134=_xlfn.XLOOKUP($B134,VmSpecs[[#All],[VM Name]],VmSpecs[[#All],[OS Disk Name]],"Failed",0,1),"Pass","Fail")</f>
        <v>Fail</v>
      </c>
      <c r="BI134" t="str" cm="1">
        <f t="array" ref="BI134">IF(W134=_xlfn.XLOOKUP($B134,VmSpecs[[#All],[VM Name]],VmSpecs[[#All],[OS Disk Size]],"Failed",0,1),"Pass","Fail")</f>
        <v>Fail</v>
      </c>
      <c r="BJ134" t="str" cm="1">
        <f t="array" ref="BJ134">IF(LEFT(X134,4)=LEFT(_xlfn.XLOOKUP($B134,VmSpecs[[#All],[VM Name]],VmSpecs[[#All],[OS Disk Type (Standard SSD etc)]],"Failed",0,1),4),"Pass","Fail")</f>
        <v>Fail</v>
      </c>
      <c r="BK134" t="str" cm="1">
        <f t="array" ref="BK134">IF(Z134=_xlfn.XLOOKUP($B134,VmSpecs[[#All],[VM Name]],VmSpecs[[#All],[Data Disk1 Name]],"Failed",0,1),"Pass","Fail")</f>
        <v>Fail</v>
      </c>
      <c r="BL134" t="str" cm="1">
        <f t="array" ref="BL134">IF(AA134=_xlfn.XLOOKUP($B134,VmSpecs[[#All],[VM Name]],VmSpecs[[#All],[Data Disk1 Size]],"Failed",0,1),"Pass","Fail")</f>
        <v>Fail</v>
      </c>
      <c r="BM134" t="str" cm="1">
        <f t="array" ref="BM134">IF(LEFT(AC134,4)=LEFT(_xlfn.XLOOKUP($B134,VmSpecs[[#All],[VM Name]],VmSpecs[[#All],[Data Disk1 Type]],"Failed",0,1),4),"Pass","Fail")</f>
        <v>Fail</v>
      </c>
      <c r="BO134" t="e">
        <f>VLOOKUP('VM Specs'!K134,'As Built'!B:B,1,FALSE)</f>
        <v>#N/A</v>
      </c>
      <c r="BP134" t="str">
        <f>IF(ISNA(Table613[[#This Row],[VM Build Sheet Check]]),'VM Specs'!K134,"")</f>
        <v>vmpfbpf2oid14</v>
      </c>
    </row>
    <row r="135" spans="1:68" ht="33" customHeight="1" x14ac:dyDescent="0.35">
      <c r="A135" t="str">
        <f>IF(COUNTIF(AsBuilt[[#This Row],[VM Check]:[Data Disk 1 Type Check]],"Fail")&gt;0,"Fail","Pass")</f>
        <v>Fail</v>
      </c>
      <c r="B135" t="s">
        <v>1687</v>
      </c>
      <c r="C135" t="s">
        <v>754</v>
      </c>
      <c r="D135" t="s">
        <v>755</v>
      </c>
      <c r="E135" t="s">
        <v>756</v>
      </c>
      <c r="F135" t="s">
        <v>1067</v>
      </c>
      <c r="G135" t="s">
        <v>758</v>
      </c>
      <c r="H135" t="s">
        <v>1589</v>
      </c>
      <c r="J135" t="s">
        <v>760</v>
      </c>
      <c r="K135" t="s">
        <v>761</v>
      </c>
      <c r="L135" t="s">
        <v>754</v>
      </c>
      <c r="M135" t="s">
        <v>1688</v>
      </c>
      <c r="N135" t="s">
        <v>763</v>
      </c>
      <c r="O135" t="s">
        <v>764</v>
      </c>
      <c r="P135" t="s">
        <v>63</v>
      </c>
      <c r="R135" t="s">
        <v>1689</v>
      </c>
      <c r="S135" t="s">
        <v>754</v>
      </c>
      <c r="U135" t="s">
        <v>1690</v>
      </c>
      <c r="V135" t="s">
        <v>767</v>
      </c>
      <c r="W135">
        <v>64</v>
      </c>
      <c r="X135" t="s">
        <v>768</v>
      </c>
      <c r="Y135">
        <v>2</v>
      </c>
      <c r="Z135" t="s">
        <v>1691</v>
      </c>
      <c r="AA135">
        <v>8</v>
      </c>
      <c r="AB135" t="s">
        <v>770</v>
      </c>
      <c r="AC135" t="s">
        <v>768</v>
      </c>
      <c r="AD135" t="s">
        <v>1692</v>
      </c>
      <c r="AE135">
        <v>32</v>
      </c>
      <c r="AF135" t="s">
        <v>770</v>
      </c>
      <c r="AG135" t="s">
        <v>768</v>
      </c>
      <c r="AT135" t="s">
        <v>772</v>
      </c>
      <c r="AU135" t="s">
        <v>1693</v>
      </c>
      <c r="AV135" t="str" cm="1">
        <f t="array" ref="AV135">IF(B135=_xlfn.XLOOKUP(B135,VmSpecs[[#All],[VM Name]],VmSpecs[[#All],[VM Name]],"Failed",0,1),"Pass","Fail")</f>
        <v>Fail</v>
      </c>
      <c r="AW135" t="str" cm="1">
        <f t="array" ref="AW135">IF(D135=_xlfn.XLOOKUP($B135,VmSpecs[[#All],[VM Name]],VmSpecs[[#All],[Virtual Machine Resource Groups]],"Failed",0,1),"Pass","Fail")</f>
        <v>Fail</v>
      </c>
      <c r="AX135" t="str" cm="1">
        <f t="array" ref="AX135">IF(_xlfn.IFS(E135="australiacentral","Australia Central 1",E135="australiaeast","Australia East",E135="australiasoutheast","Australia SouthEast")=_xlfn.XLOOKUP($B135,VmSpecs[[#All],[VM Name]],VmSpecs[[#All],[Region]],"Failed",0,1),"Pass","Fail")</f>
        <v>Fail</v>
      </c>
      <c r="AY135" t="str" cm="1">
        <f t="array" ref="AY135">IF(F135=_xlfn.XLOOKUP($B135,VmSpecs[[#All],[VM Name]],VmSpecs[[#All],[Instance size]],"Failed",0,1),"Pass","Fail")</f>
        <v>Fail</v>
      </c>
      <c r="AZ135" t="str" cm="1">
        <f t="array" ref="AZ135">IF(LOWER(H135)=_xlfn.XLOOKUP($B135,VmSpecs[[#All],[VM Name]],VmSpecs[[#All],[Availability Set Name]],"Failed",0,1),"Pass","Fail")</f>
        <v>Fail</v>
      </c>
      <c r="BA135" t="str" cm="1">
        <f t="array" ref="BA135">IF(J135=_xlfn.XLOOKUP($B135,VmSpecs[[#All],[VM Name]],VmSpecs[[#All],[Virtual Network]],"Failed",0,1),"Pass","Fail")</f>
        <v>Fail</v>
      </c>
      <c r="BB135" t="str" cm="1">
        <f t="array" ref="BB135">IF(K135=_xlfn.XLOOKUP($B135,VmSpecs[[#All],[VM Name]],VmSpecs[[#All],[Subnet]],"Failed",0,1),"Pass","Fail")</f>
        <v>Fail</v>
      </c>
      <c r="BC135" t="str" cm="1">
        <f t="array" ref="BC135">IF(M135=_xlfn.XLOOKUP($B135,VmSpecs[[#All],[VM Name]],VmSpecs[[#All],[IP]],"Failed",0,1),"Pass","Fail")</f>
        <v>Fail</v>
      </c>
      <c r="BD135" t="str" cm="1">
        <f t="array" ref="BD135">IF(N135=_xlfn.XLOOKUP($B135,VmSpecs[[#All],[VM Name]],VmSpecs[[#All],[Network Security Group]],"Failed",0,1),"Pass","Fail")</f>
        <v>Fail</v>
      </c>
      <c r="BE135" t="str" cm="1">
        <f t="array" ref="BE135">IF(O135=_xlfn.XLOOKUP($B135,VmSpecs[[#All],[VM Name]],VmSpecs[[#All],[Route Table Name]],"Failed",0,1),"Pass","Fail")</f>
        <v>Fail</v>
      </c>
      <c r="BF135" t="str" cm="1">
        <f t="array" ref="BF135">IF(P135=_xlfn.XLOOKUP($B135,VmSpecs[[#All],[VM Name]],VmSpecs[[#All],[Operating System]],"Failed",0,1),"Pass","Fail")</f>
        <v>Fail</v>
      </c>
      <c r="BG135" t="str" cm="1">
        <f t="array" ref="BG135">IF(R135=_xlfn.XLOOKUP($B135,VmSpecs[[#All],[VM Name]],VmSpecs[[#All],[NIC name]],"Failed",0,1),"Pass","Fail")</f>
        <v>Fail</v>
      </c>
      <c r="BH135" t="str" cm="1">
        <f t="array" ref="BH135">IF(U135=_xlfn.XLOOKUP($B135,VmSpecs[[#All],[VM Name]],VmSpecs[[#All],[OS Disk Name]],"Failed",0,1),"Pass","Fail")</f>
        <v>Fail</v>
      </c>
      <c r="BI135" t="str" cm="1">
        <f t="array" ref="BI135">IF(W135=_xlfn.XLOOKUP($B135,VmSpecs[[#All],[VM Name]],VmSpecs[[#All],[OS Disk Size]],"Failed",0,1),"Pass","Fail")</f>
        <v>Fail</v>
      </c>
      <c r="BJ135" t="str" cm="1">
        <f t="array" ref="BJ135">IF(LEFT(X135,4)=LEFT(_xlfn.XLOOKUP($B135,VmSpecs[[#All],[VM Name]],VmSpecs[[#All],[OS Disk Type (Standard SSD etc)]],"Failed",0,1),4),"Pass","Fail")</f>
        <v>Fail</v>
      </c>
      <c r="BK135" t="str" cm="1">
        <f t="array" ref="BK135">IF(Z135=_xlfn.XLOOKUP($B135,VmSpecs[[#All],[VM Name]],VmSpecs[[#All],[Data Disk1 Name]],"Failed",0,1),"Pass","Fail")</f>
        <v>Fail</v>
      </c>
      <c r="BL135" t="str" cm="1">
        <f t="array" ref="BL135">IF(AA135=_xlfn.XLOOKUP($B135,VmSpecs[[#All],[VM Name]],VmSpecs[[#All],[Data Disk1 Size]],"Failed",0,1),"Pass","Fail")</f>
        <v>Fail</v>
      </c>
      <c r="BM135" t="str" cm="1">
        <f t="array" ref="BM135">IF(LEFT(AC135,4)=LEFT(_xlfn.XLOOKUP($B135,VmSpecs[[#All],[VM Name]],VmSpecs[[#All],[Data Disk1 Type]],"Failed",0,1),4),"Pass","Fail")</f>
        <v>Fail</v>
      </c>
      <c r="BO135" t="e">
        <f>VLOOKUP('VM Specs'!K135,'As Built'!B:B,1,FALSE)</f>
        <v>#N/A</v>
      </c>
      <c r="BP135" t="str">
        <f>IF(ISNA(Table613[[#This Row],[VM Build Sheet Check]]),'VM Specs'!K135,"")</f>
        <v>vmpfbpf2oid15</v>
      </c>
    </row>
    <row r="136" spans="1:68" ht="33" customHeight="1" x14ac:dyDescent="0.35">
      <c r="A136" t="str">
        <f>IF(COUNTIF(AsBuilt[[#This Row],[VM Check]:[Data Disk 1 Type Check]],"Fail")&gt;0,"Fail","Pass")</f>
        <v>Fail</v>
      </c>
      <c r="B136" t="s">
        <v>1694</v>
      </c>
      <c r="C136" t="s">
        <v>754</v>
      </c>
      <c r="D136" t="s">
        <v>755</v>
      </c>
      <c r="E136" t="s">
        <v>756</v>
      </c>
      <c r="F136" t="s">
        <v>1067</v>
      </c>
      <c r="G136" t="s">
        <v>758</v>
      </c>
      <c r="H136" t="s">
        <v>1589</v>
      </c>
      <c r="J136" t="s">
        <v>760</v>
      </c>
      <c r="K136" t="s">
        <v>761</v>
      </c>
      <c r="L136" t="s">
        <v>754</v>
      </c>
      <c r="M136" t="s">
        <v>1695</v>
      </c>
      <c r="N136" t="s">
        <v>763</v>
      </c>
      <c r="O136" t="s">
        <v>764</v>
      </c>
      <c r="P136" t="s">
        <v>63</v>
      </c>
      <c r="R136" t="s">
        <v>1696</v>
      </c>
      <c r="S136" t="s">
        <v>754</v>
      </c>
      <c r="U136" t="s">
        <v>1697</v>
      </c>
      <c r="V136" t="s">
        <v>767</v>
      </c>
      <c r="W136">
        <v>64</v>
      </c>
      <c r="X136" t="s">
        <v>768</v>
      </c>
      <c r="Y136">
        <v>2</v>
      </c>
      <c r="Z136" t="s">
        <v>1698</v>
      </c>
      <c r="AA136">
        <v>8</v>
      </c>
      <c r="AB136" t="s">
        <v>770</v>
      </c>
      <c r="AC136" t="s">
        <v>768</v>
      </c>
      <c r="AD136" t="s">
        <v>1699</v>
      </c>
      <c r="AE136">
        <v>32</v>
      </c>
      <c r="AF136" t="s">
        <v>770</v>
      </c>
      <c r="AG136" t="s">
        <v>768</v>
      </c>
      <c r="AT136" t="s">
        <v>772</v>
      </c>
      <c r="AU136" t="s">
        <v>1700</v>
      </c>
      <c r="AV136" t="str" cm="1">
        <f t="array" ref="AV136">IF(B136=_xlfn.XLOOKUP(B136,VmSpecs[[#All],[VM Name]],VmSpecs[[#All],[VM Name]],"Failed",0,1),"Pass","Fail")</f>
        <v>Fail</v>
      </c>
      <c r="AW136" t="str" cm="1">
        <f t="array" ref="AW136">IF(D136=_xlfn.XLOOKUP($B136,VmSpecs[[#All],[VM Name]],VmSpecs[[#All],[Virtual Machine Resource Groups]],"Failed",0,1),"Pass","Fail")</f>
        <v>Fail</v>
      </c>
      <c r="AX136" t="str" cm="1">
        <f t="array" ref="AX136">IF(_xlfn.IFS(E136="australiacentral","Australia Central 1",E136="australiaeast","Australia East",E136="australiasoutheast","Australia SouthEast")=_xlfn.XLOOKUP($B136,VmSpecs[[#All],[VM Name]],VmSpecs[[#All],[Region]],"Failed",0,1),"Pass","Fail")</f>
        <v>Fail</v>
      </c>
      <c r="AY136" t="str" cm="1">
        <f t="array" ref="AY136">IF(F136=_xlfn.XLOOKUP($B136,VmSpecs[[#All],[VM Name]],VmSpecs[[#All],[Instance size]],"Failed",0,1),"Pass","Fail")</f>
        <v>Fail</v>
      </c>
      <c r="AZ136" t="str" cm="1">
        <f t="array" ref="AZ136">IF(LOWER(H136)=_xlfn.XLOOKUP($B136,VmSpecs[[#All],[VM Name]],VmSpecs[[#All],[Availability Set Name]],"Failed",0,1),"Pass","Fail")</f>
        <v>Fail</v>
      </c>
      <c r="BA136" t="str" cm="1">
        <f t="array" ref="BA136">IF(J136=_xlfn.XLOOKUP($B136,VmSpecs[[#All],[VM Name]],VmSpecs[[#All],[Virtual Network]],"Failed",0,1),"Pass","Fail")</f>
        <v>Fail</v>
      </c>
      <c r="BB136" t="str" cm="1">
        <f t="array" ref="BB136">IF(K136=_xlfn.XLOOKUP($B136,VmSpecs[[#All],[VM Name]],VmSpecs[[#All],[Subnet]],"Failed",0,1),"Pass","Fail")</f>
        <v>Fail</v>
      </c>
      <c r="BC136" t="str" cm="1">
        <f t="array" ref="BC136">IF(M136=_xlfn.XLOOKUP($B136,VmSpecs[[#All],[VM Name]],VmSpecs[[#All],[IP]],"Failed",0,1),"Pass","Fail")</f>
        <v>Fail</v>
      </c>
      <c r="BD136" t="str" cm="1">
        <f t="array" ref="BD136">IF(N136=_xlfn.XLOOKUP($B136,VmSpecs[[#All],[VM Name]],VmSpecs[[#All],[Network Security Group]],"Failed",0,1),"Pass","Fail")</f>
        <v>Fail</v>
      </c>
      <c r="BE136" t="str" cm="1">
        <f t="array" ref="BE136">IF(O136=_xlfn.XLOOKUP($B136,VmSpecs[[#All],[VM Name]],VmSpecs[[#All],[Route Table Name]],"Failed",0,1),"Pass","Fail")</f>
        <v>Fail</v>
      </c>
      <c r="BF136" t="str" cm="1">
        <f t="array" ref="BF136">IF(P136=_xlfn.XLOOKUP($B136,VmSpecs[[#All],[VM Name]],VmSpecs[[#All],[Operating System]],"Failed",0,1),"Pass","Fail")</f>
        <v>Fail</v>
      </c>
      <c r="BG136" t="str" cm="1">
        <f t="array" ref="BG136">IF(R136=_xlfn.XLOOKUP($B136,VmSpecs[[#All],[VM Name]],VmSpecs[[#All],[NIC name]],"Failed",0,1),"Pass","Fail")</f>
        <v>Fail</v>
      </c>
      <c r="BH136" t="str" cm="1">
        <f t="array" ref="BH136">IF(U136=_xlfn.XLOOKUP($B136,VmSpecs[[#All],[VM Name]],VmSpecs[[#All],[OS Disk Name]],"Failed",0,1),"Pass","Fail")</f>
        <v>Fail</v>
      </c>
      <c r="BI136" t="str" cm="1">
        <f t="array" ref="BI136">IF(W136=_xlfn.XLOOKUP($B136,VmSpecs[[#All],[VM Name]],VmSpecs[[#All],[OS Disk Size]],"Failed",0,1),"Pass","Fail")</f>
        <v>Fail</v>
      </c>
      <c r="BJ136" t="str" cm="1">
        <f t="array" ref="BJ136">IF(LEFT(X136,4)=LEFT(_xlfn.XLOOKUP($B136,VmSpecs[[#All],[VM Name]],VmSpecs[[#All],[OS Disk Type (Standard SSD etc)]],"Failed",0,1),4),"Pass","Fail")</f>
        <v>Fail</v>
      </c>
      <c r="BK136" t="str" cm="1">
        <f t="array" ref="BK136">IF(Z136=_xlfn.XLOOKUP($B136,VmSpecs[[#All],[VM Name]],VmSpecs[[#All],[Data Disk1 Name]],"Failed",0,1),"Pass","Fail")</f>
        <v>Fail</v>
      </c>
      <c r="BL136" t="str" cm="1">
        <f t="array" ref="BL136">IF(AA136=_xlfn.XLOOKUP($B136,VmSpecs[[#All],[VM Name]],VmSpecs[[#All],[Data Disk1 Size]],"Failed",0,1),"Pass","Fail")</f>
        <v>Fail</v>
      </c>
      <c r="BM136" t="str" cm="1">
        <f t="array" ref="BM136">IF(LEFT(AC136,4)=LEFT(_xlfn.XLOOKUP($B136,VmSpecs[[#All],[VM Name]],VmSpecs[[#All],[Data Disk1 Type]],"Failed",0,1),4),"Pass","Fail")</f>
        <v>Fail</v>
      </c>
      <c r="BO136" t="e">
        <f>VLOOKUP('VM Specs'!K136,'As Built'!B:B,1,FALSE)</f>
        <v>#N/A</v>
      </c>
      <c r="BP136" t="str">
        <f>IF(ISNA(Table613[[#This Row],[VM Build Sheet Check]]),'VM Specs'!K136,"")</f>
        <v>vmpfbpf2oid16</v>
      </c>
    </row>
    <row r="137" spans="1:68" ht="33" customHeight="1" x14ac:dyDescent="0.35">
      <c r="A137" t="str">
        <f>IF(COUNTIF(AsBuilt[[#This Row],[VM Check]:[Data Disk 1 Type Check]],"Fail")&gt;0,"Fail","Pass")</f>
        <v>Fail</v>
      </c>
      <c r="B137" t="s">
        <v>1701</v>
      </c>
      <c r="C137" t="s">
        <v>754</v>
      </c>
      <c r="D137" t="s">
        <v>755</v>
      </c>
      <c r="E137" t="s">
        <v>756</v>
      </c>
      <c r="F137" t="s">
        <v>1067</v>
      </c>
      <c r="G137" t="s">
        <v>758</v>
      </c>
      <c r="H137" t="s">
        <v>1589</v>
      </c>
      <c r="J137" t="s">
        <v>760</v>
      </c>
      <c r="K137" t="s">
        <v>761</v>
      </c>
      <c r="L137" t="s">
        <v>754</v>
      </c>
      <c r="M137" t="s">
        <v>1702</v>
      </c>
      <c r="N137" t="s">
        <v>763</v>
      </c>
      <c r="O137" t="s">
        <v>764</v>
      </c>
      <c r="P137" t="s">
        <v>63</v>
      </c>
      <c r="R137" t="s">
        <v>1703</v>
      </c>
      <c r="S137" t="s">
        <v>754</v>
      </c>
      <c r="U137" t="s">
        <v>1704</v>
      </c>
      <c r="V137" t="s">
        <v>767</v>
      </c>
      <c r="W137">
        <v>64</v>
      </c>
      <c r="X137" t="s">
        <v>768</v>
      </c>
      <c r="Y137">
        <v>2</v>
      </c>
      <c r="Z137" t="s">
        <v>1705</v>
      </c>
      <c r="AA137">
        <v>8</v>
      </c>
      <c r="AB137" t="s">
        <v>770</v>
      </c>
      <c r="AC137" t="s">
        <v>768</v>
      </c>
      <c r="AD137" t="s">
        <v>1706</v>
      </c>
      <c r="AE137">
        <v>32</v>
      </c>
      <c r="AF137" t="s">
        <v>770</v>
      </c>
      <c r="AG137" t="s">
        <v>768</v>
      </c>
      <c r="AT137" t="s">
        <v>772</v>
      </c>
      <c r="AU137" t="s">
        <v>1707</v>
      </c>
      <c r="AV137" t="str" cm="1">
        <f t="array" ref="AV137">IF(B137=_xlfn.XLOOKUP(B137,VmSpecs[[#All],[VM Name]],VmSpecs[[#All],[VM Name]],"Failed",0,1),"Pass","Fail")</f>
        <v>Fail</v>
      </c>
      <c r="AW137" t="str" cm="1">
        <f t="array" ref="AW137">IF(D137=_xlfn.XLOOKUP($B137,VmSpecs[[#All],[VM Name]],VmSpecs[[#All],[Virtual Machine Resource Groups]],"Failed",0,1),"Pass","Fail")</f>
        <v>Fail</v>
      </c>
      <c r="AX137" t="str" cm="1">
        <f t="array" ref="AX137">IF(_xlfn.IFS(E137="australiacentral","Australia Central 1",E137="australiaeast","Australia East",E137="australiasoutheast","Australia SouthEast")=_xlfn.XLOOKUP($B137,VmSpecs[[#All],[VM Name]],VmSpecs[[#All],[Region]],"Failed",0,1),"Pass","Fail")</f>
        <v>Fail</v>
      </c>
      <c r="AY137" t="str" cm="1">
        <f t="array" ref="AY137">IF(F137=_xlfn.XLOOKUP($B137,VmSpecs[[#All],[VM Name]],VmSpecs[[#All],[Instance size]],"Failed",0,1),"Pass","Fail")</f>
        <v>Fail</v>
      </c>
      <c r="AZ137" t="str" cm="1">
        <f t="array" ref="AZ137">IF(LOWER(H137)=_xlfn.XLOOKUP($B137,VmSpecs[[#All],[VM Name]],VmSpecs[[#All],[Availability Set Name]],"Failed",0,1),"Pass","Fail")</f>
        <v>Fail</v>
      </c>
      <c r="BA137" t="str" cm="1">
        <f t="array" ref="BA137">IF(J137=_xlfn.XLOOKUP($B137,VmSpecs[[#All],[VM Name]],VmSpecs[[#All],[Virtual Network]],"Failed",0,1),"Pass","Fail")</f>
        <v>Fail</v>
      </c>
      <c r="BB137" t="str" cm="1">
        <f t="array" ref="BB137">IF(K137=_xlfn.XLOOKUP($B137,VmSpecs[[#All],[VM Name]],VmSpecs[[#All],[Subnet]],"Failed",0,1),"Pass","Fail")</f>
        <v>Fail</v>
      </c>
      <c r="BC137" t="str" cm="1">
        <f t="array" ref="BC137">IF(M137=_xlfn.XLOOKUP($B137,VmSpecs[[#All],[VM Name]],VmSpecs[[#All],[IP]],"Failed",0,1),"Pass","Fail")</f>
        <v>Fail</v>
      </c>
      <c r="BD137" t="str" cm="1">
        <f t="array" ref="BD137">IF(N137=_xlfn.XLOOKUP($B137,VmSpecs[[#All],[VM Name]],VmSpecs[[#All],[Network Security Group]],"Failed",0,1),"Pass","Fail")</f>
        <v>Fail</v>
      </c>
      <c r="BE137" t="str" cm="1">
        <f t="array" ref="BE137">IF(O137=_xlfn.XLOOKUP($B137,VmSpecs[[#All],[VM Name]],VmSpecs[[#All],[Route Table Name]],"Failed",0,1),"Pass","Fail")</f>
        <v>Fail</v>
      </c>
      <c r="BF137" t="str" cm="1">
        <f t="array" ref="BF137">IF(P137=_xlfn.XLOOKUP($B137,VmSpecs[[#All],[VM Name]],VmSpecs[[#All],[Operating System]],"Failed",0,1),"Pass","Fail")</f>
        <v>Fail</v>
      </c>
      <c r="BG137" t="str" cm="1">
        <f t="array" ref="BG137">IF(R137=_xlfn.XLOOKUP($B137,VmSpecs[[#All],[VM Name]],VmSpecs[[#All],[NIC name]],"Failed",0,1),"Pass","Fail")</f>
        <v>Fail</v>
      </c>
      <c r="BH137" t="str" cm="1">
        <f t="array" ref="BH137">IF(U137=_xlfn.XLOOKUP($B137,VmSpecs[[#All],[VM Name]],VmSpecs[[#All],[OS Disk Name]],"Failed",0,1),"Pass","Fail")</f>
        <v>Fail</v>
      </c>
      <c r="BI137" t="str" cm="1">
        <f t="array" ref="BI137">IF(W137=_xlfn.XLOOKUP($B137,VmSpecs[[#All],[VM Name]],VmSpecs[[#All],[OS Disk Size]],"Failed",0,1),"Pass","Fail")</f>
        <v>Fail</v>
      </c>
      <c r="BJ137" t="str" cm="1">
        <f t="array" ref="BJ137">IF(LEFT(X137,4)=LEFT(_xlfn.XLOOKUP($B137,VmSpecs[[#All],[VM Name]],VmSpecs[[#All],[OS Disk Type (Standard SSD etc)]],"Failed",0,1),4),"Pass","Fail")</f>
        <v>Fail</v>
      </c>
      <c r="BK137" t="str" cm="1">
        <f t="array" ref="BK137">IF(Z137=_xlfn.XLOOKUP($B137,VmSpecs[[#All],[VM Name]],VmSpecs[[#All],[Data Disk1 Name]],"Failed",0,1),"Pass","Fail")</f>
        <v>Fail</v>
      </c>
      <c r="BL137" t="str" cm="1">
        <f t="array" ref="BL137">IF(AA137=_xlfn.XLOOKUP($B137,VmSpecs[[#All],[VM Name]],VmSpecs[[#All],[Data Disk1 Size]],"Failed",0,1),"Pass","Fail")</f>
        <v>Fail</v>
      </c>
      <c r="BM137" t="str" cm="1">
        <f t="array" ref="BM137">IF(LEFT(AC137,4)=LEFT(_xlfn.XLOOKUP($B137,VmSpecs[[#All],[VM Name]],VmSpecs[[#All],[Data Disk1 Type]],"Failed",0,1),4),"Pass","Fail")</f>
        <v>Fail</v>
      </c>
      <c r="BO137" t="e">
        <f>VLOOKUP('VM Specs'!K137,'As Built'!B:B,1,FALSE)</f>
        <v>#N/A</v>
      </c>
      <c r="BP137" t="str">
        <f>IF(ISNA(Table613[[#This Row],[VM Build Sheet Check]]),'VM Specs'!K137,"")</f>
        <v>vmpfbpf2oid17</v>
      </c>
    </row>
    <row r="138" spans="1:68" ht="33" customHeight="1" x14ac:dyDescent="0.35">
      <c r="A138" t="str">
        <f>IF(COUNTIF(AsBuilt[[#This Row],[VM Check]:[Data Disk 1 Type Check]],"Fail")&gt;0,"Fail","Pass")</f>
        <v>Fail</v>
      </c>
      <c r="B138" t="s">
        <v>1708</v>
      </c>
      <c r="C138" t="s">
        <v>754</v>
      </c>
      <c r="D138" t="s">
        <v>755</v>
      </c>
      <c r="E138" t="s">
        <v>756</v>
      </c>
      <c r="F138" t="s">
        <v>1067</v>
      </c>
      <c r="G138" t="s">
        <v>758</v>
      </c>
      <c r="H138" t="s">
        <v>1589</v>
      </c>
      <c r="J138" t="s">
        <v>760</v>
      </c>
      <c r="K138" t="s">
        <v>761</v>
      </c>
      <c r="L138" t="s">
        <v>754</v>
      </c>
      <c r="M138" t="s">
        <v>1709</v>
      </c>
      <c r="N138" t="s">
        <v>763</v>
      </c>
      <c r="O138" t="s">
        <v>764</v>
      </c>
      <c r="P138" t="s">
        <v>63</v>
      </c>
      <c r="R138" t="s">
        <v>1710</v>
      </c>
      <c r="S138" t="s">
        <v>754</v>
      </c>
      <c r="U138" t="s">
        <v>1711</v>
      </c>
      <c r="V138" t="s">
        <v>767</v>
      </c>
      <c r="W138">
        <v>64</v>
      </c>
      <c r="X138" t="s">
        <v>768</v>
      </c>
      <c r="Y138">
        <v>2</v>
      </c>
      <c r="Z138" t="s">
        <v>1712</v>
      </c>
      <c r="AA138">
        <v>8</v>
      </c>
      <c r="AB138" t="s">
        <v>770</v>
      </c>
      <c r="AC138" t="s">
        <v>768</v>
      </c>
      <c r="AD138" t="s">
        <v>1713</v>
      </c>
      <c r="AE138">
        <v>32</v>
      </c>
      <c r="AF138" t="s">
        <v>770</v>
      </c>
      <c r="AG138" t="s">
        <v>768</v>
      </c>
      <c r="AT138" t="s">
        <v>772</v>
      </c>
      <c r="AU138" t="s">
        <v>1714</v>
      </c>
      <c r="AV138" t="str" cm="1">
        <f t="array" ref="AV138">IF(B138=_xlfn.XLOOKUP(B138,VmSpecs[[#All],[VM Name]],VmSpecs[[#All],[VM Name]],"Failed",0,1),"Pass","Fail")</f>
        <v>Fail</v>
      </c>
      <c r="AW138" t="str" cm="1">
        <f t="array" ref="AW138">IF(D138=_xlfn.XLOOKUP($B138,VmSpecs[[#All],[VM Name]],VmSpecs[[#All],[Virtual Machine Resource Groups]],"Failed",0,1),"Pass","Fail")</f>
        <v>Fail</v>
      </c>
      <c r="AX138" t="str" cm="1">
        <f t="array" ref="AX138">IF(_xlfn.IFS(E138="australiacentral","Australia Central 1",E138="australiaeast","Australia East",E138="australiasoutheast","Australia SouthEast")=_xlfn.XLOOKUP($B138,VmSpecs[[#All],[VM Name]],VmSpecs[[#All],[Region]],"Failed",0,1),"Pass","Fail")</f>
        <v>Fail</v>
      </c>
      <c r="AY138" t="str" cm="1">
        <f t="array" ref="AY138">IF(F138=_xlfn.XLOOKUP($B138,VmSpecs[[#All],[VM Name]],VmSpecs[[#All],[Instance size]],"Failed",0,1),"Pass","Fail")</f>
        <v>Fail</v>
      </c>
      <c r="AZ138" t="str" cm="1">
        <f t="array" ref="AZ138">IF(LOWER(H138)=_xlfn.XLOOKUP($B138,VmSpecs[[#All],[VM Name]],VmSpecs[[#All],[Availability Set Name]],"Failed",0,1),"Pass","Fail")</f>
        <v>Fail</v>
      </c>
      <c r="BA138" t="str" cm="1">
        <f t="array" ref="BA138">IF(J138=_xlfn.XLOOKUP($B138,VmSpecs[[#All],[VM Name]],VmSpecs[[#All],[Virtual Network]],"Failed",0,1),"Pass","Fail")</f>
        <v>Fail</v>
      </c>
      <c r="BB138" t="str" cm="1">
        <f t="array" ref="BB138">IF(K138=_xlfn.XLOOKUP($B138,VmSpecs[[#All],[VM Name]],VmSpecs[[#All],[Subnet]],"Failed",0,1),"Pass","Fail")</f>
        <v>Fail</v>
      </c>
      <c r="BC138" t="str" cm="1">
        <f t="array" ref="BC138">IF(M138=_xlfn.XLOOKUP($B138,VmSpecs[[#All],[VM Name]],VmSpecs[[#All],[IP]],"Failed",0,1),"Pass","Fail")</f>
        <v>Fail</v>
      </c>
      <c r="BD138" t="str" cm="1">
        <f t="array" ref="BD138">IF(N138=_xlfn.XLOOKUP($B138,VmSpecs[[#All],[VM Name]],VmSpecs[[#All],[Network Security Group]],"Failed",0,1),"Pass","Fail")</f>
        <v>Fail</v>
      </c>
      <c r="BE138" t="str" cm="1">
        <f t="array" ref="BE138">IF(O138=_xlfn.XLOOKUP($B138,VmSpecs[[#All],[VM Name]],VmSpecs[[#All],[Route Table Name]],"Failed",0,1),"Pass","Fail")</f>
        <v>Fail</v>
      </c>
      <c r="BF138" t="str" cm="1">
        <f t="array" ref="BF138">IF(P138=_xlfn.XLOOKUP($B138,VmSpecs[[#All],[VM Name]],VmSpecs[[#All],[Operating System]],"Failed",0,1),"Pass","Fail")</f>
        <v>Fail</v>
      </c>
      <c r="BG138" t="str" cm="1">
        <f t="array" ref="BG138">IF(R138=_xlfn.XLOOKUP($B138,VmSpecs[[#All],[VM Name]],VmSpecs[[#All],[NIC name]],"Failed",0,1),"Pass","Fail")</f>
        <v>Fail</v>
      </c>
      <c r="BH138" t="str" cm="1">
        <f t="array" ref="BH138">IF(U138=_xlfn.XLOOKUP($B138,VmSpecs[[#All],[VM Name]],VmSpecs[[#All],[OS Disk Name]],"Failed",0,1),"Pass","Fail")</f>
        <v>Fail</v>
      </c>
      <c r="BI138" t="str" cm="1">
        <f t="array" ref="BI138">IF(W138=_xlfn.XLOOKUP($B138,VmSpecs[[#All],[VM Name]],VmSpecs[[#All],[OS Disk Size]],"Failed",0,1),"Pass","Fail")</f>
        <v>Fail</v>
      </c>
      <c r="BJ138" t="str" cm="1">
        <f t="array" ref="BJ138">IF(LEFT(X138,4)=LEFT(_xlfn.XLOOKUP($B138,VmSpecs[[#All],[VM Name]],VmSpecs[[#All],[OS Disk Type (Standard SSD etc)]],"Failed",0,1),4),"Pass","Fail")</f>
        <v>Fail</v>
      </c>
      <c r="BK138" t="str" cm="1">
        <f t="array" ref="BK138">IF(Z138=_xlfn.XLOOKUP($B138,VmSpecs[[#All],[VM Name]],VmSpecs[[#All],[Data Disk1 Name]],"Failed",0,1),"Pass","Fail")</f>
        <v>Fail</v>
      </c>
      <c r="BL138" t="str" cm="1">
        <f t="array" ref="BL138">IF(AA138=_xlfn.XLOOKUP($B138,VmSpecs[[#All],[VM Name]],VmSpecs[[#All],[Data Disk1 Size]],"Failed",0,1),"Pass","Fail")</f>
        <v>Fail</v>
      </c>
      <c r="BM138" t="str" cm="1">
        <f t="array" ref="BM138">IF(LEFT(AC138,4)=LEFT(_xlfn.XLOOKUP($B138,VmSpecs[[#All],[VM Name]],VmSpecs[[#All],[Data Disk1 Type]],"Failed",0,1),4),"Pass","Fail")</f>
        <v>Fail</v>
      </c>
      <c r="BO138" t="e">
        <f>VLOOKUP('VM Specs'!K138,'As Built'!B:B,1,FALSE)</f>
        <v>#N/A</v>
      </c>
      <c r="BP138" t="str">
        <f>IF(ISNA(Table613[[#This Row],[VM Build Sheet Check]]),'VM Specs'!K138,"")</f>
        <v>vmpfbpf2oid18</v>
      </c>
    </row>
    <row r="139" spans="1:68" ht="33" customHeight="1" x14ac:dyDescent="0.35">
      <c r="A139" t="str">
        <f>IF(COUNTIF(AsBuilt[[#This Row],[VM Check]:[Data Disk 1 Type Check]],"Fail")&gt;0,"Fail","Pass")</f>
        <v>Fail</v>
      </c>
      <c r="B139" t="s">
        <v>1715</v>
      </c>
      <c r="C139" t="s">
        <v>754</v>
      </c>
      <c r="D139" t="s">
        <v>755</v>
      </c>
      <c r="E139" t="s">
        <v>756</v>
      </c>
      <c r="F139" t="s">
        <v>1067</v>
      </c>
      <c r="G139" t="s">
        <v>758</v>
      </c>
      <c r="H139" t="s">
        <v>1589</v>
      </c>
      <c r="J139" t="s">
        <v>760</v>
      </c>
      <c r="K139" t="s">
        <v>761</v>
      </c>
      <c r="L139" t="s">
        <v>754</v>
      </c>
      <c r="M139" t="s">
        <v>1716</v>
      </c>
      <c r="N139" t="s">
        <v>763</v>
      </c>
      <c r="O139" t="s">
        <v>764</v>
      </c>
      <c r="P139" t="s">
        <v>63</v>
      </c>
      <c r="R139" t="s">
        <v>1717</v>
      </c>
      <c r="S139" t="s">
        <v>754</v>
      </c>
      <c r="U139" t="s">
        <v>1718</v>
      </c>
      <c r="V139" t="s">
        <v>767</v>
      </c>
      <c r="W139">
        <v>64</v>
      </c>
      <c r="X139" t="s">
        <v>768</v>
      </c>
      <c r="Y139">
        <v>2</v>
      </c>
      <c r="Z139" t="s">
        <v>1719</v>
      </c>
      <c r="AA139">
        <v>8</v>
      </c>
      <c r="AB139" t="s">
        <v>770</v>
      </c>
      <c r="AC139" t="s">
        <v>768</v>
      </c>
      <c r="AD139" t="s">
        <v>1720</v>
      </c>
      <c r="AE139">
        <v>32</v>
      </c>
      <c r="AF139" t="s">
        <v>770</v>
      </c>
      <c r="AG139" t="s">
        <v>768</v>
      </c>
      <c r="AT139" t="s">
        <v>772</v>
      </c>
      <c r="AU139" t="s">
        <v>1721</v>
      </c>
      <c r="AV139" t="str" cm="1">
        <f t="array" ref="AV139">IF(B139=_xlfn.XLOOKUP(B139,VmSpecs[[#All],[VM Name]],VmSpecs[[#All],[VM Name]],"Failed",0,1),"Pass","Fail")</f>
        <v>Fail</v>
      </c>
      <c r="AW139" t="str" cm="1">
        <f t="array" ref="AW139">IF(D139=_xlfn.XLOOKUP($B139,VmSpecs[[#All],[VM Name]],VmSpecs[[#All],[Virtual Machine Resource Groups]],"Failed",0,1),"Pass","Fail")</f>
        <v>Fail</v>
      </c>
      <c r="AX139" t="str" cm="1">
        <f t="array" ref="AX139">IF(_xlfn.IFS(E139="australiacentral","Australia Central 1",E139="australiaeast","Australia East",E139="australiasoutheast","Australia SouthEast")=_xlfn.XLOOKUP($B139,VmSpecs[[#All],[VM Name]],VmSpecs[[#All],[Region]],"Failed",0,1),"Pass","Fail")</f>
        <v>Fail</v>
      </c>
      <c r="AY139" t="str" cm="1">
        <f t="array" ref="AY139">IF(F139=_xlfn.XLOOKUP($B139,VmSpecs[[#All],[VM Name]],VmSpecs[[#All],[Instance size]],"Failed",0,1),"Pass","Fail")</f>
        <v>Fail</v>
      </c>
      <c r="AZ139" t="str" cm="1">
        <f t="array" ref="AZ139">IF(LOWER(H139)=_xlfn.XLOOKUP($B139,VmSpecs[[#All],[VM Name]],VmSpecs[[#All],[Availability Set Name]],"Failed",0,1),"Pass","Fail")</f>
        <v>Fail</v>
      </c>
      <c r="BA139" t="str" cm="1">
        <f t="array" ref="BA139">IF(J139=_xlfn.XLOOKUP($B139,VmSpecs[[#All],[VM Name]],VmSpecs[[#All],[Virtual Network]],"Failed",0,1),"Pass","Fail")</f>
        <v>Fail</v>
      </c>
      <c r="BB139" t="str" cm="1">
        <f t="array" ref="BB139">IF(K139=_xlfn.XLOOKUP($B139,VmSpecs[[#All],[VM Name]],VmSpecs[[#All],[Subnet]],"Failed",0,1),"Pass","Fail")</f>
        <v>Fail</v>
      </c>
      <c r="BC139" t="str" cm="1">
        <f t="array" ref="BC139">IF(M139=_xlfn.XLOOKUP($B139,VmSpecs[[#All],[VM Name]],VmSpecs[[#All],[IP]],"Failed",0,1),"Pass","Fail")</f>
        <v>Fail</v>
      </c>
      <c r="BD139" t="str" cm="1">
        <f t="array" ref="BD139">IF(N139=_xlfn.XLOOKUP($B139,VmSpecs[[#All],[VM Name]],VmSpecs[[#All],[Network Security Group]],"Failed",0,1),"Pass","Fail")</f>
        <v>Fail</v>
      </c>
      <c r="BE139" t="str" cm="1">
        <f t="array" ref="BE139">IF(O139=_xlfn.XLOOKUP($B139,VmSpecs[[#All],[VM Name]],VmSpecs[[#All],[Route Table Name]],"Failed",0,1),"Pass","Fail")</f>
        <v>Fail</v>
      </c>
      <c r="BF139" t="str" cm="1">
        <f t="array" ref="BF139">IF(P139=_xlfn.XLOOKUP($B139,VmSpecs[[#All],[VM Name]],VmSpecs[[#All],[Operating System]],"Failed",0,1),"Pass","Fail")</f>
        <v>Fail</v>
      </c>
      <c r="BG139" t="str" cm="1">
        <f t="array" ref="BG139">IF(R139=_xlfn.XLOOKUP($B139,VmSpecs[[#All],[VM Name]],VmSpecs[[#All],[NIC name]],"Failed",0,1),"Pass","Fail")</f>
        <v>Fail</v>
      </c>
      <c r="BH139" t="str" cm="1">
        <f t="array" ref="BH139">IF(U139=_xlfn.XLOOKUP($B139,VmSpecs[[#All],[VM Name]],VmSpecs[[#All],[OS Disk Name]],"Failed",0,1),"Pass","Fail")</f>
        <v>Fail</v>
      </c>
      <c r="BI139" t="str" cm="1">
        <f t="array" ref="BI139">IF(W139=_xlfn.XLOOKUP($B139,VmSpecs[[#All],[VM Name]],VmSpecs[[#All],[OS Disk Size]],"Failed",0,1),"Pass","Fail")</f>
        <v>Fail</v>
      </c>
      <c r="BJ139" t="str" cm="1">
        <f t="array" ref="BJ139">IF(LEFT(X139,4)=LEFT(_xlfn.XLOOKUP($B139,VmSpecs[[#All],[VM Name]],VmSpecs[[#All],[OS Disk Type (Standard SSD etc)]],"Failed",0,1),4),"Pass","Fail")</f>
        <v>Fail</v>
      </c>
      <c r="BK139" t="str" cm="1">
        <f t="array" ref="BK139">IF(Z139=_xlfn.XLOOKUP($B139,VmSpecs[[#All],[VM Name]],VmSpecs[[#All],[Data Disk1 Name]],"Failed",0,1),"Pass","Fail")</f>
        <v>Fail</v>
      </c>
      <c r="BL139" t="str" cm="1">
        <f t="array" ref="BL139">IF(AA139=_xlfn.XLOOKUP($B139,VmSpecs[[#All],[VM Name]],VmSpecs[[#All],[Data Disk1 Size]],"Failed",0,1),"Pass","Fail")</f>
        <v>Fail</v>
      </c>
      <c r="BM139" t="str" cm="1">
        <f t="array" ref="BM139">IF(LEFT(AC139,4)=LEFT(_xlfn.XLOOKUP($B139,VmSpecs[[#All],[VM Name]],VmSpecs[[#All],[Data Disk1 Type]],"Failed",0,1),4),"Pass","Fail")</f>
        <v>Fail</v>
      </c>
      <c r="BO139" t="e">
        <f>VLOOKUP('VM Specs'!K139,'As Built'!B:B,1,FALSE)</f>
        <v>#N/A</v>
      </c>
      <c r="BP139" t="str">
        <f>IF(ISNA(Table613[[#This Row],[VM Build Sheet Check]]),'VM Specs'!K139,"")</f>
        <v>vmpfbpf2oid19</v>
      </c>
    </row>
    <row r="140" spans="1:68" ht="33" customHeight="1" x14ac:dyDescent="0.35">
      <c r="A140" t="str">
        <f>IF(COUNTIF(AsBuilt[[#This Row],[VM Check]:[Data Disk 1 Type Check]],"Fail")&gt;0,"Fail","Pass")</f>
        <v>Fail</v>
      </c>
      <c r="B140" t="s">
        <v>1722</v>
      </c>
      <c r="C140" t="s">
        <v>754</v>
      </c>
      <c r="D140" t="s">
        <v>755</v>
      </c>
      <c r="E140" t="s">
        <v>756</v>
      </c>
      <c r="F140" t="s">
        <v>801</v>
      </c>
      <c r="G140" t="s">
        <v>758</v>
      </c>
      <c r="H140" t="s">
        <v>1723</v>
      </c>
      <c r="J140" t="s">
        <v>760</v>
      </c>
      <c r="K140" t="s">
        <v>761</v>
      </c>
      <c r="L140" t="s">
        <v>754</v>
      </c>
      <c r="M140" t="s">
        <v>1724</v>
      </c>
      <c r="N140" t="s">
        <v>763</v>
      </c>
      <c r="O140" t="s">
        <v>764</v>
      </c>
      <c r="P140" t="s">
        <v>63</v>
      </c>
      <c r="R140" t="s">
        <v>1725</v>
      </c>
      <c r="S140" t="s">
        <v>754</v>
      </c>
      <c r="U140" t="s">
        <v>1726</v>
      </c>
      <c r="V140" t="s">
        <v>767</v>
      </c>
      <c r="W140">
        <v>64</v>
      </c>
      <c r="X140" t="s">
        <v>768</v>
      </c>
      <c r="Y140">
        <v>2</v>
      </c>
      <c r="Z140" t="s">
        <v>1727</v>
      </c>
      <c r="AA140">
        <v>8</v>
      </c>
      <c r="AB140" t="s">
        <v>770</v>
      </c>
      <c r="AC140" t="s">
        <v>768</v>
      </c>
      <c r="AD140" t="s">
        <v>1728</v>
      </c>
      <c r="AE140">
        <v>32</v>
      </c>
      <c r="AF140" t="s">
        <v>770</v>
      </c>
      <c r="AG140" t="s">
        <v>768</v>
      </c>
      <c r="AT140" t="s">
        <v>772</v>
      </c>
      <c r="AU140" t="s">
        <v>1729</v>
      </c>
      <c r="AV140" t="str" cm="1">
        <f t="array" ref="AV140">IF(B140=_xlfn.XLOOKUP(B140,VmSpecs[[#All],[VM Name]],VmSpecs[[#All],[VM Name]],"Failed",0,1),"Pass","Fail")</f>
        <v>Fail</v>
      </c>
      <c r="AW140" t="str" cm="1">
        <f t="array" ref="AW140">IF(D140=_xlfn.XLOOKUP($B140,VmSpecs[[#All],[VM Name]],VmSpecs[[#All],[Virtual Machine Resource Groups]],"Failed",0,1),"Pass","Fail")</f>
        <v>Fail</v>
      </c>
      <c r="AX140" t="str" cm="1">
        <f t="array" ref="AX140">IF(_xlfn.IFS(E140="australiacentral","Australia Central 1",E140="australiaeast","Australia East",E140="australiasoutheast","Australia SouthEast")=_xlfn.XLOOKUP($B140,VmSpecs[[#All],[VM Name]],VmSpecs[[#All],[Region]],"Failed",0,1),"Pass","Fail")</f>
        <v>Fail</v>
      </c>
      <c r="AY140" t="str" cm="1">
        <f t="array" ref="AY140">IF(F140=_xlfn.XLOOKUP($B140,VmSpecs[[#All],[VM Name]],VmSpecs[[#All],[Instance size]],"Failed",0,1),"Pass","Fail")</f>
        <v>Fail</v>
      </c>
      <c r="AZ140" t="str" cm="1">
        <f t="array" ref="AZ140">IF(LOWER(H140)=_xlfn.XLOOKUP($B140,VmSpecs[[#All],[VM Name]],VmSpecs[[#All],[Availability Set Name]],"Failed",0,1),"Pass","Fail")</f>
        <v>Fail</v>
      </c>
      <c r="BA140" t="str" cm="1">
        <f t="array" ref="BA140">IF(J140=_xlfn.XLOOKUP($B140,VmSpecs[[#All],[VM Name]],VmSpecs[[#All],[Virtual Network]],"Failed",0,1),"Pass","Fail")</f>
        <v>Fail</v>
      </c>
      <c r="BB140" t="str" cm="1">
        <f t="array" ref="BB140">IF(K140=_xlfn.XLOOKUP($B140,VmSpecs[[#All],[VM Name]],VmSpecs[[#All],[Subnet]],"Failed",0,1),"Pass","Fail")</f>
        <v>Fail</v>
      </c>
      <c r="BC140" t="str" cm="1">
        <f t="array" ref="BC140">IF(M140=_xlfn.XLOOKUP($B140,VmSpecs[[#All],[VM Name]],VmSpecs[[#All],[IP]],"Failed",0,1),"Pass","Fail")</f>
        <v>Fail</v>
      </c>
      <c r="BD140" t="str" cm="1">
        <f t="array" ref="BD140">IF(N140=_xlfn.XLOOKUP($B140,VmSpecs[[#All],[VM Name]],VmSpecs[[#All],[Network Security Group]],"Failed",0,1),"Pass","Fail")</f>
        <v>Fail</v>
      </c>
      <c r="BE140" t="str" cm="1">
        <f t="array" ref="BE140">IF(O140=_xlfn.XLOOKUP($B140,VmSpecs[[#All],[VM Name]],VmSpecs[[#All],[Route Table Name]],"Failed",0,1),"Pass","Fail")</f>
        <v>Fail</v>
      </c>
      <c r="BF140" t="str" cm="1">
        <f t="array" ref="BF140">IF(P140=_xlfn.XLOOKUP($B140,VmSpecs[[#All],[VM Name]],VmSpecs[[#All],[Operating System]],"Failed",0,1),"Pass","Fail")</f>
        <v>Fail</v>
      </c>
      <c r="BG140" t="str" cm="1">
        <f t="array" ref="BG140">IF(R140=_xlfn.XLOOKUP($B140,VmSpecs[[#All],[VM Name]],VmSpecs[[#All],[NIC name]],"Failed",0,1),"Pass","Fail")</f>
        <v>Fail</v>
      </c>
      <c r="BH140" t="str" cm="1">
        <f t="array" ref="BH140">IF(U140=_xlfn.XLOOKUP($B140,VmSpecs[[#All],[VM Name]],VmSpecs[[#All],[OS Disk Name]],"Failed",0,1),"Pass","Fail")</f>
        <v>Fail</v>
      </c>
      <c r="BI140" t="str" cm="1">
        <f t="array" ref="BI140">IF(W140=_xlfn.XLOOKUP($B140,VmSpecs[[#All],[VM Name]],VmSpecs[[#All],[OS Disk Size]],"Failed",0,1),"Pass","Fail")</f>
        <v>Fail</v>
      </c>
      <c r="BJ140" t="str" cm="1">
        <f t="array" ref="BJ140">IF(LEFT(X140,4)=LEFT(_xlfn.XLOOKUP($B140,VmSpecs[[#All],[VM Name]],VmSpecs[[#All],[OS Disk Type (Standard SSD etc)]],"Failed",0,1),4),"Pass","Fail")</f>
        <v>Fail</v>
      </c>
      <c r="BK140" t="str" cm="1">
        <f t="array" ref="BK140">IF(Z140=_xlfn.XLOOKUP($B140,VmSpecs[[#All],[VM Name]],VmSpecs[[#All],[Data Disk1 Name]],"Failed",0,1),"Pass","Fail")</f>
        <v>Fail</v>
      </c>
      <c r="BL140" t="str" cm="1">
        <f t="array" ref="BL140">IF(AA140=_xlfn.XLOOKUP($B140,VmSpecs[[#All],[VM Name]],VmSpecs[[#All],[Data Disk1 Size]],"Failed",0,1),"Pass","Fail")</f>
        <v>Fail</v>
      </c>
      <c r="BM140" t="str" cm="1">
        <f t="array" ref="BM140">IF(LEFT(AC140,4)=LEFT(_xlfn.XLOOKUP($B140,VmSpecs[[#All],[VM Name]],VmSpecs[[#All],[Data Disk1 Type]],"Failed",0,1),4),"Pass","Fail")</f>
        <v>Fail</v>
      </c>
      <c r="BO140" t="e">
        <f>VLOOKUP('VM Specs'!K140,'As Built'!B:B,1,FALSE)</f>
        <v>#N/A</v>
      </c>
      <c r="BP140" t="str">
        <f>IF(ISNA(Table613[[#This Row],[VM Build Sheet Check]]),'VM Specs'!K140,"")</f>
        <v>vmpfbpf2olg01</v>
      </c>
    </row>
    <row r="141" spans="1:68" ht="33" customHeight="1" x14ac:dyDescent="0.35">
      <c r="A141" t="str">
        <f>IF(COUNTIF(AsBuilt[[#This Row],[VM Check]:[Data Disk 1 Type Check]],"Fail")&gt;0,"Fail","Pass")</f>
        <v>Fail</v>
      </c>
      <c r="B141" t="s">
        <v>1730</v>
      </c>
      <c r="C141" t="s">
        <v>754</v>
      </c>
      <c r="D141" t="s">
        <v>755</v>
      </c>
      <c r="E141" t="s">
        <v>756</v>
      </c>
      <c r="F141" t="s">
        <v>801</v>
      </c>
      <c r="G141" t="s">
        <v>758</v>
      </c>
      <c r="H141" t="s">
        <v>1723</v>
      </c>
      <c r="J141" t="s">
        <v>760</v>
      </c>
      <c r="K141" t="s">
        <v>761</v>
      </c>
      <c r="L141" t="s">
        <v>754</v>
      </c>
      <c r="M141" t="s">
        <v>1731</v>
      </c>
      <c r="N141" t="s">
        <v>763</v>
      </c>
      <c r="O141" t="s">
        <v>764</v>
      </c>
      <c r="P141" t="s">
        <v>63</v>
      </c>
      <c r="R141" t="s">
        <v>1732</v>
      </c>
      <c r="S141" t="s">
        <v>754</v>
      </c>
      <c r="U141" t="s">
        <v>1733</v>
      </c>
      <c r="V141" t="s">
        <v>767</v>
      </c>
      <c r="W141">
        <v>64</v>
      </c>
      <c r="X141" t="s">
        <v>768</v>
      </c>
      <c r="Y141">
        <v>2</v>
      </c>
      <c r="Z141" t="s">
        <v>1734</v>
      </c>
      <c r="AA141">
        <v>8</v>
      </c>
      <c r="AB141" t="s">
        <v>770</v>
      </c>
      <c r="AC141" t="s">
        <v>768</v>
      </c>
      <c r="AD141" t="s">
        <v>1735</v>
      </c>
      <c r="AE141">
        <v>32</v>
      </c>
      <c r="AF141" t="s">
        <v>770</v>
      </c>
      <c r="AG141" t="s">
        <v>768</v>
      </c>
      <c r="AT141" t="s">
        <v>772</v>
      </c>
      <c r="AU141" t="s">
        <v>1736</v>
      </c>
      <c r="AV141" t="str" cm="1">
        <f t="array" ref="AV141">IF(B141=_xlfn.XLOOKUP(B141,VmSpecs[[#All],[VM Name]],VmSpecs[[#All],[VM Name]],"Failed",0,1),"Pass","Fail")</f>
        <v>Fail</v>
      </c>
      <c r="AW141" t="str" cm="1">
        <f t="array" ref="AW141">IF(D141=_xlfn.XLOOKUP($B141,VmSpecs[[#All],[VM Name]],VmSpecs[[#All],[Virtual Machine Resource Groups]],"Failed",0,1),"Pass","Fail")</f>
        <v>Fail</v>
      </c>
      <c r="AX141" t="str" cm="1">
        <f t="array" ref="AX141">IF(_xlfn.IFS(E141="australiacentral","Australia Central 1",E141="australiaeast","Australia East",E141="australiasoutheast","Australia SouthEast")=_xlfn.XLOOKUP($B141,VmSpecs[[#All],[VM Name]],VmSpecs[[#All],[Region]],"Failed",0,1),"Pass","Fail")</f>
        <v>Fail</v>
      </c>
      <c r="AY141" t="str" cm="1">
        <f t="array" ref="AY141">IF(F141=_xlfn.XLOOKUP($B141,VmSpecs[[#All],[VM Name]],VmSpecs[[#All],[Instance size]],"Failed",0,1),"Pass","Fail")</f>
        <v>Fail</v>
      </c>
      <c r="AZ141" t="str" cm="1">
        <f t="array" ref="AZ141">IF(LOWER(H141)=_xlfn.XLOOKUP($B141,VmSpecs[[#All],[VM Name]],VmSpecs[[#All],[Availability Set Name]],"Failed",0,1),"Pass","Fail")</f>
        <v>Fail</v>
      </c>
      <c r="BA141" t="str" cm="1">
        <f t="array" ref="BA141">IF(J141=_xlfn.XLOOKUP($B141,VmSpecs[[#All],[VM Name]],VmSpecs[[#All],[Virtual Network]],"Failed",0,1),"Pass","Fail")</f>
        <v>Fail</v>
      </c>
      <c r="BB141" t="str" cm="1">
        <f t="array" ref="BB141">IF(K141=_xlfn.XLOOKUP($B141,VmSpecs[[#All],[VM Name]],VmSpecs[[#All],[Subnet]],"Failed",0,1),"Pass","Fail")</f>
        <v>Fail</v>
      </c>
      <c r="BC141" t="str" cm="1">
        <f t="array" ref="BC141">IF(M141=_xlfn.XLOOKUP($B141,VmSpecs[[#All],[VM Name]],VmSpecs[[#All],[IP]],"Failed",0,1),"Pass","Fail")</f>
        <v>Fail</v>
      </c>
      <c r="BD141" t="str" cm="1">
        <f t="array" ref="BD141">IF(N141=_xlfn.XLOOKUP($B141,VmSpecs[[#All],[VM Name]],VmSpecs[[#All],[Network Security Group]],"Failed",0,1),"Pass","Fail")</f>
        <v>Fail</v>
      </c>
      <c r="BE141" t="str" cm="1">
        <f t="array" ref="BE141">IF(O141=_xlfn.XLOOKUP($B141,VmSpecs[[#All],[VM Name]],VmSpecs[[#All],[Route Table Name]],"Failed",0,1),"Pass","Fail")</f>
        <v>Fail</v>
      </c>
      <c r="BF141" t="str" cm="1">
        <f t="array" ref="BF141">IF(P141=_xlfn.XLOOKUP($B141,VmSpecs[[#All],[VM Name]],VmSpecs[[#All],[Operating System]],"Failed",0,1),"Pass","Fail")</f>
        <v>Fail</v>
      </c>
      <c r="BG141" t="str" cm="1">
        <f t="array" ref="BG141">IF(R141=_xlfn.XLOOKUP($B141,VmSpecs[[#All],[VM Name]],VmSpecs[[#All],[NIC name]],"Failed",0,1),"Pass","Fail")</f>
        <v>Fail</v>
      </c>
      <c r="BH141" t="str" cm="1">
        <f t="array" ref="BH141">IF(U141=_xlfn.XLOOKUP($B141,VmSpecs[[#All],[VM Name]],VmSpecs[[#All],[OS Disk Name]],"Failed",0,1),"Pass","Fail")</f>
        <v>Fail</v>
      </c>
      <c r="BI141" t="str" cm="1">
        <f t="array" ref="BI141">IF(W141=_xlfn.XLOOKUP($B141,VmSpecs[[#All],[VM Name]],VmSpecs[[#All],[OS Disk Size]],"Failed",0,1),"Pass","Fail")</f>
        <v>Fail</v>
      </c>
      <c r="BJ141" t="str" cm="1">
        <f t="array" ref="BJ141">IF(LEFT(X141,4)=LEFT(_xlfn.XLOOKUP($B141,VmSpecs[[#All],[VM Name]],VmSpecs[[#All],[OS Disk Type (Standard SSD etc)]],"Failed",0,1),4),"Pass","Fail")</f>
        <v>Fail</v>
      </c>
      <c r="BK141" t="str" cm="1">
        <f t="array" ref="BK141">IF(Z141=_xlfn.XLOOKUP($B141,VmSpecs[[#All],[VM Name]],VmSpecs[[#All],[Data Disk1 Name]],"Failed",0,1),"Pass","Fail")</f>
        <v>Fail</v>
      </c>
      <c r="BL141" t="str" cm="1">
        <f t="array" ref="BL141">IF(AA141=_xlfn.XLOOKUP($B141,VmSpecs[[#All],[VM Name]],VmSpecs[[#All],[Data Disk1 Size]],"Failed",0,1),"Pass","Fail")</f>
        <v>Fail</v>
      </c>
      <c r="BM141" t="str" cm="1">
        <f t="array" ref="BM141">IF(LEFT(AC141,4)=LEFT(_xlfn.XLOOKUP($B141,VmSpecs[[#All],[VM Name]],VmSpecs[[#All],[Data Disk1 Type]],"Failed",0,1),4),"Pass","Fail")</f>
        <v>Fail</v>
      </c>
      <c r="BO141" t="e">
        <f>VLOOKUP('VM Specs'!K141,'As Built'!B:B,1,FALSE)</f>
        <v>#N/A</v>
      </c>
      <c r="BP141" t="str">
        <f>IF(ISNA(Table613[[#This Row],[VM Build Sheet Check]]),'VM Specs'!K141,"")</f>
        <v>vmpfbpf2olg02</v>
      </c>
    </row>
    <row r="142" spans="1:68" ht="33" customHeight="1" x14ac:dyDescent="0.35">
      <c r="A142" t="str">
        <f>IF(COUNTIF(AsBuilt[[#This Row],[VM Check]:[Data Disk 1 Type Check]],"Fail")&gt;0,"Fail","Pass")</f>
        <v>Fail</v>
      </c>
      <c r="B142" t="s">
        <v>1737</v>
      </c>
      <c r="C142" t="s">
        <v>754</v>
      </c>
      <c r="D142" t="s">
        <v>755</v>
      </c>
      <c r="E142" t="s">
        <v>756</v>
      </c>
      <c r="F142" t="s">
        <v>801</v>
      </c>
      <c r="G142" t="s">
        <v>758</v>
      </c>
      <c r="H142" t="s">
        <v>1723</v>
      </c>
      <c r="J142" t="s">
        <v>760</v>
      </c>
      <c r="K142" t="s">
        <v>761</v>
      </c>
      <c r="L142" t="s">
        <v>754</v>
      </c>
      <c r="M142" t="s">
        <v>1738</v>
      </c>
      <c r="N142" t="s">
        <v>763</v>
      </c>
      <c r="O142" t="s">
        <v>764</v>
      </c>
      <c r="P142" t="s">
        <v>63</v>
      </c>
      <c r="R142" t="s">
        <v>1739</v>
      </c>
      <c r="S142" t="s">
        <v>754</v>
      </c>
      <c r="U142" t="s">
        <v>1740</v>
      </c>
      <c r="V142" t="s">
        <v>767</v>
      </c>
      <c r="W142">
        <v>64</v>
      </c>
      <c r="X142" t="s">
        <v>768</v>
      </c>
      <c r="Y142">
        <v>2</v>
      </c>
      <c r="Z142" t="s">
        <v>1741</v>
      </c>
      <c r="AA142">
        <v>8</v>
      </c>
      <c r="AB142" t="s">
        <v>770</v>
      </c>
      <c r="AC142" t="s">
        <v>768</v>
      </c>
      <c r="AD142" t="s">
        <v>1742</v>
      </c>
      <c r="AE142">
        <v>32</v>
      </c>
      <c r="AF142" t="s">
        <v>770</v>
      </c>
      <c r="AG142" t="s">
        <v>768</v>
      </c>
      <c r="AT142" t="s">
        <v>772</v>
      </c>
      <c r="AU142" t="s">
        <v>1743</v>
      </c>
      <c r="AV142" t="str" cm="1">
        <f t="array" ref="AV142">IF(B142=_xlfn.XLOOKUP(B142,VmSpecs[[#All],[VM Name]],VmSpecs[[#All],[VM Name]],"Failed",0,1),"Pass","Fail")</f>
        <v>Fail</v>
      </c>
      <c r="AW142" t="str" cm="1">
        <f t="array" ref="AW142">IF(D142=_xlfn.XLOOKUP($B142,VmSpecs[[#All],[VM Name]],VmSpecs[[#All],[Virtual Machine Resource Groups]],"Failed",0,1),"Pass","Fail")</f>
        <v>Fail</v>
      </c>
      <c r="AX142" t="str" cm="1">
        <f t="array" ref="AX142">IF(_xlfn.IFS(E142="australiacentral","Australia Central 1",E142="australiaeast","Australia East",E142="australiasoutheast","Australia SouthEast")=_xlfn.XLOOKUP($B142,VmSpecs[[#All],[VM Name]],VmSpecs[[#All],[Region]],"Failed",0,1),"Pass","Fail")</f>
        <v>Fail</v>
      </c>
      <c r="AY142" t="str" cm="1">
        <f t="array" ref="AY142">IF(F142=_xlfn.XLOOKUP($B142,VmSpecs[[#All],[VM Name]],VmSpecs[[#All],[Instance size]],"Failed",0,1),"Pass","Fail")</f>
        <v>Fail</v>
      </c>
      <c r="AZ142" t="str" cm="1">
        <f t="array" ref="AZ142">IF(LOWER(H142)=_xlfn.XLOOKUP($B142,VmSpecs[[#All],[VM Name]],VmSpecs[[#All],[Availability Set Name]],"Failed",0,1),"Pass","Fail")</f>
        <v>Fail</v>
      </c>
      <c r="BA142" t="str" cm="1">
        <f t="array" ref="BA142">IF(J142=_xlfn.XLOOKUP($B142,VmSpecs[[#All],[VM Name]],VmSpecs[[#All],[Virtual Network]],"Failed",0,1),"Pass","Fail")</f>
        <v>Fail</v>
      </c>
      <c r="BB142" t="str" cm="1">
        <f t="array" ref="BB142">IF(K142=_xlfn.XLOOKUP($B142,VmSpecs[[#All],[VM Name]],VmSpecs[[#All],[Subnet]],"Failed",0,1),"Pass","Fail")</f>
        <v>Fail</v>
      </c>
      <c r="BC142" t="str" cm="1">
        <f t="array" ref="BC142">IF(M142=_xlfn.XLOOKUP($B142,VmSpecs[[#All],[VM Name]],VmSpecs[[#All],[IP]],"Failed",0,1),"Pass","Fail")</f>
        <v>Fail</v>
      </c>
      <c r="BD142" t="str" cm="1">
        <f t="array" ref="BD142">IF(N142=_xlfn.XLOOKUP($B142,VmSpecs[[#All],[VM Name]],VmSpecs[[#All],[Network Security Group]],"Failed",0,1),"Pass","Fail")</f>
        <v>Fail</v>
      </c>
      <c r="BE142" t="str" cm="1">
        <f t="array" ref="BE142">IF(O142=_xlfn.XLOOKUP($B142,VmSpecs[[#All],[VM Name]],VmSpecs[[#All],[Route Table Name]],"Failed",0,1),"Pass","Fail")</f>
        <v>Fail</v>
      </c>
      <c r="BF142" t="str" cm="1">
        <f t="array" ref="BF142">IF(P142=_xlfn.XLOOKUP($B142,VmSpecs[[#All],[VM Name]],VmSpecs[[#All],[Operating System]],"Failed",0,1),"Pass","Fail")</f>
        <v>Fail</v>
      </c>
      <c r="BG142" t="str" cm="1">
        <f t="array" ref="BG142">IF(R142=_xlfn.XLOOKUP($B142,VmSpecs[[#All],[VM Name]],VmSpecs[[#All],[NIC name]],"Failed",0,1),"Pass","Fail")</f>
        <v>Fail</v>
      </c>
      <c r="BH142" t="str" cm="1">
        <f t="array" ref="BH142">IF(U142=_xlfn.XLOOKUP($B142,VmSpecs[[#All],[VM Name]],VmSpecs[[#All],[OS Disk Name]],"Failed",0,1),"Pass","Fail")</f>
        <v>Fail</v>
      </c>
      <c r="BI142" t="str" cm="1">
        <f t="array" ref="BI142">IF(W142=_xlfn.XLOOKUP($B142,VmSpecs[[#All],[VM Name]],VmSpecs[[#All],[OS Disk Size]],"Failed",0,1),"Pass","Fail")</f>
        <v>Fail</v>
      </c>
      <c r="BJ142" t="str" cm="1">
        <f t="array" ref="BJ142">IF(LEFT(X142,4)=LEFT(_xlfn.XLOOKUP($B142,VmSpecs[[#All],[VM Name]],VmSpecs[[#All],[OS Disk Type (Standard SSD etc)]],"Failed",0,1),4),"Pass","Fail")</f>
        <v>Fail</v>
      </c>
      <c r="BK142" t="str" cm="1">
        <f t="array" ref="BK142">IF(Z142=_xlfn.XLOOKUP($B142,VmSpecs[[#All],[VM Name]],VmSpecs[[#All],[Data Disk1 Name]],"Failed",0,1),"Pass","Fail")</f>
        <v>Fail</v>
      </c>
      <c r="BL142" t="str" cm="1">
        <f t="array" ref="BL142">IF(AA142=_xlfn.XLOOKUP($B142,VmSpecs[[#All],[VM Name]],VmSpecs[[#All],[Data Disk1 Size]],"Failed",0,1),"Pass","Fail")</f>
        <v>Fail</v>
      </c>
      <c r="BM142" t="str" cm="1">
        <f t="array" ref="BM142">IF(LEFT(AC142,4)=LEFT(_xlfn.XLOOKUP($B142,VmSpecs[[#All],[VM Name]],VmSpecs[[#All],[Data Disk1 Type]],"Failed",0,1),4),"Pass","Fail")</f>
        <v>Fail</v>
      </c>
      <c r="BO142" t="e">
        <f>VLOOKUP('VM Specs'!K142,'As Built'!B:B,1,FALSE)</f>
        <v>#N/A</v>
      </c>
      <c r="BP142" t="str">
        <f>IF(ISNA(Table613[[#This Row],[VM Build Sheet Check]]),'VM Specs'!K142,"")</f>
        <v>vmpfbpf2olg03</v>
      </c>
    </row>
    <row r="143" spans="1:68" ht="33" customHeight="1" x14ac:dyDescent="0.35">
      <c r="A143" t="str">
        <f>IF(COUNTIF(AsBuilt[[#This Row],[VM Check]:[Data Disk 1 Type Check]],"Fail")&gt;0,"Fail","Pass")</f>
        <v>Fail</v>
      </c>
      <c r="B143" t="s">
        <v>1744</v>
      </c>
      <c r="C143" t="s">
        <v>754</v>
      </c>
      <c r="D143" t="s">
        <v>755</v>
      </c>
      <c r="E143" t="s">
        <v>756</v>
      </c>
      <c r="F143" t="s">
        <v>801</v>
      </c>
      <c r="G143" t="s">
        <v>758</v>
      </c>
      <c r="H143" t="s">
        <v>1723</v>
      </c>
      <c r="J143" t="s">
        <v>760</v>
      </c>
      <c r="K143" t="s">
        <v>761</v>
      </c>
      <c r="L143" t="s">
        <v>754</v>
      </c>
      <c r="M143" t="s">
        <v>1745</v>
      </c>
      <c r="N143" t="s">
        <v>763</v>
      </c>
      <c r="O143" t="s">
        <v>764</v>
      </c>
      <c r="P143" t="s">
        <v>63</v>
      </c>
      <c r="R143" t="s">
        <v>1746</v>
      </c>
      <c r="S143" t="s">
        <v>754</v>
      </c>
      <c r="U143" t="s">
        <v>1747</v>
      </c>
      <c r="V143" t="s">
        <v>767</v>
      </c>
      <c r="W143">
        <v>64</v>
      </c>
      <c r="X143" t="s">
        <v>768</v>
      </c>
      <c r="Y143">
        <v>2</v>
      </c>
      <c r="Z143" t="s">
        <v>1748</v>
      </c>
      <c r="AA143">
        <v>8</v>
      </c>
      <c r="AB143" t="s">
        <v>770</v>
      </c>
      <c r="AC143" t="s">
        <v>768</v>
      </c>
      <c r="AD143" t="s">
        <v>1749</v>
      </c>
      <c r="AE143">
        <v>32</v>
      </c>
      <c r="AF143" t="s">
        <v>770</v>
      </c>
      <c r="AG143" t="s">
        <v>768</v>
      </c>
      <c r="AT143" t="s">
        <v>772</v>
      </c>
      <c r="AU143" t="s">
        <v>1750</v>
      </c>
      <c r="AV143" t="str" cm="1">
        <f t="array" ref="AV143">IF(B143=_xlfn.XLOOKUP(B143,VmSpecs[[#All],[VM Name]],VmSpecs[[#All],[VM Name]],"Failed",0,1),"Pass","Fail")</f>
        <v>Fail</v>
      </c>
      <c r="AW143" t="str" cm="1">
        <f t="array" ref="AW143">IF(D143=_xlfn.XLOOKUP($B143,VmSpecs[[#All],[VM Name]],VmSpecs[[#All],[Virtual Machine Resource Groups]],"Failed",0,1),"Pass","Fail")</f>
        <v>Fail</v>
      </c>
      <c r="AX143" t="str" cm="1">
        <f t="array" ref="AX143">IF(_xlfn.IFS(E143="australiacentral","Australia Central 1",E143="australiaeast","Australia East",E143="australiasoutheast","Australia SouthEast")=_xlfn.XLOOKUP($B143,VmSpecs[[#All],[VM Name]],VmSpecs[[#All],[Region]],"Failed",0,1),"Pass","Fail")</f>
        <v>Fail</v>
      </c>
      <c r="AY143" t="str" cm="1">
        <f t="array" ref="AY143">IF(F143=_xlfn.XLOOKUP($B143,VmSpecs[[#All],[VM Name]],VmSpecs[[#All],[Instance size]],"Failed",0,1),"Pass","Fail")</f>
        <v>Fail</v>
      </c>
      <c r="AZ143" t="str" cm="1">
        <f t="array" ref="AZ143">IF(LOWER(H143)=_xlfn.XLOOKUP($B143,VmSpecs[[#All],[VM Name]],VmSpecs[[#All],[Availability Set Name]],"Failed",0,1),"Pass","Fail")</f>
        <v>Fail</v>
      </c>
      <c r="BA143" t="str" cm="1">
        <f t="array" ref="BA143">IF(J143=_xlfn.XLOOKUP($B143,VmSpecs[[#All],[VM Name]],VmSpecs[[#All],[Virtual Network]],"Failed",0,1),"Pass","Fail")</f>
        <v>Fail</v>
      </c>
      <c r="BB143" t="str" cm="1">
        <f t="array" ref="BB143">IF(K143=_xlfn.XLOOKUP($B143,VmSpecs[[#All],[VM Name]],VmSpecs[[#All],[Subnet]],"Failed",0,1),"Pass","Fail")</f>
        <v>Fail</v>
      </c>
      <c r="BC143" t="str" cm="1">
        <f t="array" ref="BC143">IF(M143=_xlfn.XLOOKUP($B143,VmSpecs[[#All],[VM Name]],VmSpecs[[#All],[IP]],"Failed",0,1),"Pass","Fail")</f>
        <v>Fail</v>
      </c>
      <c r="BD143" t="str" cm="1">
        <f t="array" ref="BD143">IF(N143=_xlfn.XLOOKUP($B143,VmSpecs[[#All],[VM Name]],VmSpecs[[#All],[Network Security Group]],"Failed",0,1),"Pass","Fail")</f>
        <v>Fail</v>
      </c>
      <c r="BE143" t="str" cm="1">
        <f t="array" ref="BE143">IF(O143=_xlfn.XLOOKUP($B143,VmSpecs[[#All],[VM Name]],VmSpecs[[#All],[Route Table Name]],"Failed",0,1),"Pass","Fail")</f>
        <v>Fail</v>
      </c>
      <c r="BF143" t="str" cm="1">
        <f t="array" ref="BF143">IF(P143=_xlfn.XLOOKUP($B143,VmSpecs[[#All],[VM Name]],VmSpecs[[#All],[Operating System]],"Failed",0,1),"Pass","Fail")</f>
        <v>Fail</v>
      </c>
      <c r="BG143" t="str" cm="1">
        <f t="array" ref="BG143">IF(R143=_xlfn.XLOOKUP($B143,VmSpecs[[#All],[VM Name]],VmSpecs[[#All],[NIC name]],"Failed",0,1),"Pass","Fail")</f>
        <v>Fail</v>
      </c>
      <c r="BH143" t="str" cm="1">
        <f t="array" ref="BH143">IF(U143=_xlfn.XLOOKUP($B143,VmSpecs[[#All],[VM Name]],VmSpecs[[#All],[OS Disk Name]],"Failed",0,1),"Pass","Fail")</f>
        <v>Fail</v>
      </c>
      <c r="BI143" t="str" cm="1">
        <f t="array" ref="BI143">IF(W143=_xlfn.XLOOKUP($B143,VmSpecs[[#All],[VM Name]],VmSpecs[[#All],[OS Disk Size]],"Failed",0,1),"Pass","Fail")</f>
        <v>Fail</v>
      </c>
      <c r="BJ143" t="str" cm="1">
        <f t="array" ref="BJ143">IF(LEFT(X143,4)=LEFT(_xlfn.XLOOKUP($B143,VmSpecs[[#All],[VM Name]],VmSpecs[[#All],[OS Disk Type (Standard SSD etc)]],"Failed",0,1),4),"Pass","Fail")</f>
        <v>Fail</v>
      </c>
      <c r="BK143" t="str" cm="1">
        <f t="array" ref="BK143">IF(Z143=_xlfn.XLOOKUP($B143,VmSpecs[[#All],[VM Name]],VmSpecs[[#All],[Data Disk1 Name]],"Failed",0,1),"Pass","Fail")</f>
        <v>Fail</v>
      </c>
      <c r="BL143" t="str" cm="1">
        <f t="array" ref="BL143">IF(AA143=_xlfn.XLOOKUP($B143,VmSpecs[[#All],[VM Name]],VmSpecs[[#All],[Data Disk1 Size]],"Failed",0,1),"Pass","Fail")</f>
        <v>Fail</v>
      </c>
      <c r="BM143" t="str" cm="1">
        <f t="array" ref="BM143">IF(LEFT(AC143,4)=LEFT(_xlfn.XLOOKUP($B143,VmSpecs[[#All],[VM Name]],VmSpecs[[#All],[Data Disk1 Type]],"Failed",0,1),4),"Pass","Fail")</f>
        <v>Fail</v>
      </c>
      <c r="BO143" t="e">
        <f>VLOOKUP('VM Specs'!K143,'As Built'!B:B,1,FALSE)</f>
        <v>#N/A</v>
      </c>
      <c r="BP143" t="str">
        <f>IF(ISNA(Table613[[#This Row],[VM Build Sheet Check]]),'VM Specs'!K143,"")</f>
        <v>vmpfbpf2olg04</v>
      </c>
    </row>
    <row r="144" spans="1:68" ht="33" customHeight="1" x14ac:dyDescent="0.35">
      <c r="A144" t="str">
        <f>IF(COUNTIF(AsBuilt[[#This Row],[VM Check]:[Data Disk 1 Type Check]],"Fail")&gt;0,"Fail","Pass")</f>
        <v>Fail</v>
      </c>
      <c r="B144" t="s">
        <v>1751</v>
      </c>
      <c r="C144" t="s">
        <v>754</v>
      </c>
      <c r="D144" t="s">
        <v>755</v>
      </c>
      <c r="E144" t="s">
        <v>756</v>
      </c>
      <c r="F144" t="s">
        <v>801</v>
      </c>
      <c r="G144" t="s">
        <v>758</v>
      </c>
      <c r="H144" t="s">
        <v>1723</v>
      </c>
      <c r="J144" t="s">
        <v>760</v>
      </c>
      <c r="K144" t="s">
        <v>761</v>
      </c>
      <c r="L144" t="s">
        <v>754</v>
      </c>
      <c r="M144" t="s">
        <v>1752</v>
      </c>
      <c r="N144" t="s">
        <v>763</v>
      </c>
      <c r="O144" t="s">
        <v>764</v>
      </c>
      <c r="P144" t="s">
        <v>63</v>
      </c>
      <c r="R144" t="s">
        <v>1753</v>
      </c>
      <c r="S144" t="s">
        <v>754</v>
      </c>
      <c r="U144" t="s">
        <v>1754</v>
      </c>
      <c r="V144" t="s">
        <v>767</v>
      </c>
      <c r="W144">
        <v>64</v>
      </c>
      <c r="X144" t="s">
        <v>768</v>
      </c>
      <c r="Y144">
        <v>2</v>
      </c>
      <c r="Z144" t="s">
        <v>1755</v>
      </c>
      <c r="AA144">
        <v>8</v>
      </c>
      <c r="AB144" t="s">
        <v>770</v>
      </c>
      <c r="AC144" t="s">
        <v>768</v>
      </c>
      <c r="AD144" t="s">
        <v>1756</v>
      </c>
      <c r="AE144">
        <v>32</v>
      </c>
      <c r="AF144" t="s">
        <v>770</v>
      </c>
      <c r="AG144" t="s">
        <v>768</v>
      </c>
      <c r="AT144" t="s">
        <v>772</v>
      </c>
      <c r="AU144" t="s">
        <v>1757</v>
      </c>
      <c r="AV144" t="str" cm="1">
        <f t="array" ref="AV144">IF(B144=_xlfn.XLOOKUP(B144,VmSpecs[[#All],[VM Name]],VmSpecs[[#All],[VM Name]],"Failed",0,1),"Pass","Fail")</f>
        <v>Fail</v>
      </c>
      <c r="AW144" t="str" cm="1">
        <f t="array" ref="AW144">IF(D144=_xlfn.XLOOKUP($B144,VmSpecs[[#All],[VM Name]],VmSpecs[[#All],[Virtual Machine Resource Groups]],"Failed",0,1),"Pass","Fail")</f>
        <v>Fail</v>
      </c>
      <c r="AX144" t="str" cm="1">
        <f t="array" ref="AX144">IF(_xlfn.IFS(E144="australiacentral","Australia Central 1",E144="australiaeast","Australia East",E144="australiasoutheast","Australia SouthEast")=_xlfn.XLOOKUP($B144,VmSpecs[[#All],[VM Name]],VmSpecs[[#All],[Region]],"Failed",0,1),"Pass","Fail")</f>
        <v>Fail</v>
      </c>
      <c r="AY144" t="str" cm="1">
        <f t="array" ref="AY144">IF(F144=_xlfn.XLOOKUP($B144,VmSpecs[[#All],[VM Name]],VmSpecs[[#All],[Instance size]],"Failed",0,1),"Pass","Fail")</f>
        <v>Fail</v>
      </c>
      <c r="AZ144" t="str" cm="1">
        <f t="array" ref="AZ144">IF(LOWER(H144)=_xlfn.XLOOKUP($B144,VmSpecs[[#All],[VM Name]],VmSpecs[[#All],[Availability Set Name]],"Failed",0,1),"Pass","Fail")</f>
        <v>Fail</v>
      </c>
      <c r="BA144" t="str" cm="1">
        <f t="array" ref="BA144">IF(J144=_xlfn.XLOOKUP($B144,VmSpecs[[#All],[VM Name]],VmSpecs[[#All],[Virtual Network]],"Failed",0,1),"Pass","Fail")</f>
        <v>Fail</v>
      </c>
      <c r="BB144" t="str" cm="1">
        <f t="array" ref="BB144">IF(K144=_xlfn.XLOOKUP($B144,VmSpecs[[#All],[VM Name]],VmSpecs[[#All],[Subnet]],"Failed",0,1),"Pass","Fail")</f>
        <v>Fail</v>
      </c>
      <c r="BC144" t="str" cm="1">
        <f t="array" ref="BC144">IF(M144=_xlfn.XLOOKUP($B144,VmSpecs[[#All],[VM Name]],VmSpecs[[#All],[IP]],"Failed",0,1),"Pass","Fail")</f>
        <v>Fail</v>
      </c>
      <c r="BD144" t="str" cm="1">
        <f t="array" ref="BD144">IF(N144=_xlfn.XLOOKUP($B144,VmSpecs[[#All],[VM Name]],VmSpecs[[#All],[Network Security Group]],"Failed",0,1),"Pass","Fail")</f>
        <v>Fail</v>
      </c>
      <c r="BE144" t="str" cm="1">
        <f t="array" ref="BE144">IF(O144=_xlfn.XLOOKUP($B144,VmSpecs[[#All],[VM Name]],VmSpecs[[#All],[Route Table Name]],"Failed",0,1),"Pass","Fail")</f>
        <v>Fail</v>
      </c>
      <c r="BF144" t="str" cm="1">
        <f t="array" ref="BF144">IF(P144=_xlfn.XLOOKUP($B144,VmSpecs[[#All],[VM Name]],VmSpecs[[#All],[Operating System]],"Failed",0,1),"Pass","Fail")</f>
        <v>Fail</v>
      </c>
      <c r="BG144" t="str" cm="1">
        <f t="array" ref="BG144">IF(R144=_xlfn.XLOOKUP($B144,VmSpecs[[#All],[VM Name]],VmSpecs[[#All],[NIC name]],"Failed",0,1),"Pass","Fail")</f>
        <v>Fail</v>
      </c>
      <c r="BH144" t="str" cm="1">
        <f t="array" ref="BH144">IF(U144=_xlfn.XLOOKUP($B144,VmSpecs[[#All],[VM Name]],VmSpecs[[#All],[OS Disk Name]],"Failed",0,1),"Pass","Fail")</f>
        <v>Fail</v>
      </c>
      <c r="BI144" t="str" cm="1">
        <f t="array" ref="BI144">IF(W144=_xlfn.XLOOKUP($B144,VmSpecs[[#All],[VM Name]],VmSpecs[[#All],[OS Disk Size]],"Failed",0,1),"Pass","Fail")</f>
        <v>Fail</v>
      </c>
      <c r="BJ144" t="str" cm="1">
        <f t="array" ref="BJ144">IF(LEFT(X144,4)=LEFT(_xlfn.XLOOKUP($B144,VmSpecs[[#All],[VM Name]],VmSpecs[[#All],[OS Disk Type (Standard SSD etc)]],"Failed",0,1),4),"Pass","Fail")</f>
        <v>Fail</v>
      </c>
      <c r="BK144" t="str" cm="1">
        <f t="array" ref="BK144">IF(Z144=_xlfn.XLOOKUP($B144,VmSpecs[[#All],[VM Name]],VmSpecs[[#All],[Data Disk1 Name]],"Failed",0,1),"Pass","Fail")</f>
        <v>Fail</v>
      </c>
      <c r="BL144" t="str" cm="1">
        <f t="array" ref="BL144">IF(AA144=_xlfn.XLOOKUP($B144,VmSpecs[[#All],[VM Name]],VmSpecs[[#All],[Data Disk1 Size]],"Failed",0,1),"Pass","Fail")</f>
        <v>Fail</v>
      </c>
      <c r="BM144" t="str" cm="1">
        <f t="array" ref="BM144">IF(LEFT(AC144,4)=LEFT(_xlfn.XLOOKUP($B144,VmSpecs[[#All],[VM Name]],VmSpecs[[#All],[Data Disk1 Type]],"Failed",0,1),4),"Pass","Fail")</f>
        <v>Fail</v>
      </c>
      <c r="BO144" t="e">
        <f>VLOOKUP('VM Specs'!K144,'As Built'!B:B,1,FALSE)</f>
        <v>#N/A</v>
      </c>
      <c r="BP144" t="str">
        <f>IF(ISNA(Table613[[#This Row],[VM Build Sheet Check]]),'VM Specs'!K144,"")</f>
        <v>vmpfbpf2olg05</v>
      </c>
    </row>
    <row r="145" spans="1:68" ht="33" customHeight="1" x14ac:dyDescent="0.35">
      <c r="A145" t="str">
        <f>IF(COUNTIF(AsBuilt[[#This Row],[VM Check]:[Data Disk 1 Type Check]],"Fail")&gt;0,"Fail","Pass")</f>
        <v>Fail</v>
      </c>
      <c r="B145" t="s">
        <v>1758</v>
      </c>
      <c r="C145" t="s">
        <v>754</v>
      </c>
      <c r="D145" t="s">
        <v>755</v>
      </c>
      <c r="E145" t="s">
        <v>756</v>
      </c>
      <c r="F145" t="s">
        <v>801</v>
      </c>
      <c r="G145" t="s">
        <v>758</v>
      </c>
      <c r="H145" t="s">
        <v>1723</v>
      </c>
      <c r="J145" t="s">
        <v>760</v>
      </c>
      <c r="K145" t="s">
        <v>761</v>
      </c>
      <c r="L145" t="s">
        <v>754</v>
      </c>
      <c r="M145" t="s">
        <v>1759</v>
      </c>
      <c r="N145" t="s">
        <v>763</v>
      </c>
      <c r="O145" t="s">
        <v>764</v>
      </c>
      <c r="P145" t="s">
        <v>63</v>
      </c>
      <c r="R145" t="s">
        <v>1760</v>
      </c>
      <c r="S145" t="s">
        <v>754</v>
      </c>
      <c r="U145" t="s">
        <v>1761</v>
      </c>
      <c r="V145" t="s">
        <v>767</v>
      </c>
      <c r="W145">
        <v>64</v>
      </c>
      <c r="X145" t="s">
        <v>768</v>
      </c>
      <c r="Y145">
        <v>2</v>
      </c>
      <c r="Z145" t="s">
        <v>1762</v>
      </c>
      <c r="AA145">
        <v>8</v>
      </c>
      <c r="AB145" t="s">
        <v>770</v>
      </c>
      <c r="AC145" t="s">
        <v>768</v>
      </c>
      <c r="AD145" t="s">
        <v>1763</v>
      </c>
      <c r="AE145">
        <v>32</v>
      </c>
      <c r="AF145" t="s">
        <v>770</v>
      </c>
      <c r="AG145" t="s">
        <v>768</v>
      </c>
      <c r="AT145" t="s">
        <v>772</v>
      </c>
      <c r="AU145" t="s">
        <v>1764</v>
      </c>
      <c r="AV145" t="str" cm="1">
        <f t="array" ref="AV145">IF(B145=_xlfn.XLOOKUP(B145,VmSpecs[[#All],[VM Name]],VmSpecs[[#All],[VM Name]],"Failed",0,1),"Pass","Fail")</f>
        <v>Fail</v>
      </c>
      <c r="AW145" t="str" cm="1">
        <f t="array" ref="AW145">IF(D145=_xlfn.XLOOKUP($B145,VmSpecs[[#All],[VM Name]],VmSpecs[[#All],[Virtual Machine Resource Groups]],"Failed",0,1),"Pass","Fail")</f>
        <v>Fail</v>
      </c>
      <c r="AX145" t="str" cm="1">
        <f t="array" ref="AX145">IF(_xlfn.IFS(E145="australiacentral","Australia Central 1",E145="australiaeast","Australia East",E145="australiasoutheast","Australia SouthEast")=_xlfn.XLOOKUP($B145,VmSpecs[[#All],[VM Name]],VmSpecs[[#All],[Region]],"Failed",0,1),"Pass","Fail")</f>
        <v>Fail</v>
      </c>
      <c r="AY145" t="str" cm="1">
        <f t="array" ref="AY145">IF(F145=_xlfn.XLOOKUP($B145,VmSpecs[[#All],[VM Name]],VmSpecs[[#All],[Instance size]],"Failed",0,1),"Pass","Fail")</f>
        <v>Fail</v>
      </c>
      <c r="AZ145" t="str" cm="1">
        <f t="array" ref="AZ145">IF(LOWER(H145)=_xlfn.XLOOKUP($B145,VmSpecs[[#All],[VM Name]],VmSpecs[[#All],[Availability Set Name]],"Failed",0,1),"Pass","Fail")</f>
        <v>Fail</v>
      </c>
      <c r="BA145" t="str" cm="1">
        <f t="array" ref="BA145">IF(J145=_xlfn.XLOOKUP($B145,VmSpecs[[#All],[VM Name]],VmSpecs[[#All],[Virtual Network]],"Failed",0,1),"Pass","Fail")</f>
        <v>Fail</v>
      </c>
      <c r="BB145" t="str" cm="1">
        <f t="array" ref="BB145">IF(K145=_xlfn.XLOOKUP($B145,VmSpecs[[#All],[VM Name]],VmSpecs[[#All],[Subnet]],"Failed",0,1),"Pass","Fail")</f>
        <v>Fail</v>
      </c>
      <c r="BC145" t="str" cm="1">
        <f t="array" ref="BC145">IF(M145=_xlfn.XLOOKUP($B145,VmSpecs[[#All],[VM Name]],VmSpecs[[#All],[IP]],"Failed",0,1),"Pass","Fail")</f>
        <v>Fail</v>
      </c>
      <c r="BD145" t="str" cm="1">
        <f t="array" ref="BD145">IF(N145=_xlfn.XLOOKUP($B145,VmSpecs[[#All],[VM Name]],VmSpecs[[#All],[Network Security Group]],"Failed",0,1),"Pass","Fail")</f>
        <v>Fail</v>
      </c>
      <c r="BE145" t="str" cm="1">
        <f t="array" ref="BE145">IF(O145=_xlfn.XLOOKUP($B145,VmSpecs[[#All],[VM Name]],VmSpecs[[#All],[Route Table Name]],"Failed",0,1),"Pass","Fail")</f>
        <v>Fail</v>
      </c>
      <c r="BF145" t="str" cm="1">
        <f t="array" ref="BF145">IF(P145=_xlfn.XLOOKUP($B145,VmSpecs[[#All],[VM Name]],VmSpecs[[#All],[Operating System]],"Failed",0,1),"Pass","Fail")</f>
        <v>Fail</v>
      </c>
      <c r="BG145" t="str" cm="1">
        <f t="array" ref="BG145">IF(R145=_xlfn.XLOOKUP($B145,VmSpecs[[#All],[VM Name]],VmSpecs[[#All],[NIC name]],"Failed",0,1),"Pass","Fail")</f>
        <v>Fail</v>
      </c>
      <c r="BH145" t="str" cm="1">
        <f t="array" ref="BH145">IF(U145=_xlfn.XLOOKUP($B145,VmSpecs[[#All],[VM Name]],VmSpecs[[#All],[OS Disk Name]],"Failed",0,1),"Pass","Fail")</f>
        <v>Fail</v>
      </c>
      <c r="BI145" t="str" cm="1">
        <f t="array" ref="BI145">IF(W145=_xlfn.XLOOKUP($B145,VmSpecs[[#All],[VM Name]],VmSpecs[[#All],[OS Disk Size]],"Failed",0,1),"Pass","Fail")</f>
        <v>Fail</v>
      </c>
      <c r="BJ145" t="str" cm="1">
        <f t="array" ref="BJ145">IF(LEFT(X145,4)=LEFT(_xlfn.XLOOKUP($B145,VmSpecs[[#All],[VM Name]],VmSpecs[[#All],[OS Disk Type (Standard SSD etc)]],"Failed",0,1),4),"Pass","Fail")</f>
        <v>Fail</v>
      </c>
      <c r="BK145" t="str" cm="1">
        <f t="array" ref="BK145">IF(Z145=_xlfn.XLOOKUP($B145,VmSpecs[[#All],[VM Name]],VmSpecs[[#All],[Data Disk1 Name]],"Failed",0,1),"Pass","Fail")</f>
        <v>Fail</v>
      </c>
      <c r="BL145" t="str" cm="1">
        <f t="array" ref="BL145">IF(AA145=_xlfn.XLOOKUP($B145,VmSpecs[[#All],[VM Name]],VmSpecs[[#All],[Data Disk1 Size]],"Failed",0,1),"Pass","Fail")</f>
        <v>Fail</v>
      </c>
      <c r="BM145" t="str" cm="1">
        <f t="array" ref="BM145">IF(LEFT(AC145,4)=LEFT(_xlfn.XLOOKUP($B145,VmSpecs[[#All],[VM Name]],VmSpecs[[#All],[Data Disk1 Type]],"Failed",0,1),4),"Pass","Fail")</f>
        <v>Fail</v>
      </c>
      <c r="BO145" t="e">
        <f>VLOOKUP('VM Specs'!K145,'As Built'!B:B,1,FALSE)</f>
        <v>#N/A</v>
      </c>
      <c r="BP145" t="str">
        <f>IF(ISNA(Table613[[#This Row],[VM Build Sheet Check]]),'VM Specs'!K145,"")</f>
        <v>vmpfbpf2olg06</v>
      </c>
    </row>
    <row r="146" spans="1:68" ht="33" customHeight="1" x14ac:dyDescent="0.35">
      <c r="A146" t="str">
        <f>IF(COUNTIF(AsBuilt[[#This Row],[VM Check]:[Data Disk 1 Type Check]],"Fail")&gt;0,"Fail","Pass")</f>
        <v>Fail</v>
      </c>
      <c r="B146" t="s">
        <v>1765</v>
      </c>
      <c r="C146" t="s">
        <v>754</v>
      </c>
      <c r="D146" t="s">
        <v>755</v>
      </c>
      <c r="E146" t="s">
        <v>756</v>
      </c>
      <c r="F146" t="s">
        <v>801</v>
      </c>
      <c r="G146" t="s">
        <v>758</v>
      </c>
      <c r="H146" t="s">
        <v>1723</v>
      </c>
      <c r="J146" t="s">
        <v>760</v>
      </c>
      <c r="K146" t="s">
        <v>761</v>
      </c>
      <c r="L146" t="s">
        <v>754</v>
      </c>
      <c r="M146" t="s">
        <v>1766</v>
      </c>
      <c r="N146" t="s">
        <v>763</v>
      </c>
      <c r="O146" t="s">
        <v>764</v>
      </c>
      <c r="P146" t="s">
        <v>63</v>
      </c>
      <c r="R146" t="s">
        <v>1767</v>
      </c>
      <c r="S146" t="s">
        <v>754</v>
      </c>
      <c r="U146" t="s">
        <v>1768</v>
      </c>
      <c r="V146" t="s">
        <v>767</v>
      </c>
      <c r="W146">
        <v>64</v>
      </c>
      <c r="X146" t="s">
        <v>768</v>
      </c>
      <c r="Y146">
        <v>2</v>
      </c>
      <c r="Z146" t="s">
        <v>1769</v>
      </c>
      <c r="AA146">
        <v>8</v>
      </c>
      <c r="AB146" t="s">
        <v>770</v>
      </c>
      <c r="AC146" t="s">
        <v>768</v>
      </c>
      <c r="AD146" t="s">
        <v>1770</v>
      </c>
      <c r="AE146">
        <v>32</v>
      </c>
      <c r="AF146" t="s">
        <v>770</v>
      </c>
      <c r="AG146" t="s">
        <v>768</v>
      </c>
      <c r="AT146" t="s">
        <v>772</v>
      </c>
      <c r="AU146" t="s">
        <v>1771</v>
      </c>
      <c r="AV146" t="str" cm="1">
        <f t="array" ref="AV146">IF(B146=_xlfn.XLOOKUP(B146,VmSpecs[[#All],[VM Name]],VmSpecs[[#All],[VM Name]],"Failed",0,1),"Pass","Fail")</f>
        <v>Fail</v>
      </c>
      <c r="AW146" t="str" cm="1">
        <f t="array" ref="AW146">IF(D146=_xlfn.XLOOKUP($B146,VmSpecs[[#All],[VM Name]],VmSpecs[[#All],[Virtual Machine Resource Groups]],"Failed",0,1),"Pass","Fail")</f>
        <v>Fail</v>
      </c>
      <c r="AX146" t="str" cm="1">
        <f t="array" ref="AX146">IF(_xlfn.IFS(E146="australiacentral","Australia Central 1",E146="australiaeast","Australia East",E146="australiasoutheast","Australia SouthEast")=_xlfn.XLOOKUP($B146,VmSpecs[[#All],[VM Name]],VmSpecs[[#All],[Region]],"Failed",0,1),"Pass","Fail")</f>
        <v>Fail</v>
      </c>
      <c r="AY146" t="str" cm="1">
        <f t="array" ref="AY146">IF(F146=_xlfn.XLOOKUP($B146,VmSpecs[[#All],[VM Name]],VmSpecs[[#All],[Instance size]],"Failed",0,1),"Pass","Fail")</f>
        <v>Fail</v>
      </c>
      <c r="AZ146" t="str" cm="1">
        <f t="array" ref="AZ146">IF(LOWER(H146)=_xlfn.XLOOKUP($B146,VmSpecs[[#All],[VM Name]],VmSpecs[[#All],[Availability Set Name]],"Failed",0,1),"Pass","Fail")</f>
        <v>Fail</v>
      </c>
      <c r="BA146" t="str" cm="1">
        <f t="array" ref="BA146">IF(J146=_xlfn.XLOOKUP($B146,VmSpecs[[#All],[VM Name]],VmSpecs[[#All],[Virtual Network]],"Failed",0,1),"Pass","Fail")</f>
        <v>Fail</v>
      </c>
      <c r="BB146" t="str" cm="1">
        <f t="array" ref="BB146">IF(K146=_xlfn.XLOOKUP($B146,VmSpecs[[#All],[VM Name]],VmSpecs[[#All],[Subnet]],"Failed",0,1),"Pass","Fail")</f>
        <v>Fail</v>
      </c>
      <c r="BC146" t="str" cm="1">
        <f t="array" ref="BC146">IF(M146=_xlfn.XLOOKUP($B146,VmSpecs[[#All],[VM Name]],VmSpecs[[#All],[IP]],"Failed",0,1),"Pass","Fail")</f>
        <v>Fail</v>
      </c>
      <c r="BD146" t="str" cm="1">
        <f t="array" ref="BD146">IF(N146=_xlfn.XLOOKUP($B146,VmSpecs[[#All],[VM Name]],VmSpecs[[#All],[Network Security Group]],"Failed",0,1),"Pass","Fail")</f>
        <v>Fail</v>
      </c>
      <c r="BE146" t="str" cm="1">
        <f t="array" ref="BE146">IF(O146=_xlfn.XLOOKUP($B146,VmSpecs[[#All],[VM Name]],VmSpecs[[#All],[Route Table Name]],"Failed",0,1),"Pass","Fail")</f>
        <v>Fail</v>
      </c>
      <c r="BF146" t="str" cm="1">
        <f t="array" ref="BF146">IF(P146=_xlfn.XLOOKUP($B146,VmSpecs[[#All],[VM Name]],VmSpecs[[#All],[Operating System]],"Failed",0,1),"Pass","Fail")</f>
        <v>Fail</v>
      </c>
      <c r="BG146" t="str" cm="1">
        <f t="array" ref="BG146">IF(R146=_xlfn.XLOOKUP($B146,VmSpecs[[#All],[VM Name]],VmSpecs[[#All],[NIC name]],"Failed",0,1),"Pass","Fail")</f>
        <v>Fail</v>
      </c>
      <c r="BH146" t="str" cm="1">
        <f t="array" ref="BH146">IF(U146=_xlfn.XLOOKUP($B146,VmSpecs[[#All],[VM Name]],VmSpecs[[#All],[OS Disk Name]],"Failed",0,1),"Pass","Fail")</f>
        <v>Fail</v>
      </c>
      <c r="BI146" t="str" cm="1">
        <f t="array" ref="BI146">IF(W146=_xlfn.XLOOKUP($B146,VmSpecs[[#All],[VM Name]],VmSpecs[[#All],[OS Disk Size]],"Failed",0,1),"Pass","Fail")</f>
        <v>Fail</v>
      </c>
      <c r="BJ146" t="str" cm="1">
        <f t="array" ref="BJ146">IF(LEFT(X146,4)=LEFT(_xlfn.XLOOKUP($B146,VmSpecs[[#All],[VM Name]],VmSpecs[[#All],[OS Disk Type (Standard SSD etc)]],"Failed",0,1),4),"Pass","Fail")</f>
        <v>Fail</v>
      </c>
      <c r="BK146" t="str" cm="1">
        <f t="array" ref="BK146">IF(Z146=_xlfn.XLOOKUP($B146,VmSpecs[[#All],[VM Name]],VmSpecs[[#All],[Data Disk1 Name]],"Failed",0,1),"Pass","Fail")</f>
        <v>Fail</v>
      </c>
      <c r="BL146" t="str" cm="1">
        <f t="array" ref="BL146">IF(AA146=_xlfn.XLOOKUP($B146,VmSpecs[[#All],[VM Name]],VmSpecs[[#All],[Data Disk1 Size]],"Failed",0,1),"Pass","Fail")</f>
        <v>Fail</v>
      </c>
      <c r="BM146" t="str" cm="1">
        <f t="array" ref="BM146">IF(LEFT(AC146,4)=LEFT(_xlfn.XLOOKUP($B146,VmSpecs[[#All],[VM Name]],VmSpecs[[#All],[Data Disk1 Type]],"Failed",0,1),4),"Pass","Fail")</f>
        <v>Fail</v>
      </c>
      <c r="BO146" t="e">
        <f>VLOOKUP('VM Specs'!K146,'As Built'!B:B,1,FALSE)</f>
        <v>#N/A</v>
      </c>
      <c r="BP146" t="str">
        <f>IF(ISNA(Table613[[#This Row],[VM Build Sheet Check]]),'VM Specs'!K146,"")</f>
        <v>vmpfbpf2olg07</v>
      </c>
    </row>
    <row r="147" spans="1:68" ht="33" customHeight="1" x14ac:dyDescent="0.35">
      <c r="A147" t="str">
        <f>IF(COUNTIF(AsBuilt[[#This Row],[VM Check]:[Data Disk 1 Type Check]],"Fail")&gt;0,"Fail","Pass")</f>
        <v>Fail</v>
      </c>
      <c r="B147" t="s">
        <v>1772</v>
      </c>
      <c r="C147" t="s">
        <v>754</v>
      </c>
      <c r="D147" t="s">
        <v>755</v>
      </c>
      <c r="E147" t="s">
        <v>756</v>
      </c>
      <c r="F147" t="s">
        <v>801</v>
      </c>
      <c r="G147" t="s">
        <v>758</v>
      </c>
      <c r="H147" t="s">
        <v>1723</v>
      </c>
      <c r="J147" t="s">
        <v>760</v>
      </c>
      <c r="K147" t="s">
        <v>761</v>
      </c>
      <c r="L147" t="s">
        <v>754</v>
      </c>
      <c r="M147" t="s">
        <v>1773</v>
      </c>
      <c r="N147" t="s">
        <v>763</v>
      </c>
      <c r="O147" t="s">
        <v>764</v>
      </c>
      <c r="P147" t="s">
        <v>63</v>
      </c>
      <c r="R147" t="s">
        <v>1774</v>
      </c>
      <c r="S147" t="s">
        <v>754</v>
      </c>
      <c r="U147" t="s">
        <v>1775</v>
      </c>
      <c r="V147" t="s">
        <v>767</v>
      </c>
      <c r="W147">
        <v>64</v>
      </c>
      <c r="X147" t="s">
        <v>768</v>
      </c>
      <c r="Y147">
        <v>2</v>
      </c>
      <c r="Z147" t="s">
        <v>1776</v>
      </c>
      <c r="AA147">
        <v>8</v>
      </c>
      <c r="AB147" t="s">
        <v>770</v>
      </c>
      <c r="AC147" t="s">
        <v>768</v>
      </c>
      <c r="AD147" t="s">
        <v>1777</v>
      </c>
      <c r="AE147">
        <v>32</v>
      </c>
      <c r="AF147" t="s">
        <v>770</v>
      </c>
      <c r="AG147" t="s">
        <v>768</v>
      </c>
      <c r="AT147" t="s">
        <v>772</v>
      </c>
      <c r="AU147" t="s">
        <v>1778</v>
      </c>
      <c r="AV147" t="str" cm="1">
        <f t="array" ref="AV147">IF(B147=_xlfn.XLOOKUP(B147,VmSpecs[[#All],[VM Name]],VmSpecs[[#All],[VM Name]],"Failed",0,1),"Pass","Fail")</f>
        <v>Fail</v>
      </c>
      <c r="AW147" t="str" cm="1">
        <f t="array" ref="AW147">IF(D147=_xlfn.XLOOKUP($B147,VmSpecs[[#All],[VM Name]],VmSpecs[[#All],[Virtual Machine Resource Groups]],"Failed",0,1),"Pass","Fail")</f>
        <v>Fail</v>
      </c>
      <c r="AX147" t="str" cm="1">
        <f t="array" ref="AX147">IF(_xlfn.IFS(E147="australiacentral","Australia Central 1",E147="australiaeast","Australia East",E147="australiasoutheast","Australia SouthEast")=_xlfn.XLOOKUP($B147,VmSpecs[[#All],[VM Name]],VmSpecs[[#All],[Region]],"Failed",0,1),"Pass","Fail")</f>
        <v>Fail</v>
      </c>
      <c r="AY147" t="str" cm="1">
        <f t="array" ref="AY147">IF(F147=_xlfn.XLOOKUP($B147,VmSpecs[[#All],[VM Name]],VmSpecs[[#All],[Instance size]],"Failed",0,1),"Pass","Fail")</f>
        <v>Fail</v>
      </c>
      <c r="AZ147" t="str" cm="1">
        <f t="array" ref="AZ147">IF(LOWER(H147)=_xlfn.XLOOKUP($B147,VmSpecs[[#All],[VM Name]],VmSpecs[[#All],[Availability Set Name]],"Failed",0,1),"Pass","Fail")</f>
        <v>Fail</v>
      </c>
      <c r="BA147" t="str" cm="1">
        <f t="array" ref="BA147">IF(J147=_xlfn.XLOOKUP($B147,VmSpecs[[#All],[VM Name]],VmSpecs[[#All],[Virtual Network]],"Failed",0,1),"Pass","Fail")</f>
        <v>Fail</v>
      </c>
      <c r="BB147" t="str" cm="1">
        <f t="array" ref="BB147">IF(K147=_xlfn.XLOOKUP($B147,VmSpecs[[#All],[VM Name]],VmSpecs[[#All],[Subnet]],"Failed",0,1),"Pass","Fail")</f>
        <v>Fail</v>
      </c>
      <c r="BC147" t="str" cm="1">
        <f t="array" ref="BC147">IF(M147=_xlfn.XLOOKUP($B147,VmSpecs[[#All],[VM Name]],VmSpecs[[#All],[IP]],"Failed",0,1),"Pass","Fail")</f>
        <v>Fail</v>
      </c>
      <c r="BD147" t="str" cm="1">
        <f t="array" ref="BD147">IF(N147=_xlfn.XLOOKUP($B147,VmSpecs[[#All],[VM Name]],VmSpecs[[#All],[Network Security Group]],"Failed",0,1),"Pass","Fail")</f>
        <v>Fail</v>
      </c>
      <c r="BE147" t="str" cm="1">
        <f t="array" ref="BE147">IF(O147=_xlfn.XLOOKUP($B147,VmSpecs[[#All],[VM Name]],VmSpecs[[#All],[Route Table Name]],"Failed",0,1),"Pass","Fail")</f>
        <v>Fail</v>
      </c>
      <c r="BF147" t="str" cm="1">
        <f t="array" ref="BF147">IF(P147=_xlfn.XLOOKUP($B147,VmSpecs[[#All],[VM Name]],VmSpecs[[#All],[Operating System]],"Failed",0,1),"Pass","Fail")</f>
        <v>Fail</v>
      </c>
      <c r="BG147" t="str" cm="1">
        <f t="array" ref="BG147">IF(R147=_xlfn.XLOOKUP($B147,VmSpecs[[#All],[VM Name]],VmSpecs[[#All],[NIC name]],"Failed",0,1),"Pass","Fail")</f>
        <v>Fail</v>
      </c>
      <c r="BH147" t="str" cm="1">
        <f t="array" ref="BH147">IF(U147=_xlfn.XLOOKUP($B147,VmSpecs[[#All],[VM Name]],VmSpecs[[#All],[OS Disk Name]],"Failed",0,1),"Pass","Fail")</f>
        <v>Fail</v>
      </c>
      <c r="BI147" t="str" cm="1">
        <f t="array" ref="BI147">IF(W147=_xlfn.XLOOKUP($B147,VmSpecs[[#All],[VM Name]],VmSpecs[[#All],[OS Disk Size]],"Failed",0,1),"Pass","Fail")</f>
        <v>Fail</v>
      </c>
      <c r="BJ147" t="str" cm="1">
        <f t="array" ref="BJ147">IF(LEFT(X147,4)=LEFT(_xlfn.XLOOKUP($B147,VmSpecs[[#All],[VM Name]],VmSpecs[[#All],[OS Disk Type (Standard SSD etc)]],"Failed",0,1),4),"Pass","Fail")</f>
        <v>Fail</v>
      </c>
      <c r="BK147" t="str" cm="1">
        <f t="array" ref="BK147">IF(Z147=_xlfn.XLOOKUP($B147,VmSpecs[[#All],[VM Name]],VmSpecs[[#All],[Data Disk1 Name]],"Failed",0,1),"Pass","Fail")</f>
        <v>Fail</v>
      </c>
      <c r="BL147" t="str" cm="1">
        <f t="array" ref="BL147">IF(AA147=_xlfn.XLOOKUP($B147,VmSpecs[[#All],[VM Name]],VmSpecs[[#All],[Data Disk1 Size]],"Failed",0,1),"Pass","Fail")</f>
        <v>Fail</v>
      </c>
      <c r="BM147" t="str" cm="1">
        <f t="array" ref="BM147">IF(LEFT(AC147,4)=LEFT(_xlfn.XLOOKUP($B147,VmSpecs[[#All],[VM Name]],VmSpecs[[#All],[Data Disk1 Type]],"Failed",0,1),4),"Pass","Fail")</f>
        <v>Fail</v>
      </c>
      <c r="BO147" t="e">
        <f>VLOOKUP('VM Specs'!K147,'As Built'!B:B,1,FALSE)</f>
        <v>#N/A</v>
      </c>
      <c r="BP147" t="str">
        <f>IF(ISNA(Table613[[#This Row],[VM Build Sheet Check]]),'VM Specs'!K147,"")</f>
        <v>vmpfbpf2olg08</v>
      </c>
    </row>
    <row r="148" spans="1:68" ht="33" customHeight="1" x14ac:dyDescent="0.35">
      <c r="A148" t="str">
        <f>IF(COUNTIF(AsBuilt[[#This Row],[VM Check]:[Data Disk 1 Type Check]],"Fail")&gt;0,"Fail","Pass")</f>
        <v>Fail</v>
      </c>
      <c r="B148" t="s">
        <v>1779</v>
      </c>
      <c r="C148" t="s">
        <v>754</v>
      </c>
      <c r="D148" t="s">
        <v>755</v>
      </c>
      <c r="E148" t="s">
        <v>756</v>
      </c>
      <c r="F148" t="s">
        <v>801</v>
      </c>
      <c r="G148" t="s">
        <v>758</v>
      </c>
      <c r="H148" t="s">
        <v>1723</v>
      </c>
      <c r="J148" t="s">
        <v>760</v>
      </c>
      <c r="K148" t="s">
        <v>761</v>
      </c>
      <c r="L148" t="s">
        <v>754</v>
      </c>
      <c r="M148" t="s">
        <v>1780</v>
      </c>
      <c r="N148" t="s">
        <v>763</v>
      </c>
      <c r="O148" t="s">
        <v>764</v>
      </c>
      <c r="P148" t="s">
        <v>63</v>
      </c>
      <c r="R148" t="s">
        <v>1781</v>
      </c>
      <c r="S148" t="s">
        <v>754</v>
      </c>
      <c r="U148" t="s">
        <v>1782</v>
      </c>
      <c r="V148" t="s">
        <v>767</v>
      </c>
      <c r="W148">
        <v>64</v>
      </c>
      <c r="X148" t="s">
        <v>768</v>
      </c>
      <c r="Y148">
        <v>2</v>
      </c>
      <c r="Z148" t="s">
        <v>1783</v>
      </c>
      <c r="AA148">
        <v>8</v>
      </c>
      <c r="AB148" t="s">
        <v>770</v>
      </c>
      <c r="AC148" t="s">
        <v>768</v>
      </c>
      <c r="AD148" t="s">
        <v>1784</v>
      </c>
      <c r="AE148">
        <v>32</v>
      </c>
      <c r="AF148" t="s">
        <v>770</v>
      </c>
      <c r="AG148" t="s">
        <v>768</v>
      </c>
      <c r="AT148" t="s">
        <v>772</v>
      </c>
      <c r="AU148" t="s">
        <v>1785</v>
      </c>
      <c r="AV148" t="str" cm="1">
        <f t="array" ref="AV148">IF(B148=_xlfn.XLOOKUP(B148,VmSpecs[[#All],[VM Name]],VmSpecs[[#All],[VM Name]],"Failed",0,1),"Pass","Fail")</f>
        <v>Fail</v>
      </c>
      <c r="AW148" t="str" cm="1">
        <f t="array" ref="AW148">IF(D148=_xlfn.XLOOKUP($B148,VmSpecs[[#All],[VM Name]],VmSpecs[[#All],[Virtual Machine Resource Groups]],"Failed",0,1),"Pass","Fail")</f>
        <v>Fail</v>
      </c>
      <c r="AX148" t="str" cm="1">
        <f t="array" ref="AX148">IF(_xlfn.IFS(E148="australiacentral","Australia Central 1",E148="australiaeast","Australia East",E148="australiasoutheast","Australia SouthEast")=_xlfn.XLOOKUP($B148,VmSpecs[[#All],[VM Name]],VmSpecs[[#All],[Region]],"Failed",0,1),"Pass","Fail")</f>
        <v>Fail</v>
      </c>
      <c r="AY148" t="str" cm="1">
        <f t="array" ref="AY148">IF(F148=_xlfn.XLOOKUP($B148,VmSpecs[[#All],[VM Name]],VmSpecs[[#All],[Instance size]],"Failed",0,1),"Pass","Fail")</f>
        <v>Fail</v>
      </c>
      <c r="AZ148" t="str" cm="1">
        <f t="array" ref="AZ148">IF(LOWER(H148)=_xlfn.XLOOKUP($B148,VmSpecs[[#All],[VM Name]],VmSpecs[[#All],[Availability Set Name]],"Failed",0,1),"Pass","Fail")</f>
        <v>Fail</v>
      </c>
      <c r="BA148" t="str" cm="1">
        <f t="array" ref="BA148">IF(J148=_xlfn.XLOOKUP($B148,VmSpecs[[#All],[VM Name]],VmSpecs[[#All],[Virtual Network]],"Failed",0,1),"Pass","Fail")</f>
        <v>Fail</v>
      </c>
      <c r="BB148" t="str" cm="1">
        <f t="array" ref="BB148">IF(K148=_xlfn.XLOOKUP($B148,VmSpecs[[#All],[VM Name]],VmSpecs[[#All],[Subnet]],"Failed",0,1),"Pass","Fail")</f>
        <v>Fail</v>
      </c>
      <c r="BC148" t="str" cm="1">
        <f t="array" ref="BC148">IF(M148=_xlfn.XLOOKUP($B148,VmSpecs[[#All],[VM Name]],VmSpecs[[#All],[IP]],"Failed",0,1),"Pass","Fail")</f>
        <v>Fail</v>
      </c>
      <c r="BD148" t="str" cm="1">
        <f t="array" ref="BD148">IF(N148=_xlfn.XLOOKUP($B148,VmSpecs[[#All],[VM Name]],VmSpecs[[#All],[Network Security Group]],"Failed",0,1),"Pass","Fail")</f>
        <v>Fail</v>
      </c>
      <c r="BE148" t="str" cm="1">
        <f t="array" ref="BE148">IF(O148=_xlfn.XLOOKUP($B148,VmSpecs[[#All],[VM Name]],VmSpecs[[#All],[Route Table Name]],"Failed",0,1),"Pass","Fail")</f>
        <v>Fail</v>
      </c>
      <c r="BF148" t="str" cm="1">
        <f t="array" ref="BF148">IF(P148=_xlfn.XLOOKUP($B148,VmSpecs[[#All],[VM Name]],VmSpecs[[#All],[Operating System]],"Failed",0,1),"Pass","Fail")</f>
        <v>Fail</v>
      </c>
      <c r="BG148" t="str" cm="1">
        <f t="array" ref="BG148">IF(R148=_xlfn.XLOOKUP($B148,VmSpecs[[#All],[VM Name]],VmSpecs[[#All],[NIC name]],"Failed",0,1),"Pass","Fail")</f>
        <v>Fail</v>
      </c>
      <c r="BH148" t="str" cm="1">
        <f t="array" ref="BH148">IF(U148=_xlfn.XLOOKUP($B148,VmSpecs[[#All],[VM Name]],VmSpecs[[#All],[OS Disk Name]],"Failed",0,1),"Pass","Fail")</f>
        <v>Fail</v>
      </c>
      <c r="BI148" t="str" cm="1">
        <f t="array" ref="BI148">IF(W148=_xlfn.XLOOKUP($B148,VmSpecs[[#All],[VM Name]],VmSpecs[[#All],[OS Disk Size]],"Failed",0,1),"Pass","Fail")</f>
        <v>Fail</v>
      </c>
      <c r="BJ148" t="str" cm="1">
        <f t="array" ref="BJ148">IF(LEFT(X148,4)=LEFT(_xlfn.XLOOKUP($B148,VmSpecs[[#All],[VM Name]],VmSpecs[[#All],[OS Disk Type (Standard SSD etc)]],"Failed",0,1),4),"Pass","Fail")</f>
        <v>Fail</v>
      </c>
      <c r="BK148" t="str" cm="1">
        <f t="array" ref="BK148">IF(Z148=_xlfn.XLOOKUP($B148,VmSpecs[[#All],[VM Name]],VmSpecs[[#All],[Data Disk1 Name]],"Failed",0,1),"Pass","Fail")</f>
        <v>Fail</v>
      </c>
      <c r="BL148" t="str" cm="1">
        <f t="array" ref="BL148">IF(AA148=_xlfn.XLOOKUP($B148,VmSpecs[[#All],[VM Name]],VmSpecs[[#All],[Data Disk1 Size]],"Failed",0,1),"Pass","Fail")</f>
        <v>Fail</v>
      </c>
      <c r="BM148" t="str" cm="1">
        <f t="array" ref="BM148">IF(LEFT(AC148,4)=LEFT(_xlfn.XLOOKUP($B148,VmSpecs[[#All],[VM Name]],VmSpecs[[#All],[Data Disk1 Type]],"Failed",0,1),4),"Pass","Fail")</f>
        <v>Fail</v>
      </c>
      <c r="BO148" t="e">
        <f>VLOOKUP('VM Specs'!K148,'As Built'!B:B,1,FALSE)</f>
        <v>#N/A</v>
      </c>
      <c r="BP148" t="str">
        <f>IF(ISNA(Table613[[#This Row],[VM Build Sheet Check]]),'VM Specs'!K148,"")</f>
        <v>vmpfbpf2olg09</v>
      </c>
    </row>
    <row r="149" spans="1:68" ht="33" customHeight="1" x14ac:dyDescent="0.35">
      <c r="A149" t="str">
        <f>IF(COUNTIF(AsBuilt[[#This Row],[VM Check]:[Data Disk 1 Type Check]],"Fail")&gt;0,"Fail","Pass")</f>
        <v>Fail</v>
      </c>
      <c r="B149" t="s">
        <v>1786</v>
      </c>
      <c r="C149" t="s">
        <v>754</v>
      </c>
      <c r="D149" t="s">
        <v>755</v>
      </c>
      <c r="E149" t="s">
        <v>756</v>
      </c>
      <c r="F149" t="s">
        <v>801</v>
      </c>
      <c r="G149" t="s">
        <v>758</v>
      </c>
      <c r="H149" t="s">
        <v>1723</v>
      </c>
      <c r="J149" t="s">
        <v>760</v>
      </c>
      <c r="K149" t="s">
        <v>761</v>
      </c>
      <c r="L149" t="s">
        <v>754</v>
      </c>
      <c r="M149" t="s">
        <v>1787</v>
      </c>
      <c r="N149" t="s">
        <v>763</v>
      </c>
      <c r="O149" t="s">
        <v>764</v>
      </c>
      <c r="P149" t="s">
        <v>63</v>
      </c>
      <c r="R149" t="s">
        <v>1788</v>
      </c>
      <c r="S149" t="s">
        <v>754</v>
      </c>
      <c r="U149" t="s">
        <v>1789</v>
      </c>
      <c r="V149" t="s">
        <v>767</v>
      </c>
      <c r="W149">
        <v>64</v>
      </c>
      <c r="X149" t="s">
        <v>768</v>
      </c>
      <c r="Y149">
        <v>2</v>
      </c>
      <c r="Z149" t="s">
        <v>1790</v>
      </c>
      <c r="AA149">
        <v>8</v>
      </c>
      <c r="AB149" t="s">
        <v>770</v>
      </c>
      <c r="AC149" t="s">
        <v>768</v>
      </c>
      <c r="AD149" t="s">
        <v>1791</v>
      </c>
      <c r="AE149">
        <v>32</v>
      </c>
      <c r="AF149" t="s">
        <v>770</v>
      </c>
      <c r="AG149" t="s">
        <v>768</v>
      </c>
      <c r="AT149" t="s">
        <v>772</v>
      </c>
      <c r="AU149" t="s">
        <v>1792</v>
      </c>
      <c r="AV149" t="str" cm="1">
        <f t="array" ref="AV149">IF(B149=_xlfn.XLOOKUP(B149,VmSpecs[[#All],[VM Name]],VmSpecs[[#All],[VM Name]],"Failed",0,1),"Pass","Fail")</f>
        <v>Fail</v>
      </c>
      <c r="AW149" t="str" cm="1">
        <f t="array" ref="AW149">IF(D149=_xlfn.XLOOKUP($B149,VmSpecs[[#All],[VM Name]],VmSpecs[[#All],[Virtual Machine Resource Groups]],"Failed",0,1),"Pass","Fail")</f>
        <v>Fail</v>
      </c>
      <c r="AX149" t="str" cm="1">
        <f t="array" ref="AX149">IF(_xlfn.IFS(E149="australiacentral","Australia Central 1",E149="australiaeast","Australia East",E149="australiasoutheast","Australia SouthEast")=_xlfn.XLOOKUP($B149,VmSpecs[[#All],[VM Name]],VmSpecs[[#All],[Region]],"Failed",0,1),"Pass","Fail")</f>
        <v>Fail</v>
      </c>
      <c r="AY149" t="str" cm="1">
        <f t="array" ref="AY149">IF(F149=_xlfn.XLOOKUP($B149,VmSpecs[[#All],[VM Name]],VmSpecs[[#All],[Instance size]],"Failed",0,1),"Pass","Fail")</f>
        <v>Fail</v>
      </c>
      <c r="AZ149" t="str" cm="1">
        <f t="array" ref="AZ149">IF(LOWER(H149)=_xlfn.XLOOKUP($B149,VmSpecs[[#All],[VM Name]],VmSpecs[[#All],[Availability Set Name]],"Failed",0,1),"Pass","Fail")</f>
        <v>Fail</v>
      </c>
      <c r="BA149" t="str" cm="1">
        <f t="array" ref="BA149">IF(J149=_xlfn.XLOOKUP($B149,VmSpecs[[#All],[VM Name]],VmSpecs[[#All],[Virtual Network]],"Failed",0,1),"Pass","Fail")</f>
        <v>Fail</v>
      </c>
      <c r="BB149" t="str" cm="1">
        <f t="array" ref="BB149">IF(K149=_xlfn.XLOOKUP($B149,VmSpecs[[#All],[VM Name]],VmSpecs[[#All],[Subnet]],"Failed",0,1),"Pass","Fail")</f>
        <v>Fail</v>
      </c>
      <c r="BC149" t="str" cm="1">
        <f t="array" ref="BC149">IF(M149=_xlfn.XLOOKUP($B149,VmSpecs[[#All],[VM Name]],VmSpecs[[#All],[IP]],"Failed",0,1),"Pass","Fail")</f>
        <v>Fail</v>
      </c>
      <c r="BD149" t="str" cm="1">
        <f t="array" ref="BD149">IF(N149=_xlfn.XLOOKUP($B149,VmSpecs[[#All],[VM Name]],VmSpecs[[#All],[Network Security Group]],"Failed",0,1),"Pass","Fail")</f>
        <v>Fail</v>
      </c>
      <c r="BE149" t="str" cm="1">
        <f t="array" ref="BE149">IF(O149=_xlfn.XLOOKUP($B149,VmSpecs[[#All],[VM Name]],VmSpecs[[#All],[Route Table Name]],"Failed",0,1),"Pass","Fail")</f>
        <v>Fail</v>
      </c>
      <c r="BF149" t="str" cm="1">
        <f t="array" ref="BF149">IF(P149=_xlfn.XLOOKUP($B149,VmSpecs[[#All],[VM Name]],VmSpecs[[#All],[Operating System]],"Failed",0,1),"Pass","Fail")</f>
        <v>Fail</v>
      </c>
      <c r="BG149" t="str" cm="1">
        <f t="array" ref="BG149">IF(R149=_xlfn.XLOOKUP($B149,VmSpecs[[#All],[VM Name]],VmSpecs[[#All],[NIC name]],"Failed",0,1),"Pass","Fail")</f>
        <v>Fail</v>
      </c>
      <c r="BH149" t="str" cm="1">
        <f t="array" ref="BH149">IF(U149=_xlfn.XLOOKUP($B149,VmSpecs[[#All],[VM Name]],VmSpecs[[#All],[OS Disk Name]],"Failed",0,1),"Pass","Fail")</f>
        <v>Fail</v>
      </c>
      <c r="BI149" t="str" cm="1">
        <f t="array" ref="BI149">IF(W149=_xlfn.XLOOKUP($B149,VmSpecs[[#All],[VM Name]],VmSpecs[[#All],[OS Disk Size]],"Failed",0,1),"Pass","Fail")</f>
        <v>Fail</v>
      </c>
      <c r="BJ149" t="str" cm="1">
        <f t="array" ref="BJ149">IF(LEFT(X149,4)=LEFT(_xlfn.XLOOKUP($B149,VmSpecs[[#All],[VM Name]],VmSpecs[[#All],[OS Disk Type (Standard SSD etc)]],"Failed",0,1),4),"Pass","Fail")</f>
        <v>Fail</v>
      </c>
      <c r="BK149" t="str" cm="1">
        <f t="array" ref="BK149">IF(Z149=_xlfn.XLOOKUP($B149,VmSpecs[[#All],[VM Name]],VmSpecs[[#All],[Data Disk1 Name]],"Failed",0,1),"Pass","Fail")</f>
        <v>Fail</v>
      </c>
      <c r="BL149" t="str" cm="1">
        <f t="array" ref="BL149">IF(AA149=_xlfn.XLOOKUP($B149,VmSpecs[[#All],[VM Name]],VmSpecs[[#All],[Data Disk1 Size]],"Failed",0,1),"Pass","Fail")</f>
        <v>Fail</v>
      </c>
      <c r="BM149" t="str" cm="1">
        <f t="array" ref="BM149">IF(LEFT(AC149,4)=LEFT(_xlfn.XLOOKUP($B149,VmSpecs[[#All],[VM Name]],VmSpecs[[#All],[Data Disk1 Type]],"Failed",0,1),4),"Pass","Fail")</f>
        <v>Fail</v>
      </c>
      <c r="BO149" t="e">
        <f>VLOOKUP('VM Specs'!K149,'As Built'!B:B,1,FALSE)</f>
        <v>#N/A</v>
      </c>
      <c r="BP149" t="str">
        <f>IF(ISNA(Table613[[#This Row],[VM Build Sheet Check]]),'VM Specs'!K149,"")</f>
        <v>vmpfbpf2olg10</v>
      </c>
    </row>
    <row r="150" spans="1:68" ht="33" customHeight="1" x14ac:dyDescent="0.35">
      <c r="A150" t="str">
        <f>IF(COUNTIF(AsBuilt[[#This Row],[VM Check]:[Data Disk 1 Type Check]],"Fail")&gt;0,"Fail","Pass")</f>
        <v>Fail</v>
      </c>
      <c r="B150" t="s">
        <v>1793</v>
      </c>
      <c r="C150" t="s">
        <v>754</v>
      </c>
      <c r="D150" t="s">
        <v>755</v>
      </c>
      <c r="E150" t="s">
        <v>756</v>
      </c>
      <c r="F150" t="s">
        <v>801</v>
      </c>
      <c r="G150" t="s">
        <v>758</v>
      </c>
      <c r="H150" t="s">
        <v>1723</v>
      </c>
      <c r="J150" t="s">
        <v>760</v>
      </c>
      <c r="K150" t="s">
        <v>761</v>
      </c>
      <c r="L150" t="s">
        <v>754</v>
      </c>
      <c r="M150" t="s">
        <v>1794</v>
      </c>
      <c r="N150" t="s">
        <v>763</v>
      </c>
      <c r="O150" t="s">
        <v>764</v>
      </c>
      <c r="P150" t="s">
        <v>63</v>
      </c>
      <c r="R150" t="s">
        <v>1795</v>
      </c>
      <c r="S150" t="s">
        <v>754</v>
      </c>
      <c r="U150" t="s">
        <v>1796</v>
      </c>
      <c r="V150" t="s">
        <v>767</v>
      </c>
      <c r="W150">
        <v>64</v>
      </c>
      <c r="X150" t="s">
        <v>768</v>
      </c>
      <c r="Y150">
        <v>2</v>
      </c>
      <c r="Z150" t="s">
        <v>1797</v>
      </c>
      <c r="AA150">
        <v>8</v>
      </c>
      <c r="AB150" t="s">
        <v>770</v>
      </c>
      <c r="AC150" t="s">
        <v>768</v>
      </c>
      <c r="AD150" t="s">
        <v>1798</v>
      </c>
      <c r="AE150">
        <v>32</v>
      </c>
      <c r="AF150" t="s">
        <v>770</v>
      </c>
      <c r="AG150" t="s">
        <v>768</v>
      </c>
      <c r="AT150" t="s">
        <v>772</v>
      </c>
      <c r="AU150" t="s">
        <v>1799</v>
      </c>
      <c r="AV150" t="str" cm="1">
        <f t="array" ref="AV150">IF(B150=_xlfn.XLOOKUP(B150,VmSpecs[[#All],[VM Name]],VmSpecs[[#All],[VM Name]],"Failed",0,1),"Pass","Fail")</f>
        <v>Fail</v>
      </c>
      <c r="AW150" t="str" cm="1">
        <f t="array" ref="AW150">IF(D150=_xlfn.XLOOKUP($B150,VmSpecs[[#All],[VM Name]],VmSpecs[[#All],[Virtual Machine Resource Groups]],"Failed",0,1),"Pass","Fail")</f>
        <v>Fail</v>
      </c>
      <c r="AX150" t="str" cm="1">
        <f t="array" ref="AX150">IF(_xlfn.IFS(E150="australiacentral","Australia Central 1",E150="australiaeast","Australia East",E150="australiasoutheast","Australia SouthEast")=_xlfn.XLOOKUP($B150,VmSpecs[[#All],[VM Name]],VmSpecs[[#All],[Region]],"Failed",0,1),"Pass","Fail")</f>
        <v>Fail</v>
      </c>
      <c r="AY150" t="str" cm="1">
        <f t="array" ref="AY150">IF(F150=_xlfn.XLOOKUP($B150,VmSpecs[[#All],[VM Name]],VmSpecs[[#All],[Instance size]],"Failed",0,1),"Pass","Fail")</f>
        <v>Fail</v>
      </c>
      <c r="AZ150" t="str" cm="1">
        <f t="array" ref="AZ150">IF(LOWER(H150)=_xlfn.XLOOKUP($B150,VmSpecs[[#All],[VM Name]],VmSpecs[[#All],[Availability Set Name]],"Failed",0,1),"Pass","Fail")</f>
        <v>Fail</v>
      </c>
      <c r="BA150" t="str" cm="1">
        <f t="array" ref="BA150">IF(J150=_xlfn.XLOOKUP($B150,VmSpecs[[#All],[VM Name]],VmSpecs[[#All],[Virtual Network]],"Failed",0,1),"Pass","Fail")</f>
        <v>Fail</v>
      </c>
      <c r="BB150" t="str" cm="1">
        <f t="array" ref="BB150">IF(K150=_xlfn.XLOOKUP($B150,VmSpecs[[#All],[VM Name]],VmSpecs[[#All],[Subnet]],"Failed",0,1),"Pass","Fail")</f>
        <v>Fail</v>
      </c>
      <c r="BC150" t="str" cm="1">
        <f t="array" ref="BC150">IF(M150=_xlfn.XLOOKUP($B150,VmSpecs[[#All],[VM Name]],VmSpecs[[#All],[IP]],"Failed",0,1),"Pass","Fail")</f>
        <v>Fail</v>
      </c>
      <c r="BD150" t="str" cm="1">
        <f t="array" ref="BD150">IF(N150=_xlfn.XLOOKUP($B150,VmSpecs[[#All],[VM Name]],VmSpecs[[#All],[Network Security Group]],"Failed",0,1),"Pass","Fail")</f>
        <v>Fail</v>
      </c>
      <c r="BE150" t="str" cm="1">
        <f t="array" ref="BE150">IF(O150=_xlfn.XLOOKUP($B150,VmSpecs[[#All],[VM Name]],VmSpecs[[#All],[Route Table Name]],"Failed",0,1),"Pass","Fail")</f>
        <v>Fail</v>
      </c>
      <c r="BF150" t="str" cm="1">
        <f t="array" ref="BF150">IF(P150=_xlfn.XLOOKUP($B150,VmSpecs[[#All],[VM Name]],VmSpecs[[#All],[Operating System]],"Failed",0,1),"Pass","Fail")</f>
        <v>Fail</v>
      </c>
      <c r="BG150" t="str" cm="1">
        <f t="array" ref="BG150">IF(R150=_xlfn.XLOOKUP($B150,VmSpecs[[#All],[VM Name]],VmSpecs[[#All],[NIC name]],"Failed",0,1),"Pass","Fail")</f>
        <v>Fail</v>
      </c>
      <c r="BH150" t="str" cm="1">
        <f t="array" ref="BH150">IF(U150=_xlfn.XLOOKUP($B150,VmSpecs[[#All],[VM Name]],VmSpecs[[#All],[OS Disk Name]],"Failed",0,1),"Pass","Fail")</f>
        <v>Fail</v>
      </c>
      <c r="BI150" t="str" cm="1">
        <f t="array" ref="BI150">IF(W150=_xlfn.XLOOKUP($B150,VmSpecs[[#All],[VM Name]],VmSpecs[[#All],[OS Disk Size]],"Failed",0,1),"Pass","Fail")</f>
        <v>Fail</v>
      </c>
      <c r="BJ150" t="str" cm="1">
        <f t="array" ref="BJ150">IF(LEFT(X150,4)=LEFT(_xlfn.XLOOKUP($B150,VmSpecs[[#All],[VM Name]],VmSpecs[[#All],[OS Disk Type (Standard SSD etc)]],"Failed",0,1),4),"Pass","Fail")</f>
        <v>Fail</v>
      </c>
      <c r="BK150" t="str" cm="1">
        <f t="array" ref="BK150">IF(Z150=_xlfn.XLOOKUP($B150,VmSpecs[[#All],[VM Name]],VmSpecs[[#All],[Data Disk1 Name]],"Failed",0,1),"Pass","Fail")</f>
        <v>Fail</v>
      </c>
      <c r="BL150" t="str" cm="1">
        <f t="array" ref="BL150">IF(AA150=_xlfn.XLOOKUP($B150,VmSpecs[[#All],[VM Name]],VmSpecs[[#All],[Data Disk1 Size]],"Failed",0,1),"Pass","Fail")</f>
        <v>Fail</v>
      </c>
      <c r="BM150" t="str" cm="1">
        <f t="array" ref="BM150">IF(LEFT(AC150,4)=LEFT(_xlfn.XLOOKUP($B150,VmSpecs[[#All],[VM Name]],VmSpecs[[#All],[Data Disk1 Type]],"Failed",0,1),4),"Pass","Fail")</f>
        <v>Fail</v>
      </c>
      <c r="BO150" t="e">
        <f>VLOOKUP('VM Specs'!K150,'As Built'!B:B,1,FALSE)</f>
        <v>#N/A</v>
      </c>
      <c r="BP150" t="str">
        <f>IF(ISNA(Table613[[#This Row],[VM Build Sheet Check]]),'VM Specs'!K150,"")</f>
        <v>vmpfbpf2olg11</v>
      </c>
    </row>
    <row r="151" spans="1:68" ht="33" customHeight="1" x14ac:dyDescent="0.35">
      <c r="A151" t="str">
        <f>IF(COUNTIF(AsBuilt[[#This Row],[VM Check]:[Data Disk 1 Type Check]],"Fail")&gt;0,"Fail","Pass")</f>
        <v>Fail</v>
      </c>
      <c r="B151" t="s">
        <v>1800</v>
      </c>
      <c r="C151" t="s">
        <v>754</v>
      </c>
      <c r="D151" t="s">
        <v>755</v>
      </c>
      <c r="E151" t="s">
        <v>756</v>
      </c>
      <c r="F151" t="s">
        <v>801</v>
      </c>
      <c r="G151" t="s">
        <v>758</v>
      </c>
      <c r="H151" t="s">
        <v>1723</v>
      </c>
      <c r="J151" t="s">
        <v>760</v>
      </c>
      <c r="K151" t="s">
        <v>761</v>
      </c>
      <c r="L151" t="s">
        <v>754</v>
      </c>
      <c r="M151" t="s">
        <v>1801</v>
      </c>
      <c r="N151" t="s">
        <v>763</v>
      </c>
      <c r="O151" t="s">
        <v>764</v>
      </c>
      <c r="P151" t="s">
        <v>63</v>
      </c>
      <c r="R151" t="s">
        <v>1802</v>
      </c>
      <c r="S151" t="s">
        <v>754</v>
      </c>
      <c r="U151" t="s">
        <v>1803</v>
      </c>
      <c r="V151" t="s">
        <v>767</v>
      </c>
      <c r="W151">
        <v>64</v>
      </c>
      <c r="X151" t="s">
        <v>768</v>
      </c>
      <c r="Y151">
        <v>2</v>
      </c>
      <c r="Z151" t="s">
        <v>1804</v>
      </c>
      <c r="AA151">
        <v>8</v>
      </c>
      <c r="AB151" t="s">
        <v>770</v>
      </c>
      <c r="AC151" t="s">
        <v>768</v>
      </c>
      <c r="AD151" t="s">
        <v>1805</v>
      </c>
      <c r="AE151">
        <v>32</v>
      </c>
      <c r="AF151" t="s">
        <v>770</v>
      </c>
      <c r="AG151" t="s">
        <v>768</v>
      </c>
      <c r="AT151" t="s">
        <v>772</v>
      </c>
      <c r="AU151" t="s">
        <v>1806</v>
      </c>
      <c r="AV151" t="str" cm="1">
        <f t="array" ref="AV151">IF(B151=_xlfn.XLOOKUP(B151,VmSpecs[[#All],[VM Name]],VmSpecs[[#All],[VM Name]],"Failed",0,1),"Pass","Fail")</f>
        <v>Fail</v>
      </c>
      <c r="AW151" t="str" cm="1">
        <f t="array" ref="AW151">IF(D151=_xlfn.XLOOKUP($B151,VmSpecs[[#All],[VM Name]],VmSpecs[[#All],[Virtual Machine Resource Groups]],"Failed",0,1),"Pass","Fail")</f>
        <v>Fail</v>
      </c>
      <c r="AX151" t="str" cm="1">
        <f t="array" ref="AX151">IF(_xlfn.IFS(E151="australiacentral","Australia Central 1",E151="australiaeast","Australia East",E151="australiasoutheast","Australia SouthEast")=_xlfn.XLOOKUP($B151,VmSpecs[[#All],[VM Name]],VmSpecs[[#All],[Region]],"Failed",0,1),"Pass","Fail")</f>
        <v>Fail</v>
      </c>
      <c r="AY151" t="str" cm="1">
        <f t="array" ref="AY151">IF(F151=_xlfn.XLOOKUP($B151,VmSpecs[[#All],[VM Name]],VmSpecs[[#All],[Instance size]],"Failed",0,1),"Pass","Fail")</f>
        <v>Fail</v>
      </c>
      <c r="AZ151" t="str" cm="1">
        <f t="array" ref="AZ151">IF(LOWER(H151)=_xlfn.XLOOKUP($B151,VmSpecs[[#All],[VM Name]],VmSpecs[[#All],[Availability Set Name]],"Failed",0,1),"Pass","Fail")</f>
        <v>Fail</v>
      </c>
      <c r="BA151" t="str" cm="1">
        <f t="array" ref="BA151">IF(J151=_xlfn.XLOOKUP($B151,VmSpecs[[#All],[VM Name]],VmSpecs[[#All],[Virtual Network]],"Failed",0,1),"Pass","Fail")</f>
        <v>Fail</v>
      </c>
      <c r="BB151" t="str" cm="1">
        <f t="array" ref="BB151">IF(K151=_xlfn.XLOOKUP($B151,VmSpecs[[#All],[VM Name]],VmSpecs[[#All],[Subnet]],"Failed",0,1),"Pass","Fail")</f>
        <v>Fail</v>
      </c>
      <c r="BC151" t="str" cm="1">
        <f t="array" ref="BC151">IF(M151=_xlfn.XLOOKUP($B151,VmSpecs[[#All],[VM Name]],VmSpecs[[#All],[IP]],"Failed",0,1),"Pass","Fail")</f>
        <v>Fail</v>
      </c>
      <c r="BD151" t="str" cm="1">
        <f t="array" ref="BD151">IF(N151=_xlfn.XLOOKUP($B151,VmSpecs[[#All],[VM Name]],VmSpecs[[#All],[Network Security Group]],"Failed",0,1),"Pass","Fail")</f>
        <v>Fail</v>
      </c>
      <c r="BE151" t="str" cm="1">
        <f t="array" ref="BE151">IF(O151=_xlfn.XLOOKUP($B151,VmSpecs[[#All],[VM Name]],VmSpecs[[#All],[Route Table Name]],"Failed",0,1),"Pass","Fail")</f>
        <v>Fail</v>
      </c>
      <c r="BF151" t="str" cm="1">
        <f t="array" ref="BF151">IF(P151=_xlfn.XLOOKUP($B151,VmSpecs[[#All],[VM Name]],VmSpecs[[#All],[Operating System]],"Failed",0,1),"Pass","Fail")</f>
        <v>Fail</v>
      </c>
      <c r="BG151" t="str" cm="1">
        <f t="array" ref="BG151">IF(R151=_xlfn.XLOOKUP($B151,VmSpecs[[#All],[VM Name]],VmSpecs[[#All],[NIC name]],"Failed",0,1),"Pass","Fail")</f>
        <v>Fail</v>
      </c>
      <c r="BH151" t="str" cm="1">
        <f t="array" ref="BH151">IF(U151=_xlfn.XLOOKUP($B151,VmSpecs[[#All],[VM Name]],VmSpecs[[#All],[OS Disk Name]],"Failed",0,1),"Pass","Fail")</f>
        <v>Fail</v>
      </c>
      <c r="BI151" t="str" cm="1">
        <f t="array" ref="BI151">IF(W151=_xlfn.XLOOKUP($B151,VmSpecs[[#All],[VM Name]],VmSpecs[[#All],[OS Disk Size]],"Failed",0,1),"Pass","Fail")</f>
        <v>Fail</v>
      </c>
      <c r="BJ151" t="str" cm="1">
        <f t="array" ref="BJ151">IF(LEFT(X151,4)=LEFT(_xlfn.XLOOKUP($B151,VmSpecs[[#All],[VM Name]],VmSpecs[[#All],[OS Disk Type (Standard SSD etc)]],"Failed",0,1),4),"Pass","Fail")</f>
        <v>Fail</v>
      </c>
      <c r="BK151" t="str" cm="1">
        <f t="array" ref="BK151">IF(Z151=_xlfn.XLOOKUP($B151,VmSpecs[[#All],[VM Name]],VmSpecs[[#All],[Data Disk1 Name]],"Failed",0,1),"Pass","Fail")</f>
        <v>Fail</v>
      </c>
      <c r="BL151" t="str" cm="1">
        <f t="array" ref="BL151">IF(AA151=_xlfn.XLOOKUP($B151,VmSpecs[[#All],[VM Name]],VmSpecs[[#All],[Data Disk1 Size]],"Failed",0,1),"Pass","Fail")</f>
        <v>Fail</v>
      </c>
      <c r="BM151" t="str" cm="1">
        <f t="array" ref="BM151">IF(LEFT(AC151,4)=LEFT(_xlfn.XLOOKUP($B151,VmSpecs[[#All],[VM Name]],VmSpecs[[#All],[Data Disk1 Type]],"Failed",0,1),4),"Pass","Fail")</f>
        <v>Fail</v>
      </c>
      <c r="BO151" t="e">
        <f>VLOOKUP('VM Specs'!K151,'As Built'!B:B,1,FALSE)</f>
        <v>#N/A</v>
      </c>
      <c r="BP151" t="str">
        <f>IF(ISNA(Table613[[#This Row],[VM Build Sheet Check]]),'VM Specs'!K151,"")</f>
        <v>vmpfbpf2olg12</v>
      </c>
    </row>
    <row r="152" spans="1:68" ht="33" customHeight="1" x14ac:dyDescent="0.35">
      <c r="A152" t="str">
        <f>IF(COUNTIF(AsBuilt[[#This Row],[VM Check]:[Data Disk 1 Type Check]],"Fail")&gt;0,"Fail","Pass")</f>
        <v>Fail</v>
      </c>
      <c r="B152" t="s">
        <v>1807</v>
      </c>
      <c r="C152" t="s">
        <v>754</v>
      </c>
      <c r="D152" t="s">
        <v>755</v>
      </c>
      <c r="E152" t="s">
        <v>756</v>
      </c>
      <c r="F152" t="s">
        <v>801</v>
      </c>
      <c r="G152" t="s">
        <v>758</v>
      </c>
      <c r="H152" t="s">
        <v>1723</v>
      </c>
      <c r="J152" t="s">
        <v>760</v>
      </c>
      <c r="K152" t="s">
        <v>761</v>
      </c>
      <c r="L152" t="s">
        <v>754</v>
      </c>
      <c r="M152" t="s">
        <v>1808</v>
      </c>
      <c r="N152" t="s">
        <v>763</v>
      </c>
      <c r="O152" t="s">
        <v>764</v>
      </c>
      <c r="P152" t="s">
        <v>63</v>
      </c>
      <c r="R152" t="s">
        <v>1809</v>
      </c>
      <c r="S152" t="s">
        <v>754</v>
      </c>
      <c r="U152" t="s">
        <v>1810</v>
      </c>
      <c r="V152" t="s">
        <v>767</v>
      </c>
      <c r="W152">
        <v>64</v>
      </c>
      <c r="X152" t="s">
        <v>768</v>
      </c>
      <c r="Y152">
        <v>2</v>
      </c>
      <c r="Z152" t="s">
        <v>1811</v>
      </c>
      <c r="AA152">
        <v>8</v>
      </c>
      <c r="AB152" t="s">
        <v>770</v>
      </c>
      <c r="AC152" t="s">
        <v>768</v>
      </c>
      <c r="AD152" t="s">
        <v>1812</v>
      </c>
      <c r="AE152">
        <v>32</v>
      </c>
      <c r="AF152" t="s">
        <v>770</v>
      </c>
      <c r="AG152" t="s">
        <v>768</v>
      </c>
      <c r="AT152" t="s">
        <v>772</v>
      </c>
      <c r="AU152" t="s">
        <v>1813</v>
      </c>
      <c r="AV152" t="str" cm="1">
        <f t="array" ref="AV152">IF(B152=_xlfn.XLOOKUP(B152,VmSpecs[[#All],[VM Name]],VmSpecs[[#All],[VM Name]],"Failed",0,1),"Pass","Fail")</f>
        <v>Fail</v>
      </c>
      <c r="AW152" t="str" cm="1">
        <f t="array" ref="AW152">IF(D152=_xlfn.XLOOKUP($B152,VmSpecs[[#All],[VM Name]],VmSpecs[[#All],[Virtual Machine Resource Groups]],"Failed",0,1),"Pass","Fail")</f>
        <v>Fail</v>
      </c>
      <c r="AX152" t="str" cm="1">
        <f t="array" ref="AX152">IF(_xlfn.IFS(E152="australiacentral","Australia Central 1",E152="australiaeast","Australia East",E152="australiasoutheast","Australia SouthEast")=_xlfn.XLOOKUP($B152,VmSpecs[[#All],[VM Name]],VmSpecs[[#All],[Region]],"Failed",0,1),"Pass","Fail")</f>
        <v>Fail</v>
      </c>
      <c r="AY152" t="str" cm="1">
        <f t="array" ref="AY152">IF(F152=_xlfn.XLOOKUP($B152,VmSpecs[[#All],[VM Name]],VmSpecs[[#All],[Instance size]],"Failed",0,1),"Pass","Fail")</f>
        <v>Fail</v>
      </c>
      <c r="AZ152" t="str" cm="1">
        <f t="array" ref="AZ152">IF(LOWER(H152)=_xlfn.XLOOKUP($B152,VmSpecs[[#All],[VM Name]],VmSpecs[[#All],[Availability Set Name]],"Failed",0,1),"Pass","Fail")</f>
        <v>Fail</v>
      </c>
      <c r="BA152" t="str" cm="1">
        <f t="array" ref="BA152">IF(J152=_xlfn.XLOOKUP($B152,VmSpecs[[#All],[VM Name]],VmSpecs[[#All],[Virtual Network]],"Failed",0,1),"Pass","Fail")</f>
        <v>Fail</v>
      </c>
      <c r="BB152" t="str" cm="1">
        <f t="array" ref="BB152">IF(K152=_xlfn.XLOOKUP($B152,VmSpecs[[#All],[VM Name]],VmSpecs[[#All],[Subnet]],"Failed",0,1),"Pass","Fail")</f>
        <v>Fail</v>
      </c>
      <c r="BC152" t="str" cm="1">
        <f t="array" ref="BC152">IF(M152=_xlfn.XLOOKUP($B152,VmSpecs[[#All],[VM Name]],VmSpecs[[#All],[IP]],"Failed",0,1),"Pass","Fail")</f>
        <v>Fail</v>
      </c>
      <c r="BD152" t="str" cm="1">
        <f t="array" ref="BD152">IF(N152=_xlfn.XLOOKUP($B152,VmSpecs[[#All],[VM Name]],VmSpecs[[#All],[Network Security Group]],"Failed",0,1),"Pass","Fail")</f>
        <v>Fail</v>
      </c>
      <c r="BE152" t="str" cm="1">
        <f t="array" ref="BE152">IF(O152=_xlfn.XLOOKUP($B152,VmSpecs[[#All],[VM Name]],VmSpecs[[#All],[Route Table Name]],"Failed",0,1),"Pass","Fail")</f>
        <v>Fail</v>
      </c>
      <c r="BF152" t="str" cm="1">
        <f t="array" ref="BF152">IF(P152=_xlfn.XLOOKUP($B152,VmSpecs[[#All],[VM Name]],VmSpecs[[#All],[Operating System]],"Failed",0,1),"Pass","Fail")</f>
        <v>Fail</v>
      </c>
      <c r="BG152" t="str" cm="1">
        <f t="array" ref="BG152">IF(R152=_xlfn.XLOOKUP($B152,VmSpecs[[#All],[VM Name]],VmSpecs[[#All],[NIC name]],"Failed",0,1),"Pass","Fail")</f>
        <v>Fail</v>
      </c>
      <c r="BH152" t="str" cm="1">
        <f t="array" ref="BH152">IF(U152=_xlfn.XLOOKUP($B152,VmSpecs[[#All],[VM Name]],VmSpecs[[#All],[OS Disk Name]],"Failed",0,1),"Pass","Fail")</f>
        <v>Fail</v>
      </c>
      <c r="BI152" t="str" cm="1">
        <f t="array" ref="BI152">IF(W152=_xlfn.XLOOKUP($B152,VmSpecs[[#All],[VM Name]],VmSpecs[[#All],[OS Disk Size]],"Failed",0,1),"Pass","Fail")</f>
        <v>Fail</v>
      </c>
      <c r="BJ152" t="str" cm="1">
        <f t="array" ref="BJ152">IF(LEFT(X152,4)=LEFT(_xlfn.XLOOKUP($B152,VmSpecs[[#All],[VM Name]],VmSpecs[[#All],[OS Disk Type (Standard SSD etc)]],"Failed",0,1),4),"Pass","Fail")</f>
        <v>Fail</v>
      </c>
      <c r="BK152" t="str" cm="1">
        <f t="array" ref="BK152">IF(Z152=_xlfn.XLOOKUP($B152,VmSpecs[[#All],[VM Name]],VmSpecs[[#All],[Data Disk1 Name]],"Failed",0,1),"Pass","Fail")</f>
        <v>Fail</v>
      </c>
      <c r="BL152" t="str" cm="1">
        <f t="array" ref="BL152">IF(AA152=_xlfn.XLOOKUP($B152,VmSpecs[[#All],[VM Name]],VmSpecs[[#All],[Data Disk1 Size]],"Failed",0,1),"Pass","Fail")</f>
        <v>Fail</v>
      </c>
      <c r="BM152" t="str" cm="1">
        <f t="array" ref="BM152">IF(LEFT(AC152,4)=LEFT(_xlfn.XLOOKUP($B152,VmSpecs[[#All],[VM Name]],VmSpecs[[#All],[Data Disk1 Type]],"Failed",0,1),4),"Pass","Fail")</f>
        <v>Fail</v>
      </c>
      <c r="BO152" t="e">
        <f>VLOOKUP('VM Specs'!K152,'As Built'!B:B,1,FALSE)</f>
        <v>#N/A</v>
      </c>
      <c r="BP152" t="str">
        <f>IF(ISNA(Table613[[#This Row],[VM Build Sheet Check]]),'VM Specs'!K152,"")</f>
        <v>vmpfbpf2olg13</v>
      </c>
    </row>
    <row r="153" spans="1:68" ht="33" customHeight="1" x14ac:dyDescent="0.35">
      <c r="A153" t="str">
        <f>IF(COUNTIF(AsBuilt[[#This Row],[VM Check]:[Data Disk 1 Type Check]],"Fail")&gt;0,"Fail","Pass")</f>
        <v>Fail</v>
      </c>
      <c r="B153" t="s">
        <v>1814</v>
      </c>
      <c r="C153" t="s">
        <v>754</v>
      </c>
      <c r="D153" t="s">
        <v>755</v>
      </c>
      <c r="E153" t="s">
        <v>756</v>
      </c>
      <c r="F153" t="s">
        <v>801</v>
      </c>
      <c r="G153" t="s">
        <v>758</v>
      </c>
      <c r="H153" t="s">
        <v>1723</v>
      </c>
      <c r="J153" t="s">
        <v>760</v>
      </c>
      <c r="K153" t="s">
        <v>761</v>
      </c>
      <c r="L153" t="s">
        <v>754</v>
      </c>
      <c r="M153" t="s">
        <v>1815</v>
      </c>
      <c r="N153" t="s">
        <v>763</v>
      </c>
      <c r="O153" t="s">
        <v>764</v>
      </c>
      <c r="P153" t="s">
        <v>63</v>
      </c>
      <c r="R153" t="s">
        <v>1816</v>
      </c>
      <c r="S153" t="s">
        <v>754</v>
      </c>
      <c r="U153" t="s">
        <v>1817</v>
      </c>
      <c r="V153" t="s">
        <v>767</v>
      </c>
      <c r="W153">
        <v>64</v>
      </c>
      <c r="X153" t="s">
        <v>768</v>
      </c>
      <c r="Y153">
        <v>2</v>
      </c>
      <c r="Z153" t="s">
        <v>1818</v>
      </c>
      <c r="AA153">
        <v>8</v>
      </c>
      <c r="AB153" t="s">
        <v>770</v>
      </c>
      <c r="AC153" t="s">
        <v>768</v>
      </c>
      <c r="AD153" t="s">
        <v>1819</v>
      </c>
      <c r="AE153">
        <v>32</v>
      </c>
      <c r="AF153" t="s">
        <v>770</v>
      </c>
      <c r="AG153" t="s">
        <v>768</v>
      </c>
      <c r="AT153" t="s">
        <v>772</v>
      </c>
      <c r="AU153" t="s">
        <v>1820</v>
      </c>
      <c r="AV153" t="str" cm="1">
        <f t="array" ref="AV153">IF(B153=_xlfn.XLOOKUP(B153,VmSpecs[[#All],[VM Name]],VmSpecs[[#All],[VM Name]],"Failed",0,1),"Pass","Fail")</f>
        <v>Fail</v>
      </c>
      <c r="AW153" t="str" cm="1">
        <f t="array" ref="AW153">IF(D153=_xlfn.XLOOKUP($B153,VmSpecs[[#All],[VM Name]],VmSpecs[[#All],[Virtual Machine Resource Groups]],"Failed",0,1),"Pass","Fail")</f>
        <v>Fail</v>
      </c>
      <c r="AX153" t="str" cm="1">
        <f t="array" ref="AX153">IF(_xlfn.IFS(E153="australiacentral","Australia Central 1",E153="australiaeast","Australia East",E153="australiasoutheast","Australia SouthEast")=_xlfn.XLOOKUP($B153,VmSpecs[[#All],[VM Name]],VmSpecs[[#All],[Region]],"Failed",0,1),"Pass","Fail")</f>
        <v>Fail</v>
      </c>
      <c r="AY153" t="str" cm="1">
        <f t="array" ref="AY153">IF(F153=_xlfn.XLOOKUP($B153,VmSpecs[[#All],[VM Name]],VmSpecs[[#All],[Instance size]],"Failed",0,1),"Pass","Fail")</f>
        <v>Fail</v>
      </c>
      <c r="AZ153" t="str" cm="1">
        <f t="array" ref="AZ153">IF(LOWER(H153)=_xlfn.XLOOKUP($B153,VmSpecs[[#All],[VM Name]],VmSpecs[[#All],[Availability Set Name]],"Failed",0,1),"Pass","Fail")</f>
        <v>Fail</v>
      </c>
      <c r="BA153" t="str" cm="1">
        <f t="array" ref="BA153">IF(J153=_xlfn.XLOOKUP($B153,VmSpecs[[#All],[VM Name]],VmSpecs[[#All],[Virtual Network]],"Failed",0,1),"Pass","Fail")</f>
        <v>Fail</v>
      </c>
      <c r="BB153" t="str" cm="1">
        <f t="array" ref="BB153">IF(K153=_xlfn.XLOOKUP($B153,VmSpecs[[#All],[VM Name]],VmSpecs[[#All],[Subnet]],"Failed",0,1),"Pass","Fail")</f>
        <v>Fail</v>
      </c>
      <c r="BC153" t="str" cm="1">
        <f t="array" ref="BC153">IF(M153=_xlfn.XLOOKUP($B153,VmSpecs[[#All],[VM Name]],VmSpecs[[#All],[IP]],"Failed",0,1),"Pass","Fail")</f>
        <v>Fail</v>
      </c>
      <c r="BD153" t="str" cm="1">
        <f t="array" ref="BD153">IF(N153=_xlfn.XLOOKUP($B153,VmSpecs[[#All],[VM Name]],VmSpecs[[#All],[Network Security Group]],"Failed",0,1),"Pass","Fail")</f>
        <v>Fail</v>
      </c>
      <c r="BE153" t="str" cm="1">
        <f t="array" ref="BE153">IF(O153=_xlfn.XLOOKUP($B153,VmSpecs[[#All],[VM Name]],VmSpecs[[#All],[Route Table Name]],"Failed",0,1),"Pass","Fail")</f>
        <v>Fail</v>
      </c>
      <c r="BF153" t="str" cm="1">
        <f t="array" ref="BF153">IF(P153=_xlfn.XLOOKUP($B153,VmSpecs[[#All],[VM Name]],VmSpecs[[#All],[Operating System]],"Failed",0,1),"Pass","Fail")</f>
        <v>Fail</v>
      </c>
      <c r="BG153" t="str" cm="1">
        <f t="array" ref="BG153">IF(R153=_xlfn.XLOOKUP($B153,VmSpecs[[#All],[VM Name]],VmSpecs[[#All],[NIC name]],"Failed",0,1),"Pass","Fail")</f>
        <v>Fail</v>
      </c>
      <c r="BH153" t="str" cm="1">
        <f t="array" ref="BH153">IF(U153=_xlfn.XLOOKUP($B153,VmSpecs[[#All],[VM Name]],VmSpecs[[#All],[OS Disk Name]],"Failed",0,1),"Pass","Fail")</f>
        <v>Fail</v>
      </c>
      <c r="BI153" t="str" cm="1">
        <f t="array" ref="BI153">IF(W153=_xlfn.XLOOKUP($B153,VmSpecs[[#All],[VM Name]],VmSpecs[[#All],[OS Disk Size]],"Failed",0,1),"Pass","Fail")</f>
        <v>Fail</v>
      </c>
      <c r="BJ153" t="str" cm="1">
        <f t="array" ref="BJ153">IF(LEFT(X153,4)=LEFT(_xlfn.XLOOKUP($B153,VmSpecs[[#All],[VM Name]],VmSpecs[[#All],[OS Disk Type (Standard SSD etc)]],"Failed",0,1),4),"Pass","Fail")</f>
        <v>Fail</v>
      </c>
      <c r="BK153" t="str" cm="1">
        <f t="array" ref="BK153">IF(Z153=_xlfn.XLOOKUP($B153,VmSpecs[[#All],[VM Name]],VmSpecs[[#All],[Data Disk1 Name]],"Failed",0,1),"Pass","Fail")</f>
        <v>Fail</v>
      </c>
      <c r="BL153" t="str" cm="1">
        <f t="array" ref="BL153">IF(AA153=_xlfn.XLOOKUP($B153,VmSpecs[[#All],[VM Name]],VmSpecs[[#All],[Data Disk1 Size]],"Failed",0,1),"Pass","Fail")</f>
        <v>Fail</v>
      </c>
      <c r="BM153" t="str" cm="1">
        <f t="array" ref="BM153">IF(LEFT(AC153,4)=LEFT(_xlfn.XLOOKUP($B153,VmSpecs[[#All],[VM Name]],VmSpecs[[#All],[Data Disk1 Type]],"Failed",0,1),4),"Pass","Fail")</f>
        <v>Fail</v>
      </c>
      <c r="BO153" t="e">
        <f>VLOOKUP('VM Specs'!K153,'As Built'!B:B,1,FALSE)</f>
        <v>#N/A</v>
      </c>
      <c r="BP153" t="str">
        <f>IF(ISNA(Table613[[#This Row],[VM Build Sheet Check]]),'VM Specs'!K153,"")</f>
        <v>vmpfbpf2olg14</v>
      </c>
    </row>
    <row r="154" spans="1:68" ht="33" customHeight="1" x14ac:dyDescent="0.35">
      <c r="A154" t="str">
        <f>IF(COUNTIF(AsBuilt[[#This Row],[VM Check]:[Data Disk 1 Type Check]],"Fail")&gt;0,"Fail","Pass")</f>
        <v>Fail</v>
      </c>
      <c r="B154" t="s">
        <v>1821</v>
      </c>
      <c r="C154" t="s">
        <v>754</v>
      </c>
      <c r="D154" t="s">
        <v>755</v>
      </c>
      <c r="E154" t="s">
        <v>756</v>
      </c>
      <c r="F154" t="s">
        <v>801</v>
      </c>
      <c r="G154" t="s">
        <v>758</v>
      </c>
      <c r="H154" t="s">
        <v>1723</v>
      </c>
      <c r="J154" t="s">
        <v>760</v>
      </c>
      <c r="K154" t="s">
        <v>761</v>
      </c>
      <c r="L154" t="s">
        <v>754</v>
      </c>
      <c r="M154" t="s">
        <v>1822</v>
      </c>
      <c r="N154" t="s">
        <v>763</v>
      </c>
      <c r="O154" t="s">
        <v>764</v>
      </c>
      <c r="P154" t="s">
        <v>63</v>
      </c>
      <c r="R154" t="s">
        <v>1823</v>
      </c>
      <c r="S154" t="s">
        <v>754</v>
      </c>
      <c r="U154" t="s">
        <v>1824</v>
      </c>
      <c r="V154" t="s">
        <v>767</v>
      </c>
      <c r="W154">
        <v>64</v>
      </c>
      <c r="X154" t="s">
        <v>768</v>
      </c>
      <c r="Y154">
        <v>2</v>
      </c>
      <c r="Z154" t="s">
        <v>1825</v>
      </c>
      <c r="AA154">
        <v>8</v>
      </c>
      <c r="AB154" t="s">
        <v>770</v>
      </c>
      <c r="AC154" t="s">
        <v>768</v>
      </c>
      <c r="AD154" t="s">
        <v>1826</v>
      </c>
      <c r="AE154">
        <v>32</v>
      </c>
      <c r="AF154" t="s">
        <v>770</v>
      </c>
      <c r="AG154" t="s">
        <v>768</v>
      </c>
      <c r="AT154" t="s">
        <v>772</v>
      </c>
      <c r="AU154" t="s">
        <v>1827</v>
      </c>
      <c r="AV154" t="str" cm="1">
        <f t="array" ref="AV154">IF(B154=_xlfn.XLOOKUP(B154,VmSpecs[[#All],[VM Name]],VmSpecs[[#All],[VM Name]],"Failed",0,1),"Pass","Fail")</f>
        <v>Fail</v>
      </c>
      <c r="AW154" t="str" cm="1">
        <f t="array" ref="AW154">IF(D154=_xlfn.XLOOKUP($B154,VmSpecs[[#All],[VM Name]],VmSpecs[[#All],[Virtual Machine Resource Groups]],"Failed",0,1),"Pass","Fail")</f>
        <v>Fail</v>
      </c>
      <c r="AX154" t="str" cm="1">
        <f t="array" ref="AX154">IF(_xlfn.IFS(E154="australiacentral","Australia Central 1",E154="australiaeast","Australia East",E154="australiasoutheast","Australia SouthEast")=_xlfn.XLOOKUP($B154,VmSpecs[[#All],[VM Name]],VmSpecs[[#All],[Region]],"Failed",0,1),"Pass","Fail")</f>
        <v>Fail</v>
      </c>
      <c r="AY154" t="str" cm="1">
        <f t="array" ref="AY154">IF(F154=_xlfn.XLOOKUP($B154,VmSpecs[[#All],[VM Name]],VmSpecs[[#All],[Instance size]],"Failed",0,1),"Pass","Fail")</f>
        <v>Fail</v>
      </c>
      <c r="AZ154" t="str" cm="1">
        <f t="array" ref="AZ154">IF(LOWER(H154)=_xlfn.XLOOKUP($B154,VmSpecs[[#All],[VM Name]],VmSpecs[[#All],[Availability Set Name]],"Failed",0,1),"Pass","Fail")</f>
        <v>Fail</v>
      </c>
      <c r="BA154" t="str" cm="1">
        <f t="array" ref="BA154">IF(J154=_xlfn.XLOOKUP($B154,VmSpecs[[#All],[VM Name]],VmSpecs[[#All],[Virtual Network]],"Failed",0,1),"Pass","Fail")</f>
        <v>Fail</v>
      </c>
      <c r="BB154" t="str" cm="1">
        <f t="array" ref="BB154">IF(K154=_xlfn.XLOOKUP($B154,VmSpecs[[#All],[VM Name]],VmSpecs[[#All],[Subnet]],"Failed",0,1),"Pass","Fail")</f>
        <v>Fail</v>
      </c>
      <c r="BC154" t="str" cm="1">
        <f t="array" ref="BC154">IF(M154=_xlfn.XLOOKUP($B154,VmSpecs[[#All],[VM Name]],VmSpecs[[#All],[IP]],"Failed",0,1),"Pass","Fail")</f>
        <v>Fail</v>
      </c>
      <c r="BD154" t="str" cm="1">
        <f t="array" ref="BD154">IF(N154=_xlfn.XLOOKUP($B154,VmSpecs[[#All],[VM Name]],VmSpecs[[#All],[Network Security Group]],"Failed",0,1),"Pass","Fail")</f>
        <v>Fail</v>
      </c>
      <c r="BE154" t="str" cm="1">
        <f t="array" ref="BE154">IF(O154=_xlfn.XLOOKUP($B154,VmSpecs[[#All],[VM Name]],VmSpecs[[#All],[Route Table Name]],"Failed",0,1),"Pass","Fail")</f>
        <v>Fail</v>
      </c>
      <c r="BF154" t="str" cm="1">
        <f t="array" ref="BF154">IF(P154=_xlfn.XLOOKUP($B154,VmSpecs[[#All],[VM Name]],VmSpecs[[#All],[Operating System]],"Failed",0,1),"Pass","Fail")</f>
        <v>Fail</v>
      </c>
      <c r="BG154" t="str" cm="1">
        <f t="array" ref="BG154">IF(R154=_xlfn.XLOOKUP($B154,VmSpecs[[#All],[VM Name]],VmSpecs[[#All],[NIC name]],"Failed",0,1),"Pass","Fail")</f>
        <v>Fail</v>
      </c>
      <c r="BH154" t="str" cm="1">
        <f t="array" ref="BH154">IF(U154=_xlfn.XLOOKUP($B154,VmSpecs[[#All],[VM Name]],VmSpecs[[#All],[OS Disk Name]],"Failed",0,1),"Pass","Fail")</f>
        <v>Fail</v>
      </c>
      <c r="BI154" t="str" cm="1">
        <f t="array" ref="BI154">IF(W154=_xlfn.XLOOKUP($B154,VmSpecs[[#All],[VM Name]],VmSpecs[[#All],[OS Disk Size]],"Failed",0,1),"Pass","Fail")</f>
        <v>Fail</v>
      </c>
      <c r="BJ154" t="str" cm="1">
        <f t="array" ref="BJ154">IF(LEFT(X154,4)=LEFT(_xlfn.XLOOKUP($B154,VmSpecs[[#All],[VM Name]],VmSpecs[[#All],[OS Disk Type (Standard SSD etc)]],"Failed",0,1),4),"Pass","Fail")</f>
        <v>Fail</v>
      </c>
      <c r="BK154" t="str" cm="1">
        <f t="array" ref="BK154">IF(Z154=_xlfn.XLOOKUP($B154,VmSpecs[[#All],[VM Name]],VmSpecs[[#All],[Data Disk1 Name]],"Failed",0,1),"Pass","Fail")</f>
        <v>Fail</v>
      </c>
      <c r="BL154" t="str" cm="1">
        <f t="array" ref="BL154">IF(AA154=_xlfn.XLOOKUP($B154,VmSpecs[[#All],[VM Name]],VmSpecs[[#All],[Data Disk1 Size]],"Failed",0,1),"Pass","Fail")</f>
        <v>Fail</v>
      </c>
      <c r="BM154" t="str" cm="1">
        <f t="array" ref="BM154">IF(LEFT(AC154,4)=LEFT(_xlfn.XLOOKUP($B154,VmSpecs[[#All],[VM Name]],VmSpecs[[#All],[Data Disk1 Type]],"Failed",0,1),4),"Pass","Fail")</f>
        <v>Fail</v>
      </c>
      <c r="BO154" t="e">
        <f>VLOOKUP('VM Specs'!K154,'As Built'!B:B,1,FALSE)</f>
        <v>#N/A</v>
      </c>
      <c r="BP154" t="str">
        <f>IF(ISNA(Table613[[#This Row],[VM Build Sheet Check]]),'VM Specs'!K154,"")</f>
        <v>vmpfbpf2olg15</v>
      </c>
    </row>
    <row r="155" spans="1:68" ht="33" customHeight="1" x14ac:dyDescent="0.35">
      <c r="A155" t="str">
        <f>IF(COUNTIF(AsBuilt[[#This Row],[VM Check]:[Data Disk 1 Type Check]],"Fail")&gt;0,"Fail","Pass")</f>
        <v>Fail</v>
      </c>
      <c r="B155" t="s">
        <v>1828</v>
      </c>
      <c r="C155" t="s">
        <v>754</v>
      </c>
      <c r="D155" t="s">
        <v>755</v>
      </c>
      <c r="E155" t="s">
        <v>756</v>
      </c>
      <c r="F155" t="s">
        <v>801</v>
      </c>
      <c r="G155" t="s">
        <v>758</v>
      </c>
      <c r="H155" t="s">
        <v>1723</v>
      </c>
      <c r="J155" t="s">
        <v>760</v>
      </c>
      <c r="K155" t="s">
        <v>761</v>
      </c>
      <c r="L155" t="s">
        <v>754</v>
      </c>
      <c r="M155" t="s">
        <v>1829</v>
      </c>
      <c r="N155" t="s">
        <v>763</v>
      </c>
      <c r="O155" t="s">
        <v>764</v>
      </c>
      <c r="P155" t="s">
        <v>63</v>
      </c>
      <c r="R155" t="s">
        <v>1830</v>
      </c>
      <c r="S155" t="s">
        <v>754</v>
      </c>
      <c r="U155" t="s">
        <v>1831</v>
      </c>
      <c r="V155" t="s">
        <v>767</v>
      </c>
      <c r="W155">
        <v>64</v>
      </c>
      <c r="X155" t="s">
        <v>768</v>
      </c>
      <c r="Y155">
        <v>2</v>
      </c>
      <c r="Z155" t="s">
        <v>1832</v>
      </c>
      <c r="AA155">
        <v>8</v>
      </c>
      <c r="AB155" t="s">
        <v>770</v>
      </c>
      <c r="AC155" t="s">
        <v>768</v>
      </c>
      <c r="AD155" t="s">
        <v>1833</v>
      </c>
      <c r="AE155">
        <v>32</v>
      </c>
      <c r="AF155" t="s">
        <v>770</v>
      </c>
      <c r="AG155" t="s">
        <v>768</v>
      </c>
      <c r="AT155" t="s">
        <v>772</v>
      </c>
      <c r="AU155" t="s">
        <v>1834</v>
      </c>
      <c r="AV155" t="str" cm="1">
        <f t="array" ref="AV155">IF(B155=_xlfn.XLOOKUP(B155,VmSpecs[[#All],[VM Name]],VmSpecs[[#All],[VM Name]],"Failed",0,1),"Pass","Fail")</f>
        <v>Fail</v>
      </c>
      <c r="AW155" t="str" cm="1">
        <f t="array" ref="AW155">IF(D155=_xlfn.XLOOKUP($B155,VmSpecs[[#All],[VM Name]],VmSpecs[[#All],[Virtual Machine Resource Groups]],"Failed",0,1),"Pass","Fail")</f>
        <v>Fail</v>
      </c>
      <c r="AX155" t="str" cm="1">
        <f t="array" ref="AX155">IF(_xlfn.IFS(E155="australiacentral","Australia Central 1",E155="australiaeast","Australia East",E155="australiasoutheast","Australia SouthEast")=_xlfn.XLOOKUP($B155,VmSpecs[[#All],[VM Name]],VmSpecs[[#All],[Region]],"Failed",0,1),"Pass","Fail")</f>
        <v>Fail</v>
      </c>
      <c r="AY155" t="str" cm="1">
        <f t="array" ref="AY155">IF(F155=_xlfn.XLOOKUP($B155,VmSpecs[[#All],[VM Name]],VmSpecs[[#All],[Instance size]],"Failed",0,1),"Pass","Fail")</f>
        <v>Fail</v>
      </c>
      <c r="AZ155" t="str" cm="1">
        <f t="array" ref="AZ155">IF(LOWER(H155)=_xlfn.XLOOKUP($B155,VmSpecs[[#All],[VM Name]],VmSpecs[[#All],[Availability Set Name]],"Failed",0,1),"Pass","Fail")</f>
        <v>Fail</v>
      </c>
      <c r="BA155" t="str" cm="1">
        <f t="array" ref="BA155">IF(J155=_xlfn.XLOOKUP($B155,VmSpecs[[#All],[VM Name]],VmSpecs[[#All],[Virtual Network]],"Failed",0,1),"Pass","Fail")</f>
        <v>Fail</v>
      </c>
      <c r="BB155" t="str" cm="1">
        <f t="array" ref="BB155">IF(K155=_xlfn.XLOOKUP($B155,VmSpecs[[#All],[VM Name]],VmSpecs[[#All],[Subnet]],"Failed",0,1),"Pass","Fail")</f>
        <v>Fail</v>
      </c>
      <c r="BC155" t="str" cm="1">
        <f t="array" ref="BC155">IF(M155=_xlfn.XLOOKUP($B155,VmSpecs[[#All],[VM Name]],VmSpecs[[#All],[IP]],"Failed",0,1),"Pass","Fail")</f>
        <v>Fail</v>
      </c>
      <c r="BD155" t="str" cm="1">
        <f t="array" ref="BD155">IF(N155=_xlfn.XLOOKUP($B155,VmSpecs[[#All],[VM Name]],VmSpecs[[#All],[Network Security Group]],"Failed",0,1),"Pass","Fail")</f>
        <v>Fail</v>
      </c>
      <c r="BE155" t="str" cm="1">
        <f t="array" ref="BE155">IF(O155=_xlfn.XLOOKUP($B155,VmSpecs[[#All],[VM Name]],VmSpecs[[#All],[Route Table Name]],"Failed",0,1),"Pass","Fail")</f>
        <v>Fail</v>
      </c>
      <c r="BF155" t="str" cm="1">
        <f t="array" ref="BF155">IF(P155=_xlfn.XLOOKUP($B155,VmSpecs[[#All],[VM Name]],VmSpecs[[#All],[Operating System]],"Failed",0,1),"Pass","Fail")</f>
        <v>Fail</v>
      </c>
      <c r="BG155" t="str" cm="1">
        <f t="array" ref="BG155">IF(R155=_xlfn.XLOOKUP($B155,VmSpecs[[#All],[VM Name]],VmSpecs[[#All],[NIC name]],"Failed",0,1),"Pass","Fail")</f>
        <v>Fail</v>
      </c>
      <c r="BH155" t="str" cm="1">
        <f t="array" ref="BH155">IF(U155=_xlfn.XLOOKUP($B155,VmSpecs[[#All],[VM Name]],VmSpecs[[#All],[OS Disk Name]],"Failed",0,1),"Pass","Fail")</f>
        <v>Fail</v>
      </c>
      <c r="BI155" t="str" cm="1">
        <f t="array" ref="BI155">IF(W155=_xlfn.XLOOKUP($B155,VmSpecs[[#All],[VM Name]],VmSpecs[[#All],[OS Disk Size]],"Failed",0,1),"Pass","Fail")</f>
        <v>Fail</v>
      </c>
      <c r="BJ155" t="str" cm="1">
        <f t="array" ref="BJ155">IF(LEFT(X155,4)=LEFT(_xlfn.XLOOKUP($B155,VmSpecs[[#All],[VM Name]],VmSpecs[[#All],[OS Disk Type (Standard SSD etc)]],"Failed",0,1),4),"Pass","Fail")</f>
        <v>Fail</v>
      </c>
      <c r="BK155" t="str" cm="1">
        <f t="array" ref="BK155">IF(Z155=_xlfn.XLOOKUP($B155,VmSpecs[[#All],[VM Name]],VmSpecs[[#All],[Data Disk1 Name]],"Failed",0,1),"Pass","Fail")</f>
        <v>Fail</v>
      </c>
      <c r="BL155" t="str" cm="1">
        <f t="array" ref="BL155">IF(AA155=_xlfn.XLOOKUP($B155,VmSpecs[[#All],[VM Name]],VmSpecs[[#All],[Data Disk1 Size]],"Failed",0,1),"Pass","Fail")</f>
        <v>Fail</v>
      </c>
      <c r="BM155" t="str" cm="1">
        <f t="array" ref="BM155">IF(LEFT(AC155,4)=LEFT(_xlfn.XLOOKUP($B155,VmSpecs[[#All],[VM Name]],VmSpecs[[#All],[Data Disk1 Type]],"Failed",0,1),4),"Pass","Fail")</f>
        <v>Fail</v>
      </c>
      <c r="BO155" t="e">
        <f>VLOOKUP('VM Specs'!K155,'As Built'!B:B,1,FALSE)</f>
        <v>#N/A</v>
      </c>
      <c r="BP155" t="str">
        <f>IF(ISNA(Table613[[#This Row],[VM Build Sheet Check]]),'VM Specs'!K155,"")</f>
        <v>vmpfbpf2olg16</v>
      </c>
    </row>
    <row r="156" spans="1:68" ht="33" customHeight="1" x14ac:dyDescent="0.35">
      <c r="A156" t="str">
        <f>IF(COUNTIF(AsBuilt[[#This Row],[VM Check]:[Data Disk 1 Type Check]],"Fail")&gt;0,"Fail","Pass")</f>
        <v>Fail</v>
      </c>
      <c r="B156" t="s">
        <v>1835</v>
      </c>
      <c r="C156" t="s">
        <v>754</v>
      </c>
      <c r="D156" t="s">
        <v>755</v>
      </c>
      <c r="E156" t="s">
        <v>756</v>
      </c>
      <c r="F156" t="s">
        <v>801</v>
      </c>
      <c r="G156" t="s">
        <v>758</v>
      </c>
      <c r="H156" t="s">
        <v>1723</v>
      </c>
      <c r="J156" t="s">
        <v>760</v>
      </c>
      <c r="K156" t="s">
        <v>761</v>
      </c>
      <c r="L156" t="s">
        <v>754</v>
      </c>
      <c r="M156" t="s">
        <v>1836</v>
      </c>
      <c r="N156" t="s">
        <v>763</v>
      </c>
      <c r="O156" t="s">
        <v>764</v>
      </c>
      <c r="P156" t="s">
        <v>63</v>
      </c>
      <c r="R156" t="s">
        <v>1837</v>
      </c>
      <c r="S156" t="s">
        <v>754</v>
      </c>
      <c r="U156" t="s">
        <v>1838</v>
      </c>
      <c r="V156" t="s">
        <v>767</v>
      </c>
      <c r="W156">
        <v>64</v>
      </c>
      <c r="X156" t="s">
        <v>768</v>
      </c>
      <c r="Y156">
        <v>2</v>
      </c>
      <c r="Z156" t="s">
        <v>1839</v>
      </c>
      <c r="AA156">
        <v>8</v>
      </c>
      <c r="AB156" t="s">
        <v>770</v>
      </c>
      <c r="AC156" t="s">
        <v>768</v>
      </c>
      <c r="AD156" t="s">
        <v>1840</v>
      </c>
      <c r="AE156">
        <v>32</v>
      </c>
      <c r="AF156" t="s">
        <v>770</v>
      </c>
      <c r="AG156" t="s">
        <v>768</v>
      </c>
      <c r="AT156" t="s">
        <v>772</v>
      </c>
      <c r="AU156" t="s">
        <v>1841</v>
      </c>
      <c r="AV156" t="str" cm="1">
        <f t="array" ref="AV156">IF(B156=_xlfn.XLOOKUP(B156,VmSpecs[[#All],[VM Name]],VmSpecs[[#All],[VM Name]],"Failed",0,1),"Pass","Fail")</f>
        <v>Fail</v>
      </c>
      <c r="AW156" t="str" cm="1">
        <f t="array" ref="AW156">IF(D156=_xlfn.XLOOKUP($B156,VmSpecs[[#All],[VM Name]],VmSpecs[[#All],[Virtual Machine Resource Groups]],"Failed",0,1),"Pass","Fail")</f>
        <v>Fail</v>
      </c>
      <c r="AX156" t="str" cm="1">
        <f t="array" ref="AX156">IF(_xlfn.IFS(E156="australiacentral","Australia Central 1",E156="australiaeast","Australia East",E156="australiasoutheast","Australia SouthEast")=_xlfn.XLOOKUP($B156,VmSpecs[[#All],[VM Name]],VmSpecs[[#All],[Region]],"Failed",0,1),"Pass","Fail")</f>
        <v>Fail</v>
      </c>
      <c r="AY156" t="str" cm="1">
        <f t="array" ref="AY156">IF(F156=_xlfn.XLOOKUP($B156,VmSpecs[[#All],[VM Name]],VmSpecs[[#All],[Instance size]],"Failed",0,1),"Pass","Fail")</f>
        <v>Fail</v>
      </c>
      <c r="AZ156" t="str" cm="1">
        <f t="array" ref="AZ156">IF(LOWER(H156)=_xlfn.XLOOKUP($B156,VmSpecs[[#All],[VM Name]],VmSpecs[[#All],[Availability Set Name]],"Failed",0,1),"Pass","Fail")</f>
        <v>Fail</v>
      </c>
      <c r="BA156" t="str" cm="1">
        <f t="array" ref="BA156">IF(J156=_xlfn.XLOOKUP($B156,VmSpecs[[#All],[VM Name]],VmSpecs[[#All],[Virtual Network]],"Failed",0,1),"Pass","Fail")</f>
        <v>Fail</v>
      </c>
      <c r="BB156" t="str" cm="1">
        <f t="array" ref="BB156">IF(K156=_xlfn.XLOOKUP($B156,VmSpecs[[#All],[VM Name]],VmSpecs[[#All],[Subnet]],"Failed",0,1),"Pass","Fail")</f>
        <v>Fail</v>
      </c>
      <c r="BC156" t="str" cm="1">
        <f t="array" ref="BC156">IF(M156=_xlfn.XLOOKUP($B156,VmSpecs[[#All],[VM Name]],VmSpecs[[#All],[IP]],"Failed",0,1),"Pass","Fail")</f>
        <v>Fail</v>
      </c>
      <c r="BD156" t="str" cm="1">
        <f t="array" ref="BD156">IF(N156=_xlfn.XLOOKUP($B156,VmSpecs[[#All],[VM Name]],VmSpecs[[#All],[Network Security Group]],"Failed",0,1),"Pass","Fail")</f>
        <v>Fail</v>
      </c>
      <c r="BE156" t="str" cm="1">
        <f t="array" ref="BE156">IF(O156=_xlfn.XLOOKUP($B156,VmSpecs[[#All],[VM Name]],VmSpecs[[#All],[Route Table Name]],"Failed",0,1),"Pass","Fail")</f>
        <v>Fail</v>
      </c>
      <c r="BF156" t="str" cm="1">
        <f t="array" ref="BF156">IF(P156=_xlfn.XLOOKUP($B156,VmSpecs[[#All],[VM Name]],VmSpecs[[#All],[Operating System]],"Failed",0,1),"Pass","Fail")</f>
        <v>Fail</v>
      </c>
      <c r="BG156" t="str" cm="1">
        <f t="array" ref="BG156">IF(R156=_xlfn.XLOOKUP($B156,VmSpecs[[#All],[VM Name]],VmSpecs[[#All],[NIC name]],"Failed",0,1),"Pass","Fail")</f>
        <v>Fail</v>
      </c>
      <c r="BH156" t="str" cm="1">
        <f t="array" ref="BH156">IF(U156=_xlfn.XLOOKUP($B156,VmSpecs[[#All],[VM Name]],VmSpecs[[#All],[OS Disk Name]],"Failed",0,1),"Pass","Fail")</f>
        <v>Fail</v>
      </c>
      <c r="BI156" t="str" cm="1">
        <f t="array" ref="BI156">IF(W156=_xlfn.XLOOKUP($B156,VmSpecs[[#All],[VM Name]],VmSpecs[[#All],[OS Disk Size]],"Failed",0,1),"Pass","Fail")</f>
        <v>Fail</v>
      </c>
      <c r="BJ156" t="str" cm="1">
        <f t="array" ref="BJ156">IF(LEFT(X156,4)=LEFT(_xlfn.XLOOKUP($B156,VmSpecs[[#All],[VM Name]],VmSpecs[[#All],[OS Disk Type (Standard SSD etc)]],"Failed",0,1),4),"Pass","Fail")</f>
        <v>Fail</v>
      </c>
      <c r="BK156" t="str" cm="1">
        <f t="array" ref="BK156">IF(Z156=_xlfn.XLOOKUP($B156,VmSpecs[[#All],[VM Name]],VmSpecs[[#All],[Data Disk1 Name]],"Failed",0,1),"Pass","Fail")</f>
        <v>Fail</v>
      </c>
      <c r="BL156" t="str" cm="1">
        <f t="array" ref="BL156">IF(AA156=_xlfn.XLOOKUP($B156,VmSpecs[[#All],[VM Name]],VmSpecs[[#All],[Data Disk1 Size]],"Failed",0,1),"Pass","Fail")</f>
        <v>Fail</v>
      </c>
      <c r="BM156" t="str" cm="1">
        <f t="array" ref="BM156">IF(LEFT(AC156,4)=LEFT(_xlfn.XLOOKUP($B156,VmSpecs[[#All],[VM Name]],VmSpecs[[#All],[Data Disk1 Type]],"Failed",0,1),4),"Pass","Fail")</f>
        <v>Fail</v>
      </c>
      <c r="BO156" t="e">
        <f>VLOOKUP('VM Specs'!K156,'As Built'!B:B,1,FALSE)</f>
        <v>#N/A</v>
      </c>
      <c r="BP156" t="str">
        <f>IF(ISNA(Table613[[#This Row],[VM Build Sheet Check]]),'VM Specs'!K156,"")</f>
        <v>vmpfbpf2olg17</v>
      </c>
    </row>
    <row r="157" spans="1:68" ht="33" customHeight="1" x14ac:dyDescent="0.35">
      <c r="A157" t="str">
        <f>IF(COUNTIF(AsBuilt[[#This Row],[VM Check]:[Data Disk 1 Type Check]],"Fail")&gt;0,"Fail","Pass")</f>
        <v>Fail</v>
      </c>
      <c r="B157" t="s">
        <v>1842</v>
      </c>
      <c r="C157" t="s">
        <v>754</v>
      </c>
      <c r="D157" t="s">
        <v>755</v>
      </c>
      <c r="E157" t="s">
        <v>756</v>
      </c>
      <c r="F157" t="s">
        <v>801</v>
      </c>
      <c r="G157" t="s">
        <v>758</v>
      </c>
      <c r="H157" t="s">
        <v>1723</v>
      </c>
      <c r="J157" t="s">
        <v>760</v>
      </c>
      <c r="K157" t="s">
        <v>761</v>
      </c>
      <c r="L157" t="s">
        <v>754</v>
      </c>
      <c r="M157" t="s">
        <v>1843</v>
      </c>
      <c r="N157" t="s">
        <v>763</v>
      </c>
      <c r="O157" t="s">
        <v>764</v>
      </c>
      <c r="P157" t="s">
        <v>63</v>
      </c>
      <c r="R157" t="s">
        <v>1844</v>
      </c>
      <c r="S157" t="s">
        <v>754</v>
      </c>
      <c r="U157" t="s">
        <v>1845</v>
      </c>
      <c r="V157" t="s">
        <v>767</v>
      </c>
      <c r="W157">
        <v>64</v>
      </c>
      <c r="X157" t="s">
        <v>768</v>
      </c>
      <c r="Y157">
        <v>2</v>
      </c>
      <c r="Z157" t="s">
        <v>1846</v>
      </c>
      <c r="AA157">
        <v>8</v>
      </c>
      <c r="AB157" t="s">
        <v>770</v>
      </c>
      <c r="AC157" t="s">
        <v>768</v>
      </c>
      <c r="AD157" t="s">
        <v>1847</v>
      </c>
      <c r="AE157">
        <v>32</v>
      </c>
      <c r="AF157" t="s">
        <v>770</v>
      </c>
      <c r="AG157" t="s">
        <v>768</v>
      </c>
      <c r="AT157" t="s">
        <v>772</v>
      </c>
      <c r="AU157" t="s">
        <v>1848</v>
      </c>
      <c r="AV157" t="str" cm="1">
        <f t="array" ref="AV157">IF(B157=_xlfn.XLOOKUP(B157,VmSpecs[[#All],[VM Name]],VmSpecs[[#All],[VM Name]],"Failed",0,1),"Pass","Fail")</f>
        <v>Fail</v>
      </c>
      <c r="AW157" t="str" cm="1">
        <f t="array" ref="AW157">IF(D157=_xlfn.XLOOKUP($B157,VmSpecs[[#All],[VM Name]],VmSpecs[[#All],[Virtual Machine Resource Groups]],"Failed",0,1),"Pass","Fail")</f>
        <v>Fail</v>
      </c>
      <c r="AX157" t="str" cm="1">
        <f t="array" ref="AX157">IF(_xlfn.IFS(E157="australiacentral","Australia Central 1",E157="australiaeast","Australia East",E157="australiasoutheast","Australia SouthEast")=_xlfn.XLOOKUP($B157,VmSpecs[[#All],[VM Name]],VmSpecs[[#All],[Region]],"Failed",0,1),"Pass","Fail")</f>
        <v>Fail</v>
      </c>
      <c r="AY157" t="str" cm="1">
        <f t="array" ref="AY157">IF(F157=_xlfn.XLOOKUP($B157,VmSpecs[[#All],[VM Name]],VmSpecs[[#All],[Instance size]],"Failed",0,1),"Pass","Fail")</f>
        <v>Fail</v>
      </c>
      <c r="AZ157" t="str" cm="1">
        <f t="array" ref="AZ157">IF(LOWER(H157)=_xlfn.XLOOKUP($B157,VmSpecs[[#All],[VM Name]],VmSpecs[[#All],[Availability Set Name]],"Failed",0,1),"Pass","Fail")</f>
        <v>Fail</v>
      </c>
      <c r="BA157" t="str" cm="1">
        <f t="array" ref="BA157">IF(J157=_xlfn.XLOOKUP($B157,VmSpecs[[#All],[VM Name]],VmSpecs[[#All],[Virtual Network]],"Failed",0,1),"Pass","Fail")</f>
        <v>Fail</v>
      </c>
      <c r="BB157" t="str" cm="1">
        <f t="array" ref="BB157">IF(K157=_xlfn.XLOOKUP($B157,VmSpecs[[#All],[VM Name]],VmSpecs[[#All],[Subnet]],"Failed",0,1),"Pass","Fail")</f>
        <v>Fail</v>
      </c>
      <c r="BC157" t="str" cm="1">
        <f t="array" ref="BC157">IF(M157=_xlfn.XLOOKUP($B157,VmSpecs[[#All],[VM Name]],VmSpecs[[#All],[IP]],"Failed",0,1),"Pass","Fail")</f>
        <v>Fail</v>
      </c>
      <c r="BD157" t="str" cm="1">
        <f t="array" ref="BD157">IF(N157=_xlfn.XLOOKUP($B157,VmSpecs[[#All],[VM Name]],VmSpecs[[#All],[Network Security Group]],"Failed",0,1),"Pass","Fail")</f>
        <v>Fail</v>
      </c>
      <c r="BE157" t="str" cm="1">
        <f t="array" ref="BE157">IF(O157=_xlfn.XLOOKUP($B157,VmSpecs[[#All],[VM Name]],VmSpecs[[#All],[Route Table Name]],"Failed",0,1),"Pass","Fail")</f>
        <v>Fail</v>
      </c>
      <c r="BF157" t="str" cm="1">
        <f t="array" ref="BF157">IF(P157=_xlfn.XLOOKUP($B157,VmSpecs[[#All],[VM Name]],VmSpecs[[#All],[Operating System]],"Failed",0,1),"Pass","Fail")</f>
        <v>Fail</v>
      </c>
      <c r="BG157" t="str" cm="1">
        <f t="array" ref="BG157">IF(R157=_xlfn.XLOOKUP($B157,VmSpecs[[#All],[VM Name]],VmSpecs[[#All],[NIC name]],"Failed",0,1),"Pass","Fail")</f>
        <v>Fail</v>
      </c>
      <c r="BH157" t="str" cm="1">
        <f t="array" ref="BH157">IF(U157=_xlfn.XLOOKUP($B157,VmSpecs[[#All],[VM Name]],VmSpecs[[#All],[OS Disk Name]],"Failed",0,1),"Pass","Fail")</f>
        <v>Fail</v>
      </c>
      <c r="BI157" t="str" cm="1">
        <f t="array" ref="BI157">IF(W157=_xlfn.XLOOKUP($B157,VmSpecs[[#All],[VM Name]],VmSpecs[[#All],[OS Disk Size]],"Failed",0,1),"Pass","Fail")</f>
        <v>Fail</v>
      </c>
      <c r="BJ157" t="str" cm="1">
        <f t="array" ref="BJ157">IF(LEFT(X157,4)=LEFT(_xlfn.XLOOKUP($B157,VmSpecs[[#All],[VM Name]],VmSpecs[[#All],[OS Disk Type (Standard SSD etc)]],"Failed",0,1),4),"Pass","Fail")</f>
        <v>Fail</v>
      </c>
      <c r="BK157" t="str" cm="1">
        <f t="array" ref="BK157">IF(Z157=_xlfn.XLOOKUP($B157,VmSpecs[[#All],[VM Name]],VmSpecs[[#All],[Data Disk1 Name]],"Failed",0,1),"Pass","Fail")</f>
        <v>Fail</v>
      </c>
      <c r="BL157" t="str" cm="1">
        <f t="array" ref="BL157">IF(AA157=_xlfn.XLOOKUP($B157,VmSpecs[[#All],[VM Name]],VmSpecs[[#All],[Data Disk1 Size]],"Failed",0,1),"Pass","Fail")</f>
        <v>Fail</v>
      </c>
      <c r="BM157" t="str" cm="1">
        <f t="array" ref="BM157">IF(LEFT(AC157,4)=LEFT(_xlfn.XLOOKUP($B157,VmSpecs[[#All],[VM Name]],VmSpecs[[#All],[Data Disk1 Type]],"Failed",0,1),4),"Pass","Fail")</f>
        <v>Fail</v>
      </c>
      <c r="BO157" t="e">
        <f>VLOOKUP('VM Specs'!K157,'As Built'!B:B,1,FALSE)</f>
        <v>#N/A</v>
      </c>
      <c r="BP157" t="str">
        <f>IF(ISNA(Table613[[#This Row],[VM Build Sheet Check]]),'VM Specs'!K157,"")</f>
        <v>vmpfbpf2olg18</v>
      </c>
    </row>
    <row r="158" spans="1:68" ht="33" customHeight="1" x14ac:dyDescent="0.35">
      <c r="A158" t="str">
        <f>IF(COUNTIF(AsBuilt[[#This Row],[VM Check]:[Data Disk 1 Type Check]],"Fail")&gt;0,"Fail","Pass")</f>
        <v>Fail</v>
      </c>
      <c r="B158" t="s">
        <v>1849</v>
      </c>
      <c r="C158" t="s">
        <v>754</v>
      </c>
      <c r="D158" t="s">
        <v>755</v>
      </c>
      <c r="E158" t="s">
        <v>756</v>
      </c>
      <c r="F158" t="s">
        <v>801</v>
      </c>
      <c r="G158" t="s">
        <v>758</v>
      </c>
      <c r="H158" t="s">
        <v>1723</v>
      </c>
      <c r="J158" t="s">
        <v>760</v>
      </c>
      <c r="K158" t="s">
        <v>761</v>
      </c>
      <c r="L158" t="s">
        <v>754</v>
      </c>
      <c r="M158" t="s">
        <v>1850</v>
      </c>
      <c r="N158" t="s">
        <v>763</v>
      </c>
      <c r="O158" t="s">
        <v>764</v>
      </c>
      <c r="P158" t="s">
        <v>63</v>
      </c>
      <c r="R158" t="s">
        <v>1851</v>
      </c>
      <c r="S158" t="s">
        <v>754</v>
      </c>
      <c r="U158" t="s">
        <v>1852</v>
      </c>
      <c r="V158" t="s">
        <v>767</v>
      </c>
      <c r="W158">
        <v>64</v>
      </c>
      <c r="X158" t="s">
        <v>768</v>
      </c>
      <c r="Y158">
        <v>2</v>
      </c>
      <c r="Z158" t="s">
        <v>1853</v>
      </c>
      <c r="AA158">
        <v>8</v>
      </c>
      <c r="AB158" t="s">
        <v>770</v>
      </c>
      <c r="AC158" t="s">
        <v>768</v>
      </c>
      <c r="AD158" t="s">
        <v>1854</v>
      </c>
      <c r="AE158">
        <v>32</v>
      </c>
      <c r="AF158" t="s">
        <v>770</v>
      </c>
      <c r="AG158" t="s">
        <v>768</v>
      </c>
      <c r="AT158" t="s">
        <v>772</v>
      </c>
      <c r="AU158" t="s">
        <v>1855</v>
      </c>
      <c r="AV158" t="str" cm="1">
        <f t="array" ref="AV158">IF(B158=_xlfn.XLOOKUP(B158,VmSpecs[[#All],[VM Name]],VmSpecs[[#All],[VM Name]],"Failed",0,1),"Pass","Fail")</f>
        <v>Fail</v>
      </c>
      <c r="AW158" t="str" cm="1">
        <f t="array" ref="AW158">IF(D158=_xlfn.XLOOKUP($B158,VmSpecs[[#All],[VM Name]],VmSpecs[[#All],[Virtual Machine Resource Groups]],"Failed",0,1),"Pass","Fail")</f>
        <v>Fail</v>
      </c>
      <c r="AX158" t="str" cm="1">
        <f t="array" ref="AX158">IF(_xlfn.IFS(E158="australiacentral","Australia Central 1",E158="australiaeast","Australia East",E158="australiasoutheast","Australia SouthEast")=_xlfn.XLOOKUP($B158,VmSpecs[[#All],[VM Name]],VmSpecs[[#All],[Region]],"Failed",0,1),"Pass","Fail")</f>
        <v>Fail</v>
      </c>
      <c r="AY158" t="str" cm="1">
        <f t="array" ref="AY158">IF(F158=_xlfn.XLOOKUP($B158,VmSpecs[[#All],[VM Name]],VmSpecs[[#All],[Instance size]],"Failed",0,1),"Pass","Fail")</f>
        <v>Fail</v>
      </c>
      <c r="AZ158" t="str" cm="1">
        <f t="array" ref="AZ158">IF(LOWER(H158)=_xlfn.XLOOKUP($B158,VmSpecs[[#All],[VM Name]],VmSpecs[[#All],[Availability Set Name]],"Failed",0,1),"Pass","Fail")</f>
        <v>Fail</v>
      </c>
      <c r="BA158" t="str" cm="1">
        <f t="array" ref="BA158">IF(J158=_xlfn.XLOOKUP($B158,VmSpecs[[#All],[VM Name]],VmSpecs[[#All],[Virtual Network]],"Failed",0,1),"Pass","Fail")</f>
        <v>Fail</v>
      </c>
      <c r="BB158" t="str" cm="1">
        <f t="array" ref="BB158">IF(K158=_xlfn.XLOOKUP($B158,VmSpecs[[#All],[VM Name]],VmSpecs[[#All],[Subnet]],"Failed",0,1),"Pass","Fail")</f>
        <v>Fail</v>
      </c>
      <c r="BC158" t="str" cm="1">
        <f t="array" ref="BC158">IF(M158=_xlfn.XLOOKUP($B158,VmSpecs[[#All],[VM Name]],VmSpecs[[#All],[IP]],"Failed",0,1),"Pass","Fail")</f>
        <v>Fail</v>
      </c>
      <c r="BD158" t="str" cm="1">
        <f t="array" ref="BD158">IF(N158=_xlfn.XLOOKUP($B158,VmSpecs[[#All],[VM Name]],VmSpecs[[#All],[Network Security Group]],"Failed",0,1),"Pass","Fail")</f>
        <v>Fail</v>
      </c>
      <c r="BE158" t="str" cm="1">
        <f t="array" ref="BE158">IF(O158=_xlfn.XLOOKUP($B158,VmSpecs[[#All],[VM Name]],VmSpecs[[#All],[Route Table Name]],"Failed",0,1),"Pass","Fail")</f>
        <v>Fail</v>
      </c>
      <c r="BF158" t="str" cm="1">
        <f t="array" ref="BF158">IF(P158=_xlfn.XLOOKUP($B158,VmSpecs[[#All],[VM Name]],VmSpecs[[#All],[Operating System]],"Failed",0,1),"Pass","Fail")</f>
        <v>Fail</v>
      </c>
      <c r="BG158" t="str" cm="1">
        <f t="array" ref="BG158">IF(R158=_xlfn.XLOOKUP($B158,VmSpecs[[#All],[VM Name]],VmSpecs[[#All],[NIC name]],"Failed",0,1),"Pass","Fail")</f>
        <v>Fail</v>
      </c>
      <c r="BH158" t="str" cm="1">
        <f t="array" ref="BH158">IF(U158=_xlfn.XLOOKUP($B158,VmSpecs[[#All],[VM Name]],VmSpecs[[#All],[OS Disk Name]],"Failed",0,1),"Pass","Fail")</f>
        <v>Fail</v>
      </c>
      <c r="BI158" t="str" cm="1">
        <f t="array" ref="BI158">IF(W158=_xlfn.XLOOKUP($B158,VmSpecs[[#All],[VM Name]],VmSpecs[[#All],[OS Disk Size]],"Failed",0,1),"Pass","Fail")</f>
        <v>Fail</v>
      </c>
      <c r="BJ158" t="str" cm="1">
        <f t="array" ref="BJ158">IF(LEFT(X158,4)=LEFT(_xlfn.XLOOKUP($B158,VmSpecs[[#All],[VM Name]],VmSpecs[[#All],[OS Disk Type (Standard SSD etc)]],"Failed",0,1),4),"Pass","Fail")</f>
        <v>Fail</v>
      </c>
      <c r="BK158" t="str" cm="1">
        <f t="array" ref="BK158">IF(Z158=_xlfn.XLOOKUP($B158,VmSpecs[[#All],[VM Name]],VmSpecs[[#All],[Data Disk1 Name]],"Failed",0,1),"Pass","Fail")</f>
        <v>Fail</v>
      </c>
      <c r="BL158" t="str" cm="1">
        <f t="array" ref="BL158">IF(AA158=_xlfn.XLOOKUP($B158,VmSpecs[[#All],[VM Name]],VmSpecs[[#All],[Data Disk1 Size]],"Failed",0,1),"Pass","Fail")</f>
        <v>Fail</v>
      </c>
      <c r="BM158" t="str" cm="1">
        <f t="array" ref="BM158">IF(LEFT(AC158,4)=LEFT(_xlfn.XLOOKUP($B158,VmSpecs[[#All],[VM Name]],VmSpecs[[#All],[Data Disk1 Type]],"Failed",0,1),4),"Pass","Fail")</f>
        <v>Fail</v>
      </c>
      <c r="BO158" t="e">
        <f>VLOOKUP('VM Specs'!K158,'As Built'!B:B,1,FALSE)</f>
        <v>#N/A</v>
      </c>
      <c r="BP158" t="str">
        <f>IF(ISNA(Table613[[#This Row],[VM Build Sheet Check]]),'VM Specs'!K158,"")</f>
        <v>vmpfbpf2olg19</v>
      </c>
    </row>
    <row r="159" spans="1:68" ht="33" customHeight="1" x14ac:dyDescent="0.35">
      <c r="A159" t="str">
        <f>IF(COUNTIF(AsBuilt[[#This Row],[VM Check]:[Data Disk 1 Type Check]],"Fail")&gt;0,"Fail","Pass")</f>
        <v>Fail</v>
      </c>
      <c r="B159" t="s">
        <v>1856</v>
      </c>
      <c r="C159" t="s">
        <v>754</v>
      </c>
      <c r="D159" t="s">
        <v>755</v>
      </c>
      <c r="E159" t="s">
        <v>756</v>
      </c>
      <c r="F159" t="s">
        <v>801</v>
      </c>
      <c r="G159" t="s">
        <v>758</v>
      </c>
      <c r="H159" t="s">
        <v>1723</v>
      </c>
      <c r="J159" t="s">
        <v>760</v>
      </c>
      <c r="K159" t="s">
        <v>761</v>
      </c>
      <c r="L159" t="s">
        <v>754</v>
      </c>
      <c r="M159" t="s">
        <v>1857</v>
      </c>
      <c r="N159" t="s">
        <v>763</v>
      </c>
      <c r="O159" t="s">
        <v>764</v>
      </c>
      <c r="P159" t="s">
        <v>63</v>
      </c>
      <c r="R159" t="s">
        <v>1858</v>
      </c>
      <c r="S159" t="s">
        <v>754</v>
      </c>
      <c r="U159" t="s">
        <v>1859</v>
      </c>
      <c r="V159" t="s">
        <v>767</v>
      </c>
      <c r="W159">
        <v>64</v>
      </c>
      <c r="X159" t="s">
        <v>768</v>
      </c>
      <c r="Y159">
        <v>2</v>
      </c>
      <c r="Z159" t="s">
        <v>1860</v>
      </c>
      <c r="AA159">
        <v>8</v>
      </c>
      <c r="AB159" t="s">
        <v>770</v>
      </c>
      <c r="AC159" t="s">
        <v>768</v>
      </c>
      <c r="AD159" t="s">
        <v>1861</v>
      </c>
      <c r="AE159">
        <v>32</v>
      </c>
      <c r="AF159" t="s">
        <v>770</v>
      </c>
      <c r="AG159" t="s">
        <v>768</v>
      </c>
      <c r="AT159" t="s">
        <v>772</v>
      </c>
      <c r="AU159" t="s">
        <v>1862</v>
      </c>
      <c r="AV159" t="str" cm="1">
        <f t="array" ref="AV159">IF(B159=_xlfn.XLOOKUP(B159,VmSpecs[[#All],[VM Name]],VmSpecs[[#All],[VM Name]],"Failed",0,1),"Pass","Fail")</f>
        <v>Fail</v>
      </c>
      <c r="AW159" t="str" cm="1">
        <f t="array" ref="AW159">IF(D159=_xlfn.XLOOKUP($B159,VmSpecs[[#All],[VM Name]],VmSpecs[[#All],[Virtual Machine Resource Groups]],"Failed",0,1),"Pass","Fail")</f>
        <v>Fail</v>
      </c>
      <c r="AX159" t="str" cm="1">
        <f t="array" ref="AX159">IF(_xlfn.IFS(E159="australiacentral","Australia Central 1",E159="australiaeast","Australia East",E159="australiasoutheast","Australia SouthEast")=_xlfn.XLOOKUP($B159,VmSpecs[[#All],[VM Name]],VmSpecs[[#All],[Region]],"Failed",0,1),"Pass","Fail")</f>
        <v>Fail</v>
      </c>
      <c r="AY159" t="str" cm="1">
        <f t="array" ref="AY159">IF(F159=_xlfn.XLOOKUP($B159,VmSpecs[[#All],[VM Name]],VmSpecs[[#All],[Instance size]],"Failed",0,1),"Pass","Fail")</f>
        <v>Fail</v>
      </c>
      <c r="AZ159" t="str" cm="1">
        <f t="array" ref="AZ159">IF(LOWER(H159)=_xlfn.XLOOKUP($B159,VmSpecs[[#All],[VM Name]],VmSpecs[[#All],[Availability Set Name]],"Failed",0,1),"Pass","Fail")</f>
        <v>Fail</v>
      </c>
      <c r="BA159" t="str" cm="1">
        <f t="array" ref="BA159">IF(J159=_xlfn.XLOOKUP($B159,VmSpecs[[#All],[VM Name]],VmSpecs[[#All],[Virtual Network]],"Failed",0,1),"Pass","Fail")</f>
        <v>Fail</v>
      </c>
      <c r="BB159" t="str" cm="1">
        <f t="array" ref="BB159">IF(K159=_xlfn.XLOOKUP($B159,VmSpecs[[#All],[VM Name]],VmSpecs[[#All],[Subnet]],"Failed",0,1),"Pass","Fail")</f>
        <v>Fail</v>
      </c>
      <c r="BC159" t="str" cm="1">
        <f t="array" ref="BC159">IF(M159=_xlfn.XLOOKUP($B159,VmSpecs[[#All],[VM Name]],VmSpecs[[#All],[IP]],"Failed",0,1),"Pass","Fail")</f>
        <v>Fail</v>
      </c>
      <c r="BD159" t="str" cm="1">
        <f t="array" ref="BD159">IF(N159=_xlfn.XLOOKUP($B159,VmSpecs[[#All],[VM Name]],VmSpecs[[#All],[Network Security Group]],"Failed",0,1),"Pass","Fail")</f>
        <v>Fail</v>
      </c>
      <c r="BE159" t="str" cm="1">
        <f t="array" ref="BE159">IF(O159=_xlfn.XLOOKUP($B159,VmSpecs[[#All],[VM Name]],VmSpecs[[#All],[Route Table Name]],"Failed",0,1),"Pass","Fail")</f>
        <v>Fail</v>
      </c>
      <c r="BF159" t="str" cm="1">
        <f t="array" ref="BF159">IF(P159=_xlfn.XLOOKUP($B159,VmSpecs[[#All],[VM Name]],VmSpecs[[#All],[Operating System]],"Failed",0,1),"Pass","Fail")</f>
        <v>Fail</v>
      </c>
      <c r="BG159" t="str" cm="1">
        <f t="array" ref="BG159">IF(R159=_xlfn.XLOOKUP($B159,VmSpecs[[#All],[VM Name]],VmSpecs[[#All],[NIC name]],"Failed",0,1),"Pass","Fail")</f>
        <v>Fail</v>
      </c>
      <c r="BH159" t="str" cm="1">
        <f t="array" ref="BH159">IF(U159=_xlfn.XLOOKUP($B159,VmSpecs[[#All],[VM Name]],VmSpecs[[#All],[OS Disk Name]],"Failed",0,1),"Pass","Fail")</f>
        <v>Fail</v>
      </c>
      <c r="BI159" t="str" cm="1">
        <f t="array" ref="BI159">IF(W159=_xlfn.XLOOKUP($B159,VmSpecs[[#All],[VM Name]],VmSpecs[[#All],[OS Disk Size]],"Failed",0,1),"Pass","Fail")</f>
        <v>Fail</v>
      </c>
      <c r="BJ159" t="str" cm="1">
        <f t="array" ref="BJ159">IF(LEFT(X159,4)=LEFT(_xlfn.XLOOKUP($B159,VmSpecs[[#All],[VM Name]],VmSpecs[[#All],[OS Disk Type (Standard SSD etc)]],"Failed",0,1),4),"Pass","Fail")</f>
        <v>Fail</v>
      </c>
      <c r="BK159" t="str" cm="1">
        <f t="array" ref="BK159">IF(Z159=_xlfn.XLOOKUP($B159,VmSpecs[[#All],[VM Name]],VmSpecs[[#All],[Data Disk1 Name]],"Failed",0,1),"Pass","Fail")</f>
        <v>Fail</v>
      </c>
      <c r="BL159" t="str" cm="1">
        <f t="array" ref="BL159">IF(AA159=_xlfn.XLOOKUP($B159,VmSpecs[[#All],[VM Name]],VmSpecs[[#All],[Data Disk1 Size]],"Failed",0,1),"Pass","Fail")</f>
        <v>Fail</v>
      </c>
      <c r="BM159" t="str" cm="1">
        <f t="array" ref="BM159">IF(LEFT(AC159,4)=LEFT(_xlfn.XLOOKUP($B159,VmSpecs[[#All],[VM Name]],VmSpecs[[#All],[Data Disk1 Type]],"Failed",0,1),4),"Pass","Fail")</f>
        <v>Fail</v>
      </c>
      <c r="BO159" t="e">
        <f>VLOOKUP('VM Specs'!K159,'As Built'!B:B,1,FALSE)</f>
        <v>#N/A</v>
      </c>
      <c r="BP159" t="str">
        <f>IF(ISNA(Table613[[#This Row],[VM Build Sheet Check]]),'VM Specs'!K159,"")</f>
        <v>vmpfbpf2olg20</v>
      </c>
    </row>
    <row r="160" spans="1:68" ht="33" customHeight="1" x14ac:dyDescent="0.35">
      <c r="A160" t="str">
        <f>IF(COUNTIF(AsBuilt[[#This Row],[VM Check]:[Data Disk 1 Type Check]],"Fail")&gt;0,"Fail","Pass")</f>
        <v>Fail</v>
      </c>
      <c r="B160" t="s">
        <v>1863</v>
      </c>
      <c r="C160" t="s">
        <v>754</v>
      </c>
      <c r="D160" t="s">
        <v>755</v>
      </c>
      <c r="E160" t="s">
        <v>756</v>
      </c>
      <c r="F160" t="s">
        <v>801</v>
      </c>
      <c r="G160" t="s">
        <v>758</v>
      </c>
      <c r="H160" t="s">
        <v>1723</v>
      </c>
      <c r="J160" t="s">
        <v>760</v>
      </c>
      <c r="K160" t="s">
        <v>761</v>
      </c>
      <c r="L160" t="s">
        <v>754</v>
      </c>
      <c r="M160" t="s">
        <v>1864</v>
      </c>
      <c r="N160" t="s">
        <v>763</v>
      </c>
      <c r="O160" t="s">
        <v>764</v>
      </c>
      <c r="P160" t="s">
        <v>63</v>
      </c>
      <c r="R160" t="s">
        <v>1865</v>
      </c>
      <c r="S160" t="s">
        <v>754</v>
      </c>
      <c r="U160" t="s">
        <v>1866</v>
      </c>
      <c r="V160" t="s">
        <v>767</v>
      </c>
      <c r="W160">
        <v>64</v>
      </c>
      <c r="X160" t="s">
        <v>768</v>
      </c>
      <c r="Y160">
        <v>2</v>
      </c>
      <c r="Z160" t="s">
        <v>1867</v>
      </c>
      <c r="AA160">
        <v>8</v>
      </c>
      <c r="AB160" t="s">
        <v>770</v>
      </c>
      <c r="AC160" t="s">
        <v>768</v>
      </c>
      <c r="AD160" t="s">
        <v>1868</v>
      </c>
      <c r="AE160">
        <v>32</v>
      </c>
      <c r="AF160" t="s">
        <v>770</v>
      </c>
      <c r="AG160" t="s">
        <v>768</v>
      </c>
      <c r="AT160" t="s">
        <v>772</v>
      </c>
      <c r="AU160" t="s">
        <v>1869</v>
      </c>
      <c r="AV160" t="str" cm="1">
        <f t="array" ref="AV160">IF(B160=_xlfn.XLOOKUP(B160,VmSpecs[[#All],[VM Name]],VmSpecs[[#All],[VM Name]],"Failed",0,1),"Pass","Fail")</f>
        <v>Fail</v>
      </c>
      <c r="AW160" t="str" cm="1">
        <f t="array" ref="AW160">IF(D160=_xlfn.XLOOKUP($B160,VmSpecs[[#All],[VM Name]],VmSpecs[[#All],[Virtual Machine Resource Groups]],"Failed",0,1),"Pass","Fail")</f>
        <v>Fail</v>
      </c>
      <c r="AX160" t="str" cm="1">
        <f t="array" ref="AX160">IF(_xlfn.IFS(E160="australiacentral","Australia Central 1",E160="australiaeast","Australia East",E160="australiasoutheast","Australia SouthEast")=_xlfn.XLOOKUP($B160,VmSpecs[[#All],[VM Name]],VmSpecs[[#All],[Region]],"Failed",0,1),"Pass","Fail")</f>
        <v>Fail</v>
      </c>
      <c r="AY160" t="str" cm="1">
        <f t="array" ref="AY160">IF(F160=_xlfn.XLOOKUP($B160,VmSpecs[[#All],[VM Name]],VmSpecs[[#All],[Instance size]],"Failed",0,1),"Pass","Fail")</f>
        <v>Fail</v>
      </c>
      <c r="AZ160" t="str" cm="1">
        <f t="array" ref="AZ160">IF(LOWER(H160)=_xlfn.XLOOKUP($B160,VmSpecs[[#All],[VM Name]],VmSpecs[[#All],[Availability Set Name]],"Failed",0,1),"Pass","Fail")</f>
        <v>Fail</v>
      </c>
      <c r="BA160" t="str" cm="1">
        <f t="array" ref="BA160">IF(J160=_xlfn.XLOOKUP($B160,VmSpecs[[#All],[VM Name]],VmSpecs[[#All],[Virtual Network]],"Failed",0,1),"Pass","Fail")</f>
        <v>Fail</v>
      </c>
      <c r="BB160" t="str" cm="1">
        <f t="array" ref="BB160">IF(K160=_xlfn.XLOOKUP($B160,VmSpecs[[#All],[VM Name]],VmSpecs[[#All],[Subnet]],"Failed",0,1),"Pass","Fail")</f>
        <v>Fail</v>
      </c>
      <c r="BC160" t="str" cm="1">
        <f t="array" ref="BC160">IF(M160=_xlfn.XLOOKUP($B160,VmSpecs[[#All],[VM Name]],VmSpecs[[#All],[IP]],"Failed",0,1),"Pass","Fail")</f>
        <v>Fail</v>
      </c>
      <c r="BD160" t="str" cm="1">
        <f t="array" ref="BD160">IF(N160=_xlfn.XLOOKUP($B160,VmSpecs[[#All],[VM Name]],VmSpecs[[#All],[Network Security Group]],"Failed",0,1),"Pass","Fail")</f>
        <v>Fail</v>
      </c>
      <c r="BE160" t="str" cm="1">
        <f t="array" ref="BE160">IF(O160=_xlfn.XLOOKUP($B160,VmSpecs[[#All],[VM Name]],VmSpecs[[#All],[Route Table Name]],"Failed",0,1),"Pass","Fail")</f>
        <v>Fail</v>
      </c>
      <c r="BF160" t="str" cm="1">
        <f t="array" ref="BF160">IF(P160=_xlfn.XLOOKUP($B160,VmSpecs[[#All],[VM Name]],VmSpecs[[#All],[Operating System]],"Failed",0,1),"Pass","Fail")</f>
        <v>Fail</v>
      </c>
      <c r="BG160" t="str" cm="1">
        <f t="array" ref="BG160">IF(R160=_xlfn.XLOOKUP($B160,VmSpecs[[#All],[VM Name]],VmSpecs[[#All],[NIC name]],"Failed",0,1),"Pass","Fail")</f>
        <v>Fail</v>
      </c>
      <c r="BH160" t="str" cm="1">
        <f t="array" ref="BH160">IF(U160=_xlfn.XLOOKUP($B160,VmSpecs[[#All],[VM Name]],VmSpecs[[#All],[OS Disk Name]],"Failed",0,1),"Pass","Fail")</f>
        <v>Fail</v>
      </c>
      <c r="BI160" t="str" cm="1">
        <f t="array" ref="BI160">IF(W160=_xlfn.XLOOKUP($B160,VmSpecs[[#All],[VM Name]],VmSpecs[[#All],[OS Disk Size]],"Failed",0,1),"Pass","Fail")</f>
        <v>Fail</v>
      </c>
      <c r="BJ160" t="str" cm="1">
        <f t="array" ref="BJ160">IF(LEFT(X160,4)=LEFT(_xlfn.XLOOKUP($B160,VmSpecs[[#All],[VM Name]],VmSpecs[[#All],[OS Disk Type (Standard SSD etc)]],"Failed",0,1),4),"Pass","Fail")</f>
        <v>Fail</v>
      </c>
      <c r="BK160" t="str" cm="1">
        <f t="array" ref="BK160">IF(Z160=_xlfn.XLOOKUP($B160,VmSpecs[[#All],[VM Name]],VmSpecs[[#All],[Data Disk1 Name]],"Failed",0,1),"Pass","Fail")</f>
        <v>Fail</v>
      </c>
      <c r="BL160" t="str" cm="1">
        <f t="array" ref="BL160">IF(AA160=_xlfn.XLOOKUP($B160,VmSpecs[[#All],[VM Name]],VmSpecs[[#All],[Data Disk1 Size]],"Failed",0,1),"Pass","Fail")</f>
        <v>Fail</v>
      </c>
      <c r="BM160" t="str" cm="1">
        <f t="array" ref="BM160">IF(LEFT(AC160,4)=LEFT(_xlfn.XLOOKUP($B160,VmSpecs[[#All],[VM Name]],VmSpecs[[#All],[Data Disk1 Type]],"Failed",0,1),4),"Pass","Fail")</f>
        <v>Fail</v>
      </c>
      <c r="BO160" t="e">
        <f>VLOOKUP('VM Specs'!K160,'As Built'!B:B,1,FALSE)</f>
        <v>#N/A</v>
      </c>
      <c r="BP160" t="str">
        <f>IF(ISNA(Table613[[#This Row],[VM Build Sheet Check]]),'VM Specs'!K160,"")</f>
        <v>vmpfbpf2olg21</v>
      </c>
    </row>
    <row r="161" spans="1:68" ht="33" customHeight="1" x14ac:dyDescent="0.35">
      <c r="A161" t="str">
        <f>IF(COUNTIF(AsBuilt[[#This Row],[VM Check]:[Data Disk 1 Type Check]],"Fail")&gt;0,"Fail","Pass")</f>
        <v>Fail</v>
      </c>
      <c r="B161" t="s">
        <v>1870</v>
      </c>
      <c r="C161" t="s">
        <v>754</v>
      </c>
      <c r="D161" t="s">
        <v>755</v>
      </c>
      <c r="E161" t="s">
        <v>756</v>
      </c>
      <c r="F161" t="s">
        <v>801</v>
      </c>
      <c r="G161" t="s">
        <v>758</v>
      </c>
      <c r="H161" t="s">
        <v>1723</v>
      </c>
      <c r="J161" t="s">
        <v>760</v>
      </c>
      <c r="K161" t="s">
        <v>761</v>
      </c>
      <c r="L161" t="s">
        <v>754</v>
      </c>
      <c r="M161" t="s">
        <v>1871</v>
      </c>
      <c r="N161" t="s">
        <v>763</v>
      </c>
      <c r="O161" t="s">
        <v>764</v>
      </c>
      <c r="P161" t="s">
        <v>63</v>
      </c>
      <c r="R161" t="s">
        <v>1872</v>
      </c>
      <c r="S161" t="s">
        <v>754</v>
      </c>
      <c r="U161" t="s">
        <v>1873</v>
      </c>
      <c r="V161" t="s">
        <v>767</v>
      </c>
      <c r="W161">
        <v>64</v>
      </c>
      <c r="X161" t="s">
        <v>768</v>
      </c>
      <c r="Y161">
        <v>2</v>
      </c>
      <c r="Z161" t="s">
        <v>1874</v>
      </c>
      <c r="AA161">
        <v>8</v>
      </c>
      <c r="AB161" t="s">
        <v>770</v>
      </c>
      <c r="AC161" t="s">
        <v>768</v>
      </c>
      <c r="AD161" t="s">
        <v>1875</v>
      </c>
      <c r="AE161">
        <v>32</v>
      </c>
      <c r="AF161" t="s">
        <v>770</v>
      </c>
      <c r="AG161" t="s">
        <v>768</v>
      </c>
      <c r="AT161" t="s">
        <v>772</v>
      </c>
      <c r="AU161" t="s">
        <v>1876</v>
      </c>
      <c r="AV161" t="str" cm="1">
        <f t="array" ref="AV161">IF(B161=_xlfn.XLOOKUP(B161,VmSpecs[[#All],[VM Name]],VmSpecs[[#All],[VM Name]],"Failed",0,1),"Pass","Fail")</f>
        <v>Fail</v>
      </c>
      <c r="AW161" t="str" cm="1">
        <f t="array" ref="AW161">IF(D161=_xlfn.XLOOKUP($B161,VmSpecs[[#All],[VM Name]],VmSpecs[[#All],[Virtual Machine Resource Groups]],"Failed",0,1),"Pass","Fail")</f>
        <v>Fail</v>
      </c>
      <c r="AX161" t="str" cm="1">
        <f t="array" ref="AX161">IF(_xlfn.IFS(E161="australiacentral","Australia Central 1",E161="australiaeast","Australia East",E161="australiasoutheast","Australia SouthEast")=_xlfn.XLOOKUP($B161,VmSpecs[[#All],[VM Name]],VmSpecs[[#All],[Region]],"Failed",0,1),"Pass","Fail")</f>
        <v>Fail</v>
      </c>
      <c r="AY161" t="str" cm="1">
        <f t="array" ref="AY161">IF(F161=_xlfn.XLOOKUP($B161,VmSpecs[[#All],[VM Name]],VmSpecs[[#All],[Instance size]],"Failed",0,1),"Pass","Fail")</f>
        <v>Fail</v>
      </c>
      <c r="AZ161" t="str" cm="1">
        <f t="array" ref="AZ161">IF(LOWER(H161)=_xlfn.XLOOKUP($B161,VmSpecs[[#All],[VM Name]],VmSpecs[[#All],[Availability Set Name]],"Failed",0,1),"Pass","Fail")</f>
        <v>Fail</v>
      </c>
      <c r="BA161" t="str" cm="1">
        <f t="array" ref="BA161">IF(J161=_xlfn.XLOOKUP($B161,VmSpecs[[#All],[VM Name]],VmSpecs[[#All],[Virtual Network]],"Failed",0,1),"Pass","Fail")</f>
        <v>Fail</v>
      </c>
      <c r="BB161" t="str" cm="1">
        <f t="array" ref="BB161">IF(K161=_xlfn.XLOOKUP($B161,VmSpecs[[#All],[VM Name]],VmSpecs[[#All],[Subnet]],"Failed",0,1),"Pass","Fail")</f>
        <v>Fail</v>
      </c>
      <c r="BC161" t="str" cm="1">
        <f t="array" ref="BC161">IF(M161=_xlfn.XLOOKUP($B161,VmSpecs[[#All],[VM Name]],VmSpecs[[#All],[IP]],"Failed",0,1),"Pass","Fail")</f>
        <v>Fail</v>
      </c>
      <c r="BD161" t="str" cm="1">
        <f t="array" ref="BD161">IF(N161=_xlfn.XLOOKUP($B161,VmSpecs[[#All],[VM Name]],VmSpecs[[#All],[Network Security Group]],"Failed",0,1),"Pass","Fail")</f>
        <v>Fail</v>
      </c>
      <c r="BE161" t="str" cm="1">
        <f t="array" ref="BE161">IF(O161=_xlfn.XLOOKUP($B161,VmSpecs[[#All],[VM Name]],VmSpecs[[#All],[Route Table Name]],"Failed",0,1),"Pass","Fail")</f>
        <v>Fail</v>
      </c>
      <c r="BF161" t="str" cm="1">
        <f t="array" ref="BF161">IF(P161=_xlfn.XLOOKUP($B161,VmSpecs[[#All],[VM Name]],VmSpecs[[#All],[Operating System]],"Failed",0,1),"Pass","Fail")</f>
        <v>Fail</v>
      </c>
      <c r="BG161" t="str" cm="1">
        <f t="array" ref="BG161">IF(R161=_xlfn.XLOOKUP($B161,VmSpecs[[#All],[VM Name]],VmSpecs[[#All],[NIC name]],"Failed",0,1),"Pass","Fail")</f>
        <v>Fail</v>
      </c>
      <c r="BH161" t="str" cm="1">
        <f t="array" ref="BH161">IF(U161=_xlfn.XLOOKUP($B161,VmSpecs[[#All],[VM Name]],VmSpecs[[#All],[OS Disk Name]],"Failed",0,1),"Pass","Fail")</f>
        <v>Fail</v>
      </c>
      <c r="BI161" t="str" cm="1">
        <f t="array" ref="BI161">IF(W161=_xlfn.XLOOKUP($B161,VmSpecs[[#All],[VM Name]],VmSpecs[[#All],[OS Disk Size]],"Failed",0,1),"Pass","Fail")</f>
        <v>Fail</v>
      </c>
      <c r="BJ161" t="str" cm="1">
        <f t="array" ref="BJ161">IF(LEFT(X161,4)=LEFT(_xlfn.XLOOKUP($B161,VmSpecs[[#All],[VM Name]],VmSpecs[[#All],[OS Disk Type (Standard SSD etc)]],"Failed",0,1),4),"Pass","Fail")</f>
        <v>Fail</v>
      </c>
      <c r="BK161" t="str" cm="1">
        <f t="array" ref="BK161">IF(Z161=_xlfn.XLOOKUP($B161,VmSpecs[[#All],[VM Name]],VmSpecs[[#All],[Data Disk1 Name]],"Failed",0,1),"Pass","Fail")</f>
        <v>Fail</v>
      </c>
      <c r="BL161" t="str" cm="1">
        <f t="array" ref="BL161">IF(AA161=_xlfn.XLOOKUP($B161,VmSpecs[[#All],[VM Name]],VmSpecs[[#All],[Data Disk1 Size]],"Failed",0,1),"Pass","Fail")</f>
        <v>Fail</v>
      </c>
      <c r="BM161" t="str" cm="1">
        <f t="array" ref="BM161">IF(LEFT(AC161,4)=LEFT(_xlfn.XLOOKUP($B161,VmSpecs[[#All],[VM Name]],VmSpecs[[#All],[Data Disk1 Type]],"Failed",0,1),4),"Pass","Fail")</f>
        <v>Fail</v>
      </c>
      <c r="BO161" t="e">
        <f>VLOOKUP('VM Specs'!K161,'As Built'!B:B,1,FALSE)</f>
        <v>#N/A</v>
      </c>
      <c r="BP161" t="str">
        <f>IF(ISNA(Table613[[#This Row],[VM Build Sheet Check]]),'VM Specs'!K161,"")</f>
        <v>vmpfbpf2olg22</v>
      </c>
    </row>
    <row r="162" spans="1:68" ht="33" customHeight="1" x14ac:dyDescent="0.35">
      <c r="A162" t="str">
        <f>IF(COUNTIF(AsBuilt[[#This Row],[VM Check]:[Data Disk 1 Type Check]],"Fail")&gt;0,"Fail","Pass")</f>
        <v>Fail</v>
      </c>
      <c r="B162" t="s">
        <v>1877</v>
      </c>
      <c r="C162" t="s">
        <v>754</v>
      </c>
      <c r="D162" t="s">
        <v>755</v>
      </c>
      <c r="E162" t="s">
        <v>756</v>
      </c>
      <c r="F162" t="s">
        <v>801</v>
      </c>
      <c r="G162" t="s">
        <v>758</v>
      </c>
      <c r="H162" t="s">
        <v>1723</v>
      </c>
      <c r="J162" t="s">
        <v>760</v>
      </c>
      <c r="K162" t="s">
        <v>761</v>
      </c>
      <c r="L162" t="s">
        <v>754</v>
      </c>
      <c r="M162" t="s">
        <v>1878</v>
      </c>
      <c r="N162" t="s">
        <v>763</v>
      </c>
      <c r="O162" t="s">
        <v>764</v>
      </c>
      <c r="P162" t="s">
        <v>63</v>
      </c>
      <c r="R162" t="s">
        <v>1879</v>
      </c>
      <c r="S162" t="s">
        <v>754</v>
      </c>
      <c r="U162" t="s">
        <v>1880</v>
      </c>
      <c r="V162" t="s">
        <v>767</v>
      </c>
      <c r="W162">
        <v>64</v>
      </c>
      <c r="X162" t="s">
        <v>768</v>
      </c>
      <c r="Y162">
        <v>2</v>
      </c>
      <c r="Z162" t="s">
        <v>1881</v>
      </c>
      <c r="AA162">
        <v>8</v>
      </c>
      <c r="AB162" t="s">
        <v>770</v>
      </c>
      <c r="AC162" t="s">
        <v>768</v>
      </c>
      <c r="AD162" t="s">
        <v>1882</v>
      </c>
      <c r="AE162">
        <v>32</v>
      </c>
      <c r="AF162" t="s">
        <v>770</v>
      </c>
      <c r="AG162" t="s">
        <v>768</v>
      </c>
      <c r="AT162" t="s">
        <v>772</v>
      </c>
      <c r="AU162" t="s">
        <v>1883</v>
      </c>
      <c r="AV162" t="str" cm="1">
        <f t="array" ref="AV162">IF(B162=_xlfn.XLOOKUP(B162,VmSpecs[[#All],[VM Name]],VmSpecs[[#All],[VM Name]],"Failed",0,1),"Pass","Fail")</f>
        <v>Fail</v>
      </c>
      <c r="AW162" t="str" cm="1">
        <f t="array" ref="AW162">IF(D162=_xlfn.XLOOKUP($B162,VmSpecs[[#All],[VM Name]],VmSpecs[[#All],[Virtual Machine Resource Groups]],"Failed",0,1),"Pass","Fail")</f>
        <v>Fail</v>
      </c>
      <c r="AX162" t="str" cm="1">
        <f t="array" ref="AX162">IF(_xlfn.IFS(E162="australiacentral","Australia Central 1",E162="australiaeast","Australia East",E162="australiasoutheast","Australia SouthEast")=_xlfn.XLOOKUP($B162,VmSpecs[[#All],[VM Name]],VmSpecs[[#All],[Region]],"Failed",0,1),"Pass","Fail")</f>
        <v>Fail</v>
      </c>
      <c r="AY162" t="str" cm="1">
        <f t="array" ref="AY162">IF(F162=_xlfn.XLOOKUP($B162,VmSpecs[[#All],[VM Name]],VmSpecs[[#All],[Instance size]],"Failed",0,1),"Pass","Fail")</f>
        <v>Fail</v>
      </c>
      <c r="AZ162" t="str" cm="1">
        <f t="array" ref="AZ162">IF(LOWER(H162)=_xlfn.XLOOKUP($B162,VmSpecs[[#All],[VM Name]],VmSpecs[[#All],[Availability Set Name]],"Failed",0,1),"Pass","Fail")</f>
        <v>Fail</v>
      </c>
      <c r="BA162" t="str" cm="1">
        <f t="array" ref="BA162">IF(J162=_xlfn.XLOOKUP($B162,VmSpecs[[#All],[VM Name]],VmSpecs[[#All],[Virtual Network]],"Failed",0,1),"Pass","Fail")</f>
        <v>Fail</v>
      </c>
      <c r="BB162" t="str" cm="1">
        <f t="array" ref="BB162">IF(K162=_xlfn.XLOOKUP($B162,VmSpecs[[#All],[VM Name]],VmSpecs[[#All],[Subnet]],"Failed",0,1),"Pass","Fail")</f>
        <v>Fail</v>
      </c>
      <c r="BC162" t="str" cm="1">
        <f t="array" ref="BC162">IF(M162=_xlfn.XLOOKUP($B162,VmSpecs[[#All],[VM Name]],VmSpecs[[#All],[IP]],"Failed",0,1),"Pass","Fail")</f>
        <v>Fail</v>
      </c>
      <c r="BD162" t="str" cm="1">
        <f t="array" ref="BD162">IF(N162=_xlfn.XLOOKUP($B162,VmSpecs[[#All],[VM Name]],VmSpecs[[#All],[Network Security Group]],"Failed",0,1),"Pass","Fail")</f>
        <v>Fail</v>
      </c>
      <c r="BE162" t="str" cm="1">
        <f t="array" ref="BE162">IF(O162=_xlfn.XLOOKUP($B162,VmSpecs[[#All],[VM Name]],VmSpecs[[#All],[Route Table Name]],"Failed",0,1),"Pass","Fail")</f>
        <v>Fail</v>
      </c>
      <c r="BF162" t="str" cm="1">
        <f t="array" ref="BF162">IF(P162=_xlfn.XLOOKUP($B162,VmSpecs[[#All],[VM Name]],VmSpecs[[#All],[Operating System]],"Failed",0,1),"Pass","Fail")</f>
        <v>Fail</v>
      </c>
      <c r="BG162" t="str" cm="1">
        <f t="array" ref="BG162">IF(R162=_xlfn.XLOOKUP($B162,VmSpecs[[#All],[VM Name]],VmSpecs[[#All],[NIC name]],"Failed",0,1),"Pass","Fail")</f>
        <v>Fail</v>
      </c>
      <c r="BH162" t="str" cm="1">
        <f t="array" ref="BH162">IF(U162=_xlfn.XLOOKUP($B162,VmSpecs[[#All],[VM Name]],VmSpecs[[#All],[OS Disk Name]],"Failed",0,1),"Pass","Fail")</f>
        <v>Fail</v>
      </c>
      <c r="BI162" t="str" cm="1">
        <f t="array" ref="BI162">IF(W162=_xlfn.XLOOKUP($B162,VmSpecs[[#All],[VM Name]],VmSpecs[[#All],[OS Disk Size]],"Failed",0,1),"Pass","Fail")</f>
        <v>Fail</v>
      </c>
      <c r="BJ162" t="str" cm="1">
        <f t="array" ref="BJ162">IF(LEFT(X162,4)=LEFT(_xlfn.XLOOKUP($B162,VmSpecs[[#All],[VM Name]],VmSpecs[[#All],[OS Disk Type (Standard SSD etc)]],"Failed",0,1),4),"Pass","Fail")</f>
        <v>Fail</v>
      </c>
      <c r="BK162" t="str" cm="1">
        <f t="array" ref="BK162">IF(Z162=_xlfn.XLOOKUP($B162,VmSpecs[[#All],[VM Name]],VmSpecs[[#All],[Data Disk1 Name]],"Failed",0,1),"Pass","Fail")</f>
        <v>Fail</v>
      </c>
      <c r="BL162" t="str" cm="1">
        <f t="array" ref="BL162">IF(AA162=_xlfn.XLOOKUP($B162,VmSpecs[[#All],[VM Name]],VmSpecs[[#All],[Data Disk1 Size]],"Failed",0,1),"Pass","Fail")</f>
        <v>Fail</v>
      </c>
      <c r="BM162" t="str" cm="1">
        <f t="array" ref="BM162">IF(LEFT(AC162,4)=LEFT(_xlfn.XLOOKUP($B162,VmSpecs[[#All],[VM Name]],VmSpecs[[#All],[Data Disk1 Type]],"Failed",0,1),4),"Pass","Fail")</f>
        <v>Fail</v>
      </c>
      <c r="BO162" t="e">
        <f>VLOOKUP('VM Specs'!K162,'As Built'!B:B,1,FALSE)</f>
        <v>#N/A</v>
      </c>
      <c r="BP162" t="str">
        <f>IF(ISNA(Table613[[#This Row],[VM Build Sheet Check]]),'VM Specs'!K162,"")</f>
        <v>vmpfbpf2olg23</v>
      </c>
    </row>
    <row r="163" spans="1:68" ht="33" customHeight="1" x14ac:dyDescent="0.35">
      <c r="A163" t="str">
        <f>IF(COUNTIF(AsBuilt[[#This Row],[VM Check]:[Data Disk 1 Type Check]],"Fail")&gt;0,"Fail","Pass")</f>
        <v>Fail</v>
      </c>
      <c r="B163" t="s">
        <v>1884</v>
      </c>
      <c r="C163" t="s">
        <v>754</v>
      </c>
      <c r="D163" t="s">
        <v>755</v>
      </c>
      <c r="E163" t="s">
        <v>756</v>
      </c>
      <c r="F163" t="s">
        <v>801</v>
      </c>
      <c r="G163" t="s">
        <v>758</v>
      </c>
      <c r="H163" t="s">
        <v>1723</v>
      </c>
      <c r="J163" t="s">
        <v>760</v>
      </c>
      <c r="K163" t="s">
        <v>761</v>
      </c>
      <c r="L163" t="s">
        <v>754</v>
      </c>
      <c r="M163" t="s">
        <v>1885</v>
      </c>
      <c r="N163" t="s">
        <v>763</v>
      </c>
      <c r="O163" t="s">
        <v>764</v>
      </c>
      <c r="P163" t="s">
        <v>63</v>
      </c>
      <c r="R163" t="s">
        <v>1886</v>
      </c>
      <c r="S163" t="s">
        <v>754</v>
      </c>
      <c r="U163" t="s">
        <v>1887</v>
      </c>
      <c r="V163" t="s">
        <v>767</v>
      </c>
      <c r="W163">
        <v>64</v>
      </c>
      <c r="X163" t="s">
        <v>768</v>
      </c>
      <c r="Y163">
        <v>2</v>
      </c>
      <c r="Z163" t="s">
        <v>1888</v>
      </c>
      <c r="AA163">
        <v>8</v>
      </c>
      <c r="AB163" t="s">
        <v>770</v>
      </c>
      <c r="AC163" t="s">
        <v>768</v>
      </c>
      <c r="AD163" t="s">
        <v>1889</v>
      </c>
      <c r="AE163">
        <v>32</v>
      </c>
      <c r="AF163" t="s">
        <v>770</v>
      </c>
      <c r="AG163" t="s">
        <v>768</v>
      </c>
      <c r="AT163" t="s">
        <v>772</v>
      </c>
      <c r="AU163" t="s">
        <v>1890</v>
      </c>
      <c r="AV163" t="str" cm="1">
        <f t="array" ref="AV163">IF(B163=_xlfn.XLOOKUP(B163,VmSpecs[[#All],[VM Name]],VmSpecs[[#All],[VM Name]],"Failed",0,1),"Pass","Fail")</f>
        <v>Fail</v>
      </c>
      <c r="AW163" t="str" cm="1">
        <f t="array" ref="AW163">IF(D163=_xlfn.XLOOKUP($B163,VmSpecs[[#All],[VM Name]],VmSpecs[[#All],[Virtual Machine Resource Groups]],"Failed",0,1),"Pass","Fail")</f>
        <v>Fail</v>
      </c>
      <c r="AX163" t="str" cm="1">
        <f t="array" ref="AX163">IF(_xlfn.IFS(E163="australiacentral","Australia Central 1",E163="australiaeast","Australia East",E163="australiasoutheast","Australia SouthEast")=_xlfn.XLOOKUP($B163,VmSpecs[[#All],[VM Name]],VmSpecs[[#All],[Region]],"Failed",0,1),"Pass","Fail")</f>
        <v>Fail</v>
      </c>
      <c r="AY163" t="str" cm="1">
        <f t="array" ref="AY163">IF(F163=_xlfn.XLOOKUP($B163,VmSpecs[[#All],[VM Name]],VmSpecs[[#All],[Instance size]],"Failed",0,1),"Pass","Fail")</f>
        <v>Fail</v>
      </c>
      <c r="AZ163" t="str" cm="1">
        <f t="array" ref="AZ163">IF(LOWER(H163)=_xlfn.XLOOKUP($B163,VmSpecs[[#All],[VM Name]],VmSpecs[[#All],[Availability Set Name]],"Failed",0,1),"Pass","Fail")</f>
        <v>Fail</v>
      </c>
      <c r="BA163" t="str" cm="1">
        <f t="array" ref="BA163">IF(J163=_xlfn.XLOOKUP($B163,VmSpecs[[#All],[VM Name]],VmSpecs[[#All],[Virtual Network]],"Failed",0,1),"Pass","Fail")</f>
        <v>Fail</v>
      </c>
      <c r="BB163" t="str" cm="1">
        <f t="array" ref="BB163">IF(K163=_xlfn.XLOOKUP($B163,VmSpecs[[#All],[VM Name]],VmSpecs[[#All],[Subnet]],"Failed",0,1),"Pass","Fail")</f>
        <v>Fail</v>
      </c>
      <c r="BC163" t="str" cm="1">
        <f t="array" ref="BC163">IF(M163=_xlfn.XLOOKUP($B163,VmSpecs[[#All],[VM Name]],VmSpecs[[#All],[IP]],"Failed",0,1),"Pass","Fail")</f>
        <v>Fail</v>
      </c>
      <c r="BD163" t="str" cm="1">
        <f t="array" ref="BD163">IF(N163=_xlfn.XLOOKUP($B163,VmSpecs[[#All],[VM Name]],VmSpecs[[#All],[Network Security Group]],"Failed",0,1),"Pass","Fail")</f>
        <v>Fail</v>
      </c>
      <c r="BE163" t="str" cm="1">
        <f t="array" ref="BE163">IF(O163=_xlfn.XLOOKUP($B163,VmSpecs[[#All],[VM Name]],VmSpecs[[#All],[Route Table Name]],"Failed",0,1),"Pass","Fail")</f>
        <v>Fail</v>
      </c>
      <c r="BF163" t="str" cm="1">
        <f t="array" ref="BF163">IF(P163=_xlfn.XLOOKUP($B163,VmSpecs[[#All],[VM Name]],VmSpecs[[#All],[Operating System]],"Failed",0,1),"Pass","Fail")</f>
        <v>Fail</v>
      </c>
      <c r="BG163" t="str" cm="1">
        <f t="array" ref="BG163">IF(R163=_xlfn.XLOOKUP($B163,VmSpecs[[#All],[VM Name]],VmSpecs[[#All],[NIC name]],"Failed",0,1),"Pass","Fail")</f>
        <v>Fail</v>
      </c>
      <c r="BH163" t="str" cm="1">
        <f t="array" ref="BH163">IF(U163=_xlfn.XLOOKUP($B163,VmSpecs[[#All],[VM Name]],VmSpecs[[#All],[OS Disk Name]],"Failed",0,1),"Pass","Fail")</f>
        <v>Fail</v>
      </c>
      <c r="BI163" t="str" cm="1">
        <f t="array" ref="BI163">IF(W163=_xlfn.XLOOKUP($B163,VmSpecs[[#All],[VM Name]],VmSpecs[[#All],[OS Disk Size]],"Failed",0,1),"Pass","Fail")</f>
        <v>Fail</v>
      </c>
      <c r="BJ163" t="str" cm="1">
        <f t="array" ref="BJ163">IF(LEFT(X163,4)=LEFT(_xlfn.XLOOKUP($B163,VmSpecs[[#All],[VM Name]],VmSpecs[[#All],[OS Disk Type (Standard SSD etc)]],"Failed",0,1),4),"Pass","Fail")</f>
        <v>Fail</v>
      </c>
      <c r="BK163" t="str" cm="1">
        <f t="array" ref="BK163">IF(Z163=_xlfn.XLOOKUP($B163,VmSpecs[[#All],[VM Name]],VmSpecs[[#All],[Data Disk1 Name]],"Failed",0,1),"Pass","Fail")</f>
        <v>Fail</v>
      </c>
      <c r="BL163" t="str" cm="1">
        <f t="array" ref="BL163">IF(AA163=_xlfn.XLOOKUP($B163,VmSpecs[[#All],[VM Name]],VmSpecs[[#All],[Data Disk1 Size]],"Failed",0,1),"Pass","Fail")</f>
        <v>Fail</v>
      </c>
      <c r="BM163" t="str" cm="1">
        <f t="array" ref="BM163">IF(LEFT(AC163,4)=LEFT(_xlfn.XLOOKUP($B163,VmSpecs[[#All],[VM Name]],VmSpecs[[#All],[Data Disk1 Type]],"Failed",0,1),4),"Pass","Fail")</f>
        <v>Fail</v>
      </c>
      <c r="BO163" t="e">
        <f>VLOOKUP('VM Specs'!K163,'As Built'!B:B,1,FALSE)</f>
        <v>#N/A</v>
      </c>
      <c r="BP163" t="str">
        <f>IF(ISNA(Table613[[#This Row],[VM Build Sheet Check]]),'VM Specs'!K163,"")</f>
        <v>vmpfbpf2olg24</v>
      </c>
    </row>
    <row r="164" spans="1:68" ht="33" customHeight="1" x14ac:dyDescent="0.35">
      <c r="A164" t="str">
        <f>IF(COUNTIF(AsBuilt[[#This Row],[VM Check]:[Data Disk 1 Type Check]],"Fail")&gt;0,"Fail","Pass")</f>
        <v>Fail</v>
      </c>
      <c r="B164" t="s">
        <v>1891</v>
      </c>
      <c r="C164" t="s">
        <v>754</v>
      </c>
      <c r="D164" t="s">
        <v>755</v>
      </c>
      <c r="E164" t="s">
        <v>756</v>
      </c>
      <c r="F164" t="s">
        <v>801</v>
      </c>
      <c r="G164" t="s">
        <v>758</v>
      </c>
      <c r="H164" t="s">
        <v>1723</v>
      </c>
      <c r="J164" t="s">
        <v>760</v>
      </c>
      <c r="K164" t="s">
        <v>761</v>
      </c>
      <c r="L164" t="s">
        <v>754</v>
      </c>
      <c r="M164" t="s">
        <v>1892</v>
      </c>
      <c r="N164" t="s">
        <v>763</v>
      </c>
      <c r="O164" t="s">
        <v>764</v>
      </c>
      <c r="P164" t="s">
        <v>63</v>
      </c>
      <c r="R164" t="s">
        <v>1893</v>
      </c>
      <c r="S164" t="s">
        <v>754</v>
      </c>
      <c r="U164" t="s">
        <v>1894</v>
      </c>
      <c r="V164" t="s">
        <v>767</v>
      </c>
      <c r="W164">
        <v>64</v>
      </c>
      <c r="X164" t="s">
        <v>768</v>
      </c>
      <c r="Y164">
        <v>2</v>
      </c>
      <c r="Z164" t="s">
        <v>1895</v>
      </c>
      <c r="AA164">
        <v>8</v>
      </c>
      <c r="AB164" t="s">
        <v>770</v>
      </c>
      <c r="AC164" t="s">
        <v>768</v>
      </c>
      <c r="AD164" t="s">
        <v>1896</v>
      </c>
      <c r="AE164">
        <v>32</v>
      </c>
      <c r="AF164" t="s">
        <v>770</v>
      </c>
      <c r="AG164" t="s">
        <v>768</v>
      </c>
      <c r="AT164" t="s">
        <v>772</v>
      </c>
      <c r="AU164" t="s">
        <v>1897</v>
      </c>
      <c r="AV164" t="str" cm="1">
        <f t="array" ref="AV164">IF(B164=_xlfn.XLOOKUP(B164,VmSpecs[[#All],[VM Name]],VmSpecs[[#All],[VM Name]],"Failed",0,1),"Pass","Fail")</f>
        <v>Fail</v>
      </c>
      <c r="AW164" t="str" cm="1">
        <f t="array" ref="AW164">IF(D164=_xlfn.XLOOKUP($B164,VmSpecs[[#All],[VM Name]],VmSpecs[[#All],[Virtual Machine Resource Groups]],"Failed",0,1),"Pass","Fail")</f>
        <v>Fail</v>
      </c>
      <c r="AX164" t="str" cm="1">
        <f t="array" ref="AX164">IF(_xlfn.IFS(E164="australiacentral","Australia Central 1",E164="australiaeast","Australia East",E164="australiasoutheast","Australia SouthEast")=_xlfn.XLOOKUP($B164,VmSpecs[[#All],[VM Name]],VmSpecs[[#All],[Region]],"Failed",0,1),"Pass","Fail")</f>
        <v>Fail</v>
      </c>
      <c r="AY164" t="str" cm="1">
        <f t="array" ref="AY164">IF(F164=_xlfn.XLOOKUP($B164,VmSpecs[[#All],[VM Name]],VmSpecs[[#All],[Instance size]],"Failed",0,1),"Pass","Fail")</f>
        <v>Fail</v>
      </c>
      <c r="AZ164" t="str" cm="1">
        <f t="array" ref="AZ164">IF(LOWER(H164)=_xlfn.XLOOKUP($B164,VmSpecs[[#All],[VM Name]],VmSpecs[[#All],[Availability Set Name]],"Failed",0,1),"Pass","Fail")</f>
        <v>Fail</v>
      </c>
      <c r="BA164" t="str" cm="1">
        <f t="array" ref="BA164">IF(J164=_xlfn.XLOOKUP($B164,VmSpecs[[#All],[VM Name]],VmSpecs[[#All],[Virtual Network]],"Failed",0,1),"Pass","Fail")</f>
        <v>Fail</v>
      </c>
      <c r="BB164" t="str" cm="1">
        <f t="array" ref="BB164">IF(K164=_xlfn.XLOOKUP($B164,VmSpecs[[#All],[VM Name]],VmSpecs[[#All],[Subnet]],"Failed",0,1),"Pass","Fail")</f>
        <v>Fail</v>
      </c>
      <c r="BC164" t="str" cm="1">
        <f t="array" ref="BC164">IF(M164=_xlfn.XLOOKUP($B164,VmSpecs[[#All],[VM Name]],VmSpecs[[#All],[IP]],"Failed",0,1),"Pass","Fail")</f>
        <v>Fail</v>
      </c>
      <c r="BD164" t="str" cm="1">
        <f t="array" ref="BD164">IF(N164=_xlfn.XLOOKUP($B164,VmSpecs[[#All],[VM Name]],VmSpecs[[#All],[Network Security Group]],"Failed",0,1),"Pass","Fail")</f>
        <v>Fail</v>
      </c>
      <c r="BE164" t="str" cm="1">
        <f t="array" ref="BE164">IF(O164=_xlfn.XLOOKUP($B164,VmSpecs[[#All],[VM Name]],VmSpecs[[#All],[Route Table Name]],"Failed",0,1),"Pass","Fail")</f>
        <v>Fail</v>
      </c>
      <c r="BF164" t="str" cm="1">
        <f t="array" ref="BF164">IF(P164=_xlfn.XLOOKUP($B164,VmSpecs[[#All],[VM Name]],VmSpecs[[#All],[Operating System]],"Failed",0,1),"Pass","Fail")</f>
        <v>Fail</v>
      </c>
      <c r="BG164" t="str" cm="1">
        <f t="array" ref="BG164">IF(R164=_xlfn.XLOOKUP($B164,VmSpecs[[#All],[VM Name]],VmSpecs[[#All],[NIC name]],"Failed",0,1),"Pass","Fail")</f>
        <v>Fail</v>
      </c>
      <c r="BH164" t="str" cm="1">
        <f t="array" ref="BH164">IF(U164=_xlfn.XLOOKUP($B164,VmSpecs[[#All],[VM Name]],VmSpecs[[#All],[OS Disk Name]],"Failed",0,1),"Pass","Fail")</f>
        <v>Fail</v>
      </c>
      <c r="BI164" t="str" cm="1">
        <f t="array" ref="BI164">IF(W164=_xlfn.XLOOKUP($B164,VmSpecs[[#All],[VM Name]],VmSpecs[[#All],[OS Disk Size]],"Failed",0,1),"Pass","Fail")</f>
        <v>Fail</v>
      </c>
      <c r="BJ164" t="str" cm="1">
        <f t="array" ref="BJ164">IF(LEFT(X164,4)=LEFT(_xlfn.XLOOKUP($B164,VmSpecs[[#All],[VM Name]],VmSpecs[[#All],[OS Disk Type (Standard SSD etc)]],"Failed",0,1),4),"Pass","Fail")</f>
        <v>Fail</v>
      </c>
      <c r="BK164" t="str" cm="1">
        <f t="array" ref="BK164">IF(Z164=_xlfn.XLOOKUP($B164,VmSpecs[[#All],[VM Name]],VmSpecs[[#All],[Data Disk1 Name]],"Failed",0,1),"Pass","Fail")</f>
        <v>Fail</v>
      </c>
      <c r="BL164" t="str" cm="1">
        <f t="array" ref="BL164">IF(AA164=_xlfn.XLOOKUP($B164,VmSpecs[[#All],[VM Name]],VmSpecs[[#All],[Data Disk1 Size]],"Failed",0,1),"Pass","Fail")</f>
        <v>Fail</v>
      </c>
      <c r="BM164" t="str" cm="1">
        <f t="array" ref="BM164">IF(LEFT(AC164,4)=LEFT(_xlfn.XLOOKUP($B164,VmSpecs[[#All],[VM Name]],VmSpecs[[#All],[Data Disk1 Type]],"Failed",0,1),4),"Pass","Fail")</f>
        <v>Fail</v>
      </c>
      <c r="BO164" t="e">
        <f>VLOOKUP('VM Specs'!K164,'As Built'!B:B,1,FALSE)</f>
        <v>#N/A</v>
      </c>
      <c r="BP164" t="str">
        <f>IF(ISNA(Table613[[#This Row],[VM Build Sheet Check]]),'VM Specs'!K164,"")</f>
        <v>vmpfbpf2olg25</v>
      </c>
    </row>
    <row r="165" spans="1:68" ht="33" customHeight="1" x14ac:dyDescent="0.35">
      <c r="A165" t="str">
        <f>IF(COUNTIF(AsBuilt[[#This Row],[VM Check]:[Data Disk 1 Type Check]],"Fail")&gt;0,"Fail","Pass")</f>
        <v>Fail</v>
      </c>
      <c r="B165" t="s">
        <v>1898</v>
      </c>
      <c r="C165" t="s">
        <v>754</v>
      </c>
      <c r="D165" t="s">
        <v>755</v>
      </c>
      <c r="E165" t="s">
        <v>756</v>
      </c>
      <c r="F165" t="s">
        <v>801</v>
      </c>
      <c r="G165" t="s">
        <v>758</v>
      </c>
      <c r="H165" t="s">
        <v>1723</v>
      </c>
      <c r="J165" t="s">
        <v>760</v>
      </c>
      <c r="K165" t="s">
        <v>761</v>
      </c>
      <c r="L165" t="s">
        <v>754</v>
      </c>
      <c r="M165" t="s">
        <v>1899</v>
      </c>
      <c r="N165" t="s">
        <v>763</v>
      </c>
      <c r="O165" t="s">
        <v>764</v>
      </c>
      <c r="P165" t="s">
        <v>63</v>
      </c>
      <c r="R165" t="s">
        <v>1900</v>
      </c>
      <c r="S165" t="s">
        <v>754</v>
      </c>
      <c r="U165" t="s">
        <v>1901</v>
      </c>
      <c r="V165" t="s">
        <v>767</v>
      </c>
      <c r="W165">
        <v>64</v>
      </c>
      <c r="X165" t="s">
        <v>768</v>
      </c>
      <c r="Y165">
        <v>2</v>
      </c>
      <c r="Z165" t="s">
        <v>1902</v>
      </c>
      <c r="AA165">
        <v>8</v>
      </c>
      <c r="AB165" t="s">
        <v>770</v>
      </c>
      <c r="AC165" t="s">
        <v>768</v>
      </c>
      <c r="AD165" t="s">
        <v>1903</v>
      </c>
      <c r="AE165">
        <v>32</v>
      </c>
      <c r="AF165" t="s">
        <v>770</v>
      </c>
      <c r="AG165" t="s">
        <v>768</v>
      </c>
      <c r="AT165" t="s">
        <v>772</v>
      </c>
      <c r="AU165" t="s">
        <v>1904</v>
      </c>
      <c r="AV165" t="str" cm="1">
        <f t="array" ref="AV165">IF(B165=_xlfn.XLOOKUP(B165,VmSpecs[[#All],[VM Name]],VmSpecs[[#All],[VM Name]],"Failed",0,1),"Pass","Fail")</f>
        <v>Fail</v>
      </c>
      <c r="AW165" t="str" cm="1">
        <f t="array" ref="AW165">IF(D165=_xlfn.XLOOKUP($B165,VmSpecs[[#All],[VM Name]],VmSpecs[[#All],[Virtual Machine Resource Groups]],"Failed",0,1),"Pass","Fail")</f>
        <v>Fail</v>
      </c>
      <c r="AX165" t="str" cm="1">
        <f t="array" ref="AX165">IF(_xlfn.IFS(E165="australiacentral","Australia Central 1",E165="australiaeast","Australia East",E165="australiasoutheast","Australia SouthEast")=_xlfn.XLOOKUP($B165,VmSpecs[[#All],[VM Name]],VmSpecs[[#All],[Region]],"Failed",0,1),"Pass","Fail")</f>
        <v>Fail</v>
      </c>
      <c r="AY165" t="str" cm="1">
        <f t="array" ref="AY165">IF(F165=_xlfn.XLOOKUP($B165,VmSpecs[[#All],[VM Name]],VmSpecs[[#All],[Instance size]],"Failed",0,1),"Pass","Fail")</f>
        <v>Fail</v>
      </c>
      <c r="AZ165" t="str" cm="1">
        <f t="array" ref="AZ165">IF(LOWER(H165)=_xlfn.XLOOKUP($B165,VmSpecs[[#All],[VM Name]],VmSpecs[[#All],[Availability Set Name]],"Failed",0,1),"Pass","Fail")</f>
        <v>Fail</v>
      </c>
      <c r="BA165" t="str" cm="1">
        <f t="array" ref="BA165">IF(J165=_xlfn.XLOOKUP($B165,VmSpecs[[#All],[VM Name]],VmSpecs[[#All],[Virtual Network]],"Failed",0,1),"Pass","Fail")</f>
        <v>Fail</v>
      </c>
      <c r="BB165" t="str" cm="1">
        <f t="array" ref="BB165">IF(K165=_xlfn.XLOOKUP($B165,VmSpecs[[#All],[VM Name]],VmSpecs[[#All],[Subnet]],"Failed",0,1),"Pass","Fail")</f>
        <v>Fail</v>
      </c>
      <c r="BC165" t="str" cm="1">
        <f t="array" ref="BC165">IF(M165=_xlfn.XLOOKUP($B165,VmSpecs[[#All],[VM Name]],VmSpecs[[#All],[IP]],"Failed",0,1),"Pass","Fail")</f>
        <v>Fail</v>
      </c>
      <c r="BD165" t="str" cm="1">
        <f t="array" ref="BD165">IF(N165=_xlfn.XLOOKUP($B165,VmSpecs[[#All],[VM Name]],VmSpecs[[#All],[Network Security Group]],"Failed",0,1),"Pass","Fail")</f>
        <v>Fail</v>
      </c>
      <c r="BE165" t="str" cm="1">
        <f t="array" ref="BE165">IF(O165=_xlfn.XLOOKUP($B165,VmSpecs[[#All],[VM Name]],VmSpecs[[#All],[Route Table Name]],"Failed",0,1),"Pass","Fail")</f>
        <v>Fail</v>
      </c>
      <c r="BF165" t="str" cm="1">
        <f t="array" ref="BF165">IF(P165=_xlfn.XLOOKUP($B165,VmSpecs[[#All],[VM Name]],VmSpecs[[#All],[Operating System]],"Failed",0,1),"Pass","Fail")</f>
        <v>Fail</v>
      </c>
      <c r="BG165" t="str" cm="1">
        <f t="array" ref="BG165">IF(R165=_xlfn.XLOOKUP($B165,VmSpecs[[#All],[VM Name]],VmSpecs[[#All],[NIC name]],"Failed",0,1),"Pass","Fail")</f>
        <v>Fail</v>
      </c>
      <c r="BH165" t="str" cm="1">
        <f t="array" ref="BH165">IF(U165=_xlfn.XLOOKUP($B165,VmSpecs[[#All],[VM Name]],VmSpecs[[#All],[OS Disk Name]],"Failed",0,1),"Pass","Fail")</f>
        <v>Fail</v>
      </c>
      <c r="BI165" t="str" cm="1">
        <f t="array" ref="BI165">IF(W165=_xlfn.XLOOKUP($B165,VmSpecs[[#All],[VM Name]],VmSpecs[[#All],[OS Disk Size]],"Failed",0,1),"Pass","Fail")</f>
        <v>Fail</v>
      </c>
      <c r="BJ165" t="str" cm="1">
        <f t="array" ref="BJ165">IF(LEFT(X165,4)=LEFT(_xlfn.XLOOKUP($B165,VmSpecs[[#All],[VM Name]],VmSpecs[[#All],[OS Disk Type (Standard SSD etc)]],"Failed",0,1),4),"Pass","Fail")</f>
        <v>Fail</v>
      </c>
      <c r="BK165" t="str" cm="1">
        <f t="array" ref="BK165">IF(Z165=_xlfn.XLOOKUP($B165,VmSpecs[[#All],[VM Name]],VmSpecs[[#All],[Data Disk1 Name]],"Failed",0,1),"Pass","Fail")</f>
        <v>Fail</v>
      </c>
      <c r="BL165" t="str" cm="1">
        <f t="array" ref="BL165">IF(AA165=_xlfn.XLOOKUP($B165,VmSpecs[[#All],[VM Name]],VmSpecs[[#All],[Data Disk1 Size]],"Failed",0,1),"Pass","Fail")</f>
        <v>Fail</v>
      </c>
      <c r="BM165" t="str" cm="1">
        <f t="array" ref="BM165">IF(LEFT(AC165,4)=LEFT(_xlfn.XLOOKUP($B165,VmSpecs[[#All],[VM Name]],VmSpecs[[#All],[Data Disk1 Type]],"Failed",0,1),4),"Pass","Fail")</f>
        <v>Fail</v>
      </c>
      <c r="BO165" t="e">
        <f>VLOOKUP('VM Specs'!K165,'As Built'!B:B,1,FALSE)</f>
        <v>#N/A</v>
      </c>
      <c r="BP165" t="str">
        <f>IF(ISNA(Table613[[#This Row],[VM Build Sheet Check]]),'VM Specs'!K165,"")</f>
        <v>vmpfbpf2olg26</v>
      </c>
    </row>
    <row r="166" spans="1:68" ht="33" customHeight="1" x14ac:dyDescent="0.35">
      <c r="A166" t="str">
        <f>IF(COUNTIF(AsBuilt[[#This Row],[VM Check]:[Data Disk 1 Type Check]],"Fail")&gt;0,"Fail","Pass")</f>
        <v>Fail</v>
      </c>
      <c r="B166" t="s">
        <v>1905</v>
      </c>
      <c r="C166" t="s">
        <v>754</v>
      </c>
      <c r="D166" t="s">
        <v>755</v>
      </c>
      <c r="E166" t="s">
        <v>756</v>
      </c>
      <c r="F166" t="s">
        <v>801</v>
      </c>
      <c r="G166" t="s">
        <v>758</v>
      </c>
      <c r="H166" t="s">
        <v>1723</v>
      </c>
      <c r="J166" t="s">
        <v>760</v>
      </c>
      <c r="K166" t="s">
        <v>761</v>
      </c>
      <c r="L166" t="s">
        <v>754</v>
      </c>
      <c r="M166" t="s">
        <v>1906</v>
      </c>
      <c r="N166" t="s">
        <v>763</v>
      </c>
      <c r="O166" t="s">
        <v>764</v>
      </c>
      <c r="P166" t="s">
        <v>63</v>
      </c>
      <c r="R166" t="s">
        <v>1907</v>
      </c>
      <c r="S166" t="s">
        <v>754</v>
      </c>
      <c r="U166" t="s">
        <v>1908</v>
      </c>
      <c r="V166" t="s">
        <v>767</v>
      </c>
      <c r="W166">
        <v>64</v>
      </c>
      <c r="X166" t="s">
        <v>768</v>
      </c>
      <c r="Y166">
        <v>2</v>
      </c>
      <c r="Z166" t="s">
        <v>1909</v>
      </c>
      <c r="AA166">
        <v>8</v>
      </c>
      <c r="AB166" t="s">
        <v>770</v>
      </c>
      <c r="AC166" t="s">
        <v>768</v>
      </c>
      <c r="AD166" t="s">
        <v>1910</v>
      </c>
      <c r="AE166">
        <v>32</v>
      </c>
      <c r="AF166" t="s">
        <v>770</v>
      </c>
      <c r="AG166" t="s">
        <v>768</v>
      </c>
      <c r="AT166" t="s">
        <v>772</v>
      </c>
      <c r="AU166" t="s">
        <v>1911</v>
      </c>
      <c r="AV166" t="str" cm="1">
        <f t="array" ref="AV166">IF(B166=_xlfn.XLOOKUP(B166,VmSpecs[[#All],[VM Name]],VmSpecs[[#All],[VM Name]],"Failed",0,1),"Pass","Fail")</f>
        <v>Fail</v>
      </c>
      <c r="AW166" t="str" cm="1">
        <f t="array" ref="AW166">IF(D166=_xlfn.XLOOKUP($B166,VmSpecs[[#All],[VM Name]],VmSpecs[[#All],[Virtual Machine Resource Groups]],"Failed",0,1),"Pass","Fail")</f>
        <v>Fail</v>
      </c>
      <c r="AX166" t="str" cm="1">
        <f t="array" ref="AX166">IF(_xlfn.IFS(E166="australiacentral","Australia Central 1",E166="australiaeast","Australia East",E166="australiasoutheast","Australia SouthEast")=_xlfn.XLOOKUP($B166,VmSpecs[[#All],[VM Name]],VmSpecs[[#All],[Region]],"Failed",0,1),"Pass","Fail")</f>
        <v>Fail</v>
      </c>
      <c r="AY166" t="str" cm="1">
        <f t="array" ref="AY166">IF(F166=_xlfn.XLOOKUP($B166,VmSpecs[[#All],[VM Name]],VmSpecs[[#All],[Instance size]],"Failed",0,1),"Pass","Fail")</f>
        <v>Fail</v>
      </c>
      <c r="AZ166" t="str" cm="1">
        <f t="array" ref="AZ166">IF(LOWER(H166)=_xlfn.XLOOKUP($B166,VmSpecs[[#All],[VM Name]],VmSpecs[[#All],[Availability Set Name]],"Failed",0,1),"Pass","Fail")</f>
        <v>Fail</v>
      </c>
      <c r="BA166" t="str" cm="1">
        <f t="array" ref="BA166">IF(J166=_xlfn.XLOOKUP($B166,VmSpecs[[#All],[VM Name]],VmSpecs[[#All],[Virtual Network]],"Failed",0,1),"Pass","Fail")</f>
        <v>Fail</v>
      </c>
      <c r="BB166" t="str" cm="1">
        <f t="array" ref="BB166">IF(K166=_xlfn.XLOOKUP($B166,VmSpecs[[#All],[VM Name]],VmSpecs[[#All],[Subnet]],"Failed",0,1),"Pass","Fail")</f>
        <v>Fail</v>
      </c>
      <c r="BC166" t="str" cm="1">
        <f t="array" ref="BC166">IF(M166=_xlfn.XLOOKUP($B166,VmSpecs[[#All],[VM Name]],VmSpecs[[#All],[IP]],"Failed",0,1),"Pass","Fail")</f>
        <v>Fail</v>
      </c>
      <c r="BD166" t="str" cm="1">
        <f t="array" ref="BD166">IF(N166=_xlfn.XLOOKUP($B166,VmSpecs[[#All],[VM Name]],VmSpecs[[#All],[Network Security Group]],"Failed",0,1),"Pass","Fail")</f>
        <v>Fail</v>
      </c>
      <c r="BE166" t="str" cm="1">
        <f t="array" ref="BE166">IF(O166=_xlfn.XLOOKUP($B166,VmSpecs[[#All],[VM Name]],VmSpecs[[#All],[Route Table Name]],"Failed",0,1),"Pass","Fail")</f>
        <v>Fail</v>
      </c>
      <c r="BF166" t="str" cm="1">
        <f t="array" ref="BF166">IF(P166=_xlfn.XLOOKUP($B166,VmSpecs[[#All],[VM Name]],VmSpecs[[#All],[Operating System]],"Failed",0,1),"Pass","Fail")</f>
        <v>Fail</v>
      </c>
      <c r="BG166" t="str" cm="1">
        <f t="array" ref="BG166">IF(R166=_xlfn.XLOOKUP($B166,VmSpecs[[#All],[VM Name]],VmSpecs[[#All],[NIC name]],"Failed",0,1),"Pass","Fail")</f>
        <v>Fail</v>
      </c>
      <c r="BH166" t="str" cm="1">
        <f t="array" ref="BH166">IF(U166=_xlfn.XLOOKUP($B166,VmSpecs[[#All],[VM Name]],VmSpecs[[#All],[OS Disk Name]],"Failed",0,1),"Pass","Fail")</f>
        <v>Fail</v>
      </c>
      <c r="BI166" t="str" cm="1">
        <f t="array" ref="BI166">IF(W166=_xlfn.XLOOKUP($B166,VmSpecs[[#All],[VM Name]],VmSpecs[[#All],[OS Disk Size]],"Failed",0,1),"Pass","Fail")</f>
        <v>Fail</v>
      </c>
      <c r="BJ166" t="str" cm="1">
        <f t="array" ref="BJ166">IF(LEFT(X166,4)=LEFT(_xlfn.XLOOKUP($B166,VmSpecs[[#All],[VM Name]],VmSpecs[[#All],[OS Disk Type (Standard SSD etc)]],"Failed",0,1),4),"Pass","Fail")</f>
        <v>Fail</v>
      </c>
      <c r="BK166" t="str" cm="1">
        <f t="array" ref="BK166">IF(Z166=_xlfn.XLOOKUP($B166,VmSpecs[[#All],[VM Name]],VmSpecs[[#All],[Data Disk1 Name]],"Failed",0,1),"Pass","Fail")</f>
        <v>Fail</v>
      </c>
      <c r="BL166" t="str" cm="1">
        <f t="array" ref="BL166">IF(AA166=_xlfn.XLOOKUP($B166,VmSpecs[[#All],[VM Name]],VmSpecs[[#All],[Data Disk1 Size]],"Failed",0,1),"Pass","Fail")</f>
        <v>Fail</v>
      </c>
      <c r="BM166" t="str" cm="1">
        <f t="array" ref="BM166">IF(LEFT(AC166,4)=LEFT(_xlfn.XLOOKUP($B166,VmSpecs[[#All],[VM Name]],VmSpecs[[#All],[Data Disk1 Type]],"Failed",0,1),4),"Pass","Fail")</f>
        <v>Fail</v>
      </c>
      <c r="BO166" t="e">
        <f>VLOOKUP('VM Specs'!K166,'As Built'!B:B,1,FALSE)</f>
        <v>#N/A</v>
      </c>
      <c r="BP166" t="str">
        <f>IF(ISNA(Table613[[#This Row],[VM Build Sheet Check]]),'VM Specs'!K166,"")</f>
        <v>vmpfbpf2olg27</v>
      </c>
    </row>
    <row r="167" spans="1:68" ht="33" customHeight="1" x14ac:dyDescent="0.35">
      <c r="A167" t="str">
        <f>IF(COUNTIF(AsBuilt[[#This Row],[VM Check]:[Data Disk 1 Type Check]],"Fail")&gt;0,"Fail","Pass")</f>
        <v>Fail</v>
      </c>
      <c r="B167" t="s">
        <v>1912</v>
      </c>
      <c r="C167" t="s">
        <v>754</v>
      </c>
      <c r="D167" t="s">
        <v>755</v>
      </c>
      <c r="E167" t="s">
        <v>756</v>
      </c>
      <c r="F167" t="s">
        <v>801</v>
      </c>
      <c r="G167" t="s">
        <v>758</v>
      </c>
      <c r="H167" t="s">
        <v>1723</v>
      </c>
      <c r="J167" t="s">
        <v>760</v>
      </c>
      <c r="K167" t="s">
        <v>761</v>
      </c>
      <c r="L167" t="s">
        <v>754</v>
      </c>
      <c r="M167" t="s">
        <v>1913</v>
      </c>
      <c r="N167" t="s">
        <v>763</v>
      </c>
      <c r="O167" t="s">
        <v>764</v>
      </c>
      <c r="P167" t="s">
        <v>63</v>
      </c>
      <c r="R167" t="s">
        <v>1914</v>
      </c>
      <c r="S167" t="s">
        <v>754</v>
      </c>
      <c r="U167" t="s">
        <v>1915</v>
      </c>
      <c r="V167" t="s">
        <v>767</v>
      </c>
      <c r="W167">
        <v>64</v>
      </c>
      <c r="X167" t="s">
        <v>768</v>
      </c>
      <c r="Y167">
        <v>2</v>
      </c>
      <c r="Z167" t="s">
        <v>1916</v>
      </c>
      <c r="AA167">
        <v>8</v>
      </c>
      <c r="AB167" t="s">
        <v>770</v>
      </c>
      <c r="AC167" t="s">
        <v>768</v>
      </c>
      <c r="AD167" t="s">
        <v>1917</v>
      </c>
      <c r="AE167">
        <v>32</v>
      </c>
      <c r="AF167" t="s">
        <v>770</v>
      </c>
      <c r="AG167" t="s">
        <v>768</v>
      </c>
      <c r="AT167" t="s">
        <v>772</v>
      </c>
      <c r="AU167" t="s">
        <v>1918</v>
      </c>
      <c r="AV167" t="str" cm="1">
        <f t="array" ref="AV167">IF(B167=_xlfn.XLOOKUP(B167,VmSpecs[[#All],[VM Name]],VmSpecs[[#All],[VM Name]],"Failed",0,1),"Pass","Fail")</f>
        <v>Fail</v>
      </c>
      <c r="AW167" t="str" cm="1">
        <f t="array" ref="AW167">IF(D167=_xlfn.XLOOKUP($B167,VmSpecs[[#All],[VM Name]],VmSpecs[[#All],[Virtual Machine Resource Groups]],"Failed",0,1),"Pass","Fail")</f>
        <v>Fail</v>
      </c>
      <c r="AX167" t="str" cm="1">
        <f t="array" ref="AX167">IF(_xlfn.IFS(E167="australiacentral","Australia Central 1",E167="australiaeast","Australia East",E167="australiasoutheast","Australia SouthEast")=_xlfn.XLOOKUP($B167,VmSpecs[[#All],[VM Name]],VmSpecs[[#All],[Region]],"Failed",0,1),"Pass","Fail")</f>
        <v>Fail</v>
      </c>
      <c r="AY167" t="str" cm="1">
        <f t="array" ref="AY167">IF(F167=_xlfn.XLOOKUP($B167,VmSpecs[[#All],[VM Name]],VmSpecs[[#All],[Instance size]],"Failed",0,1),"Pass","Fail")</f>
        <v>Fail</v>
      </c>
      <c r="AZ167" t="str" cm="1">
        <f t="array" ref="AZ167">IF(LOWER(H167)=_xlfn.XLOOKUP($B167,VmSpecs[[#All],[VM Name]],VmSpecs[[#All],[Availability Set Name]],"Failed",0,1),"Pass","Fail")</f>
        <v>Fail</v>
      </c>
      <c r="BA167" t="str" cm="1">
        <f t="array" ref="BA167">IF(J167=_xlfn.XLOOKUP($B167,VmSpecs[[#All],[VM Name]],VmSpecs[[#All],[Virtual Network]],"Failed",0,1),"Pass","Fail")</f>
        <v>Fail</v>
      </c>
      <c r="BB167" t="str" cm="1">
        <f t="array" ref="BB167">IF(K167=_xlfn.XLOOKUP($B167,VmSpecs[[#All],[VM Name]],VmSpecs[[#All],[Subnet]],"Failed",0,1),"Pass","Fail")</f>
        <v>Fail</v>
      </c>
      <c r="BC167" t="str" cm="1">
        <f t="array" ref="BC167">IF(M167=_xlfn.XLOOKUP($B167,VmSpecs[[#All],[VM Name]],VmSpecs[[#All],[IP]],"Failed",0,1),"Pass","Fail")</f>
        <v>Fail</v>
      </c>
      <c r="BD167" t="str" cm="1">
        <f t="array" ref="BD167">IF(N167=_xlfn.XLOOKUP($B167,VmSpecs[[#All],[VM Name]],VmSpecs[[#All],[Network Security Group]],"Failed",0,1),"Pass","Fail")</f>
        <v>Fail</v>
      </c>
      <c r="BE167" t="str" cm="1">
        <f t="array" ref="BE167">IF(O167=_xlfn.XLOOKUP($B167,VmSpecs[[#All],[VM Name]],VmSpecs[[#All],[Route Table Name]],"Failed",0,1),"Pass","Fail")</f>
        <v>Fail</v>
      </c>
      <c r="BF167" t="str" cm="1">
        <f t="array" ref="BF167">IF(P167=_xlfn.XLOOKUP($B167,VmSpecs[[#All],[VM Name]],VmSpecs[[#All],[Operating System]],"Failed",0,1),"Pass","Fail")</f>
        <v>Fail</v>
      </c>
      <c r="BG167" t="str" cm="1">
        <f t="array" ref="BG167">IF(R167=_xlfn.XLOOKUP($B167,VmSpecs[[#All],[VM Name]],VmSpecs[[#All],[NIC name]],"Failed",0,1),"Pass","Fail")</f>
        <v>Fail</v>
      </c>
      <c r="BH167" t="str" cm="1">
        <f t="array" ref="BH167">IF(U167=_xlfn.XLOOKUP($B167,VmSpecs[[#All],[VM Name]],VmSpecs[[#All],[OS Disk Name]],"Failed",0,1),"Pass","Fail")</f>
        <v>Fail</v>
      </c>
      <c r="BI167" t="str" cm="1">
        <f t="array" ref="BI167">IF(W167=_xlfn.XLOOKUP($B167,VmSpecs[[#All],[VM Name]],VmSpecs[[#All],[OS Disk Size]],"Failed",0,1),"Pass","Fail")</f>
        <v>Fail</v>
      </c>
      <c r="BJ167" t="str" cm="1">
        <f t="array" ref="BJ167">IF(LEFT(X167,4)=LEFT(_xlfn.XLOOKUP($B167,VmSpecs[[#All],[VM Name]],VmSpecs[[#All],[OS Disk Type (Standard SSD etc)]],"Failed",0,1),4),"Pass","Fail")</f>
        <v>Fail</v>
      </c>
      <c r="BK167" t="str" cm="1">
        <f t="array" ref="BK167">IF(Z167=_xlfn.XLOOKUP($B167,VmSpecs[[#All],[VM Name]],VmSpecs[[#All],[Data Disk1 Name]],"Failed",0,1),"Pass","Fail")</f>
        <v>Fail</v>
      </c>
      <c r="BL167" t="str" cm="1">
        <f t="array" ref="BL167">IF(AA167=_xlfn.XLOOKUP($B167,VmSpecs[[#All],[VM Name]],VmSpecs[[#All],[Data Disk1 Size]],"Failed",0,1),"Pass","Fail")</f>
        <v>Fail</v>
      </c>
      <c r="BM167" t="str" cm="1">
        <f t="array" ref="BM167">IF(LEFT(AC167,4)=LEFT(_xlfn.XLOOKUP($B167,VmSpecs[[#All],[VM Name]],VmSpecs[[#All],[Data Disk1 Type]],"Failed",0,1),4),"Pass","Fail")</f>
        <v>Fail</v>
      </c>
      <c r="BO167" t="e">
        <f>VLOOKUP('VM Specs'!K167,'As Built'!B:B,1,FALSE)</f>
        <v>#N/A</v>
      </c>
      <c r="BP167" t="str">
        <f>IF(ISNA(Table613[[#This Row],[VM Build Sheet Check]]),'VM Specs'!K167,"")</f>
        <v>vmpfbpf2olg28</v>
      </c>
    </row>
    <row r="168" spans="1:68" ht="33" customHeight="1" x14ac:dyDescent="0.35">
      <c r="A168" t="str">
        <f>IF(COUNTIF(AsBuilt[[#This Row],[VM Check]:[Data Disk 1 Type Check]],"Fail")&gt;0,"Fail","Pass")</f>
        <v>Fail</v>
      </c>
      <c r="B168" t="s">
        <v>1919</v>
      </c>
      <c r="C168" t="s">
        <v>754</v>
      </c>
      <c r="D168" t="s">
        <v>755</v>
      </c>
      <c r="E168" t="s">
        <v>756</v>
      </c>
      <c r="F168" t="s">
        <v>801</v>
      </c>
      <c r="G168" t="s">
        <v>758</v>
      </c>
      <c r="H168" t="s">
        <v>1723</v>
      </c>
      <c r="J168" t="s">
        <v>760</v>
      </c>
      <c r="K168" t="s">
        <v>761</v>
      </c>
      <c r="L168" t="s">
        <v>754</v>
      </c>
      <c r="M168" t="s">
        <v>1920</v>
      </c>
      <c r="N168" t="s">
        <v>763</v>
      </c>
      <c r="O168" t="s">
        <v>764</v>
      </c>
      <c r="P168" t="s">
        <v>63</v>
      </c>
      <c r="R168" t="s">
        <v>1921</v>
      </c>
      <c r="S168" t="s">
        <v>754</v>
      </c>
      <c r="U168" t="s">
        <v>1922</v>
      </c>
      <c r="V168" t="s">
        <v>767</v>
      </c>
      <c r="W168">
        <v>64</v>
      </c>
      <c r="X168" t="s">
        <v>768</v>
      </c>
      <c r="Y168">
        <v>2</v>
      </c>
      <c r="Z168" t="s">
        <v>1923</v>
      </c>
      <c r="AA168">
        <v>8</v>
      </c>
      <c r="AB168" t="s">
        <v>770</v>
      </c>
      <c r="AC168" t="s">
        <v>768</v>
      </c>
      <c r="AD168" t="s">
        <v>1924</v>
      </c>
      <c r="AE168">
        <v>32</v>
      </c>
      <c r="AF168" t="s">
        <v>770</v>
      </c>
      <c r="AG168" t="s">
        <v>768</v>
      </c>
      <c r="AT168" t="s">
        <v>772</v>
      </c>
      <c r="AU168" t="s">
        <v>1925</v>
      </c>
      <c r="AV168" t="str" cm="1">
        <f t="array" ref="AV168">IF(B168=_xlfn.XLOOKUP(B168,VmSpecs[[#All],[VM Name]],VmSpecs[[#All],[VM Name]],"Failed",0,1),"Pass","Fail")</f>
        <v>Fail</v>
      </c>
      <c r="AW168" t="str" cm="1">
        <f t="array" ref="AW168">IF(D168=_xlfn.XLOOKUP($B168,VmSpecs[[#All],[VM Name]],VmSpecs[[#All],[Virtual Machine Resource Groups]],"Failed",0,1),"Pass","Fail")</f>
        <v>Fail</v>
      </c>
      <c r="AX168" t="str" cm="1">
        <f t="array" ref="AX168">IF(_xlfn.IFS(E168="australiacentral","Australia Central 1",E168="australiaeast","Australia East",E168="australiasoutheast","Australia SouthEast")=_xlfn.XLOOKUP($B168,VmSpecs[[#All],[VM Name]],VmSpecs[[#All],[Region]],"Failed",0,1),"Pass","Fail")</f>
        <v>Fail</v>
      </c>
      <c r="AY168" t="str" cm="1">
        <f t="array" ref="AY168">IF(F168=_xlfn.XLOOKUP($B168,VmSpecs[[#All],[VM Name]],VmSpecs[[#All],[Instance size]],"Failed",0,1),"Pass","Fail")</f>
        <v>Fail</v>
      </c>
      <c r="AZ168" t="str" cm="1">
        <f t="array" ref="AZ168">IF(LOWER(H168)=_xlfn.XLOOKUP($B168,VmSpecs[[#All],[VM Name]],VmSpecs[[#All],[Availability Set Name]],"Failed",0,1),"Pass","Fail")</f>
        <v>Fail</v>
      </c>
      <c r="BA168" t="str" cm="1">
        <f t="array" ref="BA168">IF(J168=_xlfn.XLOOKUP($B168,VmSpecs[[#All],[VM Name]],VmSpecs[[#All],[Virtual Network]],"Failed",0,1),"Pass","Fail")</f>
        <v>Fail</v>
      </c>
      <c r="BB168" t="str" cm="1">
        <f t="array" ref="BB168">IF(K168=_xlfn.XLOOKUP($B168,VmSpecs[[#All],[VM Name]],VmSpecs[[#All],[Subnet]],"Failed",0,1),"Pass","Fail")</f>
        <v>Fail</v>
      </c>
      <c r="BC168" t="str" cm="1">
        <f t="array" ref="BC168">IF(M168=_xlfn.XLOOKUP($B168,VmSpecs[[#All],[VM Name]],VmSpecs[[#All],[IP]],"Failed",0,1),"Pass","Fail")</f>
        <v>Fail</v>
      </c>
      <c r="BD168" t="str" cm="1">
        <f t="array" ref="BD168">IF(N168=_xlfn.XLOOKUP($B168,VmSpecs[[#All],[VM Name]],VmSpecs[[#All],[Network Security Group]],"Failed",0,1),"Pass","Fail")</f>
        <v>Fail</v>
      </c>
      <c r="BE168" t="str" cm="1">
        <f t="array" ref="BE168">IF(O168=_xlfn.XLOOKUP($B168,VmSpecs[[#All],[VM Name]],VmSpecs[[#All],[Route Table Name]],"Failed",0,1),"Pass","Fail")</f>
        <v>Fail</v>
      </c>
      <c r="BF168" t="str" cm="1">
        <f t="array" ref="BF168">IF(P168=_xlfn.XLOOKUP($B168,VmSpecs[[#All],[VM Name]],VmSpecs[[#All],[Operating System]],"Failed",0,1),"Pass","Fail")</f>
        <v>Fail</v>
      </c>
      <c r="BG168" t="str" cm="1">
        <f t="array" ref="BG168">IF(R168=_xlfn.XLOOKUP($B168,VmSpecs[[#All],[VM Name]],VmSpecs[[#All],[NIC name]],"Failed",0,1),"Pass","Fail")</f>
        <v>Fail</v>
      </c>
      <c r="BH168" t="str" cm="1">
        <f t="array" ref="BH168">IF(U168=_xlfn.XLOOKUP($B168,VmSpecs[[#All],[VM Name]],VmSpecs[[#All],[OS Disk Name]],"Failed",0,1),"Pass","Fail")</f>
        <v>Fail</v>
      </c>
      <c r="BI168" t="str" cm="1">
        <f t="array" ref="BI168">IF(W168=_xlfn.XLOOKUP($B168,VmSpecs[[#All],[VM Name]],VmSpecs[[#All],[OS Disk Size]],"Failed",0,1),"Pass","Fail")</f>
        <v>Fail</v>
      </c>
      <c r="BJ168" t="str" cm="1">
        <f t="array" ref="BJ168">IF(LEFT(X168,4)=LEFT(_xlfn.XLOOKUP($B168,VmSpecs[[#All],[VM Name]],VmSpecs[[#All],[OS Disk Type (Standard SSD etc)]],"Failed",0,1),4),"Pass","Fail")</f>
        <v>Fail</v>
      </c>
      <c r="BK168" t="str" cm="1">
        <f t="array" ref="BK168">IF(Z168=_xlfn.XLOOKUP($B168,VmSpecs[[#All],[VM Name]],VmSpecs[[#All],[Data Disk1 Name]],"Failed",0,1),"Pass","Fail")</f>
        <v>Fail</v>
      </c>
      <c r="BL168" t="str" cm="1">
        <f t="array" ref="BL168">IF(AA168=_xlfn.XLOOKUP($B168,VmSpecs[[#All],[VM Name]],VmSpecs[[#All],[Data Disk1 Size]],"Failed",0,1),"Pass","Fail")</f>
        <v>Fail</v>
      </c>
      <c r="BM168" t="str" cm="1">
        <f t="array" ref="BM168">IF(LEFT(AC168,4)=LEFT(_xlfn.XLOOKUP($B168,VmSpecs[[#All],[VM Name]],VmSpecs[[#All],[Data Disk1 Type]],"Failed",0,1),4),"Pass","Fail")</f>
        <v>Fail</v>
      </c>
      <c r="BO168" t="e">
        <f>VLOOKUP('VM Specs'!K168,'As Built'!B:B,1,FALSE)</f>
        <v>#N/A</v>
      </c>
      <c r="BP168" t="str">
        <f>IF(ISNA(Table613[[#This Row],[VM Build Sheet Check]]),'VM Specs'!K168,"")</f>
        <v>vmpfbpf2olg29</v>
      </c>
    </row>
    <row r="169" spans="1:68" ht="33" customHeight="1" x14ac:dyDescent="0.35">
      <c r="A169" t="str">
        <f>IF(COUNTIF(AsBuilt[[#This Row],[VM Check]:[Data Disk 1 Type Check]],"Fail")&gt;0,"Fail","Pass")</f>
        <v>Fail</v>
      </c>
      <c r="B169" t="s">
        <v>1926</v>
      </c>
      <c r="C169" t="s">
        <v>754</v>
      </c>
      <c r="D169" t="s">
        <v>755</v>
      </c>
      <c r="E169" t="s">
        <v>756</v>
      </c>
      <c r="F169" t="s">
        <v>801</v>
      </c>
      <c r="G169" t="s">
        <v>758</v>
      </c>
      <c r="H169" t="s">
        <v>1723</v>
      </c>
      <c r="J169" t="s">
        <v>760</v>
      </c>
      <c r="K169" t="s">
        <v>761</v>
      </c>
      <c r="L169" t="s">
        <v>754</v>
      </c>
      <c r="M169" t="s">
        <v>1927</v>
      </c>
      <c r="N169" t="s">
        <v>763</v>
      </c>
      <c r="O169" t="s">
        <v>764</v>
      </c>
      <c r="P169" t="s">
        <v>63</v>
      </c>
      <c r="R169" t="s">
        <v>1928</v>
      </c>
      <c r="S169" t="s">
        <v>754</v>
      </c>
      <c r="U169" t="s">
        <v>1929</v>
      </c>
      <c r="V169" t="s">
        <v>767</v>
      </c>
      <c r="W169">
        <v>64</v>
      </c>
      <c r="X169" t="s">
        <v>768</v>
      </c>
      <c r="Y169">
        <v>2</v>
      </c>
      <c r="Z169" t="s">
        <v>1930</v>
      </c>
      <c r="AA169">
        <v>8</v>
      </c>
      <c r="AB169" t="s">
        <v>770</v>
      </c>
      <c r="AC169" t="s">
        <v>768</v>
      </c>
      <c r="AD169" t="s">
        <v>1931</v>
      </c>
      <c r="AE169">
        <v>32</v>
      </c>
      <c r="AF169" t="s">
        <v>770</v>
      </c>
      <c r="AG169" t="s">
        <v>768</v>
      </c>
      <c r="AT169" t="s">
        <v>772</v>
      </c>
      <c r="AU169" t="s">
        <v>1932</v>
      </c>
      <c r="AV169" t="str" cm="1">
        <f t="array" ref="AV169">IF(B169=_xlfn.XLOOKUP(B169,VmSpecs[[#All],[VM Name]],VmSpecs[[#All],[VM Name]],"Failed",0,1),"Pass","Fail")</f>
        <v>Fail</v>
      </c>
      <c r="AW169" t="str" cm="1">
        <f t="array" ref="AW169">IF(D169=_xlfn.XLOOKUP($B169,VmSpecs[[#All],[VM Name]],VmSpecs[[#All],[Virtual Machine Resource Groups]],"Failed",0,1),"Pass","Fail")</f>
        <v>Fail</v>
      </c>
      <c r="AX169" t="str" cm="1">
        <f t="array" ref="AX169">IF(_xlfn.IFS(E169="australiacentral","Australia Central 1",E169="australiaeast","Australia East",E169="australiasoutheast","Australia SouthEast")=_xlfn.XLOOKUP($B169,VmSpecs[[#All],[VM Name]],VmSpecs[[#All],[Region]],"Failed",0,1),"Pass","Fail")</f>
        <v>Fail</v>
      </c>
      <c r="AY169" t="str" cm="1">
        <f t="array" ref="AY169">IF(F169=_xlfn.XLOOKUP($B169,VmSpecs[[#All],[VM Name]],VmSpecs[[#All],[Instance size]],"Failed",0,1),"Pass","Fail")</f>
        <v>Fail</v>
      </c>
      <c r="AZ169" t="str" cm="1">
        <f t="array" ref="AZ169">IF(LOWER(H169)=_xlfn.XLOOKUP($B169,VmSpecs[[#All],[VM Name]],VmSpecs[[#All],[Availability Set Name]],"Failed",0,1),"Pass","Fail")</f>
        <v>Fail</v>
      </c>
      <c r="BA169" t="str" cm="1">
        <f t="array" ref="BA169">IF(J169=_xlfn.XLOOKUP($B169,VmSpecs[[#All],[VM Name]],VmSpecs[[#All],[Virtual Network]],"Failed",0,1),"Pass","Fail")</f>
        <v>Fail</v>
      </c>
      <c r="BB169" t="str" cm="1">
        <f t="array" ref="BB169">IF(K169=_xlfn.XLOOKUP($B169,VmSpecs[[#All],[VM Name]],VmSpecs[[#All],[Subnet]],"Failed",0,1),"Pass","Fail")</f>
        <v>Fail</v>
      </c>
      <c r="BC169" t="str" cm="1">
        <f t="array" ref="BC169">IF(M169=_xlfn.XLOOKUP($B169,VmSpecs[[#All],[VM Name]],VmSpecs[[#All],[IP]],"Failed",0,1),"Pass","Fail")</f>
        <v>Fail</v>
      </c>
      <c r="BD169" t="str" cm="1">
        <f t="array" ref="BD169">IF(N169=_xlfn.XLOOKUP($B169,VmSpecs[[#All],[VM Name]],VmSpecs[[#All],[Network Security Group]],"Failed",0,1),"Pass","Fail")</f>
        <v>Fail</v>
      </c>
      <c r="BE169" t="str" cm="1">
        <f t="array" ref="BE169">IF(O169=_xlfn.XLOOKUP($B169,VmSpecs[[#All],[VM Name]],VmSpecs[[#All],[Route Table Name]],"Failed",0,1),"Pass","Fail")</f>
        <v>Fail</v>
      </c>
      <c r="BF169" t="str" cm="1">
        <f t="array" ref="BF169">IF(P169=_xlfn.XLOOKUP($B169,VmSpecs[[#All],[VM Name]],VmSpecs[[#All],[Operating System]],"Failed",0,1),"Pass","Fail")</f>
        <v>Fail</v>
      </c>
      <c r="BG169" t="str" cm="1">
        <f t="array" ref="BG169">IF(R169=_xlfn.XLOOKUP($B169,VmSpecs[[#All],[VM Name]],VmSpecs[[#All],[NIC name]],"Failed",0,1),"Pass","Fail")</f>
        <v>Fail</v>
      </c>
      <c r="BH169" t="str" cm="1">
        <f t="array" ref="BH169">IF(U169=_xlfn.XLOOKUP($B169,VmSpecs[[#All],[VM Name]],VmSpecs[[#All],[OS Disk Name]],"Failed",0,1),"Pass","Fail")</f>
        <v>Fail</v>
      </c>
      <c r="BI169" t="str" cm="1">
        <f t="array" ref="BI169">IF(W169=_xlfn.XLOOKUP($B169,VmSpecs[[#All],[VM Name]],VmSpecs[[#All],[OS Disk Size]],"Failed",0,1),"Pass","Fail")</f>
        <v>Fail</v>
      </c>
      <c r="BJ169" t="str" cm="1">
        <f t="array" ref="BJ169">IF(LEFT(X169,4)=LEFT(_xlfn.XLOOKUP($B169,VmSpecs[[#All],[VM Name]],VmSpecs[[#All],[OS Disk Type (Standard SSD etc)]],"Failed",0,1),4),"Pass","Fail")</f>
        <v>Fail</v>
      </c>
      <c r="BK169" t="str" cm="1">
        <f t="array" ref="BK169">IF(Z169=_xlfn.XLOOKUP($B169,VmSpecs[[#All],[VM Name]],VmSpecs[[#All],[Data Disk1 Name]],"Failed",0,1),"Pass","Fail")</f>
        <v>Fail</v>
      </c>
      <c r="BL169" t="str" cm="1">
        <f t="array" ref="BL169">IF(AA169=_xlfn.XLOOKUP($B169,VmSpecs[[#All],[VM Name]],VmSpecs[[#All],[Data Disk1 Size]],"Failed",0,1),"Pass","Fail")</f>
        <v>Fail</v>
      </c>
      <c r="BM169" t="str" cm="1">
        <f t="array" ref="BM169">IF(LEFT(AC169,4)=LEFT(_xlfn.XLOOKUP($B169,VmSpecs[[#All],[VM Name]],VmSpecs[[#All],[Data Disk1 Type]],"Failed",0,1),4),"Pass","Fail")</f>
        <v>Fail</v>
      </c>
      <c r="BO169" t="e">
        <f>VLOOKUP('VM Specs'!K169,'As Built'!B:B,1,FALSE)</f>
        <v>#N/A</v>
      </c>
      <c r="BP169" t="str">
        <f>IF(ISNA(Table613[[#This Row],[VM Build Sheet Check]]),'VM Specs'!K169,"")</f>
        <v>vmpfbpf2olg30</v>
      </c>
    </row>
    <row r="170" spans="1:68" ht="33" customHeight="1" x14ac:dyDescent="0.35">
      <c r="A170" t="str">
        <f>IF(COUNTIF(AsBuilt[[#This Row],[VM Check]:[Data Disk 1 Type Check]],"Fail")&gt;0,"Fail","Pass")</f>
        <v>Fail</v>
      </c>
      <c r="B170" t="s">
        <v>1933</v>
      </c>
      <c r="C170" t="s">
        <v>754</v>
      </c>
      <c r="D170" t="s">
        <v>755</v>
      </c>
      <c r="E170" t="s">
        <v>756</v>
      </c>
      <c r="F170" t="s">
        <v>801</v>
      </c>
      <c r="G170" t="s">
        <v>758</v>
      </c>
      <c r="H170" t="s">
        <v>1723</v>
      </c>
      <c r="J170" t="s">
        <v>760</v>
      </c>
      <c r="K170" t="s">
        <v>761</v>
      </c>
      <c r="L170" t="s">
        <v>754</v>
      </c>
      <c r="M170" t="s">
        <v>1934</v>
      </c>
      <c r="N170" t="s">
        <v>763</v>
      </c>
      <c r="O170" t="s">
        <v>764</v>
      </c>
      <c r="P170" t="s">
        <v>63</v>
      </c>
      <c r="R170" t="s">
        <v>1935</v>
      </c>
      <c r="S170" t="s">
        <v>754</v>
      </c>
      <c r="U170" t="s">
        <v>1936</v>
      </c>
      <c r="V170" t="s">
        <v>767</v>
      </c>
      <c r="W170">
        <v>64</v>
      </c>
      <c r="X170" t="s">
        <v>768</v>
      </c>
      <c r="Y170">
        <v>2</v>
      </c>
      <c r="Z170" t="s">
        <v>1937</v>
      </c>
      <c r="AA170">
        <v>8</v>
      </c>
      <c r="AB170" t="s">
        <v>770</v>
      </c>
      <c r="AC170" t="s">
        <v>768</v>
      </c>
      <c r="AD170" t="s">
        <v>1938</v>
      </c>
      <c r="AE170">
        <v>32</v>
      </c>
      <c r="AF170" t="s">
        <v>770</v>
      </c>
      <c r="AG170" t="s">
        <v>768</v>
      </c>
      <c r="AT170" t="s">
        <v>772</v>
      </c>
      <c r="AU170" t="s">
        <v>1939</v>
      </c>
      <c r="AV170" t="str" cm="1">
        <f t="array" ref="AV170">IF(B170=_xlfn.XLOOKUP(B170,VmSpecs[[#All],[VM Name]],VmSpecs[[#All],[VM Name]],"Failed",0,1),"Pass","Fail")</f>
        <v>Fail</v>
      </c>
      <c r="AW170" t="str" cm="1">
        <f t="array" ref="AW170">IF(D170=_xlfn.XLOOKUP($B170,VmSpecs[[#All],[VM Name]],VmSpecs[[#All],[Virtual Machine Resource Groups]],"Failed",0,1),"Pass","Fail")</f>
        <v>Fail</v>
      </c>
      <c r="AX170" t="str" cm="1">
        <f t="array" ref="AX170">IF(_xlfn.IFS(E170="australiacentral","Australia Central 1",E170="australiaeast","Australia East",E170="australiasoutheast","Australia SouthEast")=_xlfn.XLOOKUP($B170,VmSpecs[[#All],[VM Name]],VmSpecs[[#All],[Region]],"Failed",0,1),"Pass","Fail")</f>
        <v>Fail</v>
      </c>
      <c r="AY170" t="str" cm="1">
        <f t="array" ref="AY170">IF(F170=_xlfn.XLOOKUP($B170,VmSpecs[[#All],[VM Name]],VmSpecs[[#All],[Instance size]],"Failed",0,1),"Pass","Fail")</f>
        <v>Fail</v>
      </c>
      <c r="AZ170" t="str" cm="1">
        <f t="array" ref="AZ170">IF(LOWER(H170)=_xlfn.XLOOKUP($B170,VmSpecs[[#All],[VM Name]],VmSpecs[[#All],[Availability Set Name]],"Failed",0,1),"Pass","Fail")</f>
        <v>Fail</v>
      </c>
      <c r="BA170" t="str" cm="1">
        <f t="array" ref="BA170">IF(J170=_xlfn.XLOOKUP($B170,VmSpecs[[#All],[VM Name]],VmSpecs[[#All],[Virtual Network]],"Failed",0,1),"Pass","Fail")</f>
        <v>Fail</v>
      </c>
      <c r="BB170" t="str" cm="1">
        <f t="array" ref="BB170">IF(K170=_xlfn.XLOOKUP($B170,VmSpecs[[#All],[VM Name]],VmSpecs[[#All],[Subnet]],"Failed",0,1),"Pass","Fail")</f>
        <v>Fail</v>
      </c>
      <c r="BC170" t="str" cm="1">
        <f t="array" ref="BC170">IF(M170=_xlfn.XLOOKUP($B170,VmSpecs[[#All],[VM Name]],VmSpecs[[#All],[IP]],"Failed",0,1),"Pass","Fail")</f>
        <v>Fail</v>
      </c>
      <c r="BD170" t="str" cm="1">
        <f t="array" ref="BD170">IF(N170=_xlfn.XLOOKUP($B170,VmSpecs[[#All],[VM Name]],VmSpecs[[#All],[Network Security Group]],"Failed",0,1),"Pass","Fail")</f>
        <v>Fail</v>
      </c>
      <c r="BE170" t="str" cm="1">
        <f t="array" ref="BE170">IF(O170=_xlfn.XLOOKUP($B170,VmSpecs[[#All],[VM Name]],VmSpecs[[#All],[Route Table Name]],"Failed",0,1),"Pass","Fail")</f>
        <v>Fail</v>
      </c>
      <c r="BF170" t="str" cm="1">
        <f t="array" ref="BF170">IF(P170=_xlfn.XLOOKUP($B170,VmSpecs[[#All],[VM Name]],VmSpecs[[#All],[Operating System]],"Failed",0,1),"Pass","Fail")</f>
        <v>Fail</v>
      </c>
      <c r="BG170" t="str" cm="1">
        <f t="array" ref="BG170">IF(R170=_xlfn.XLOOKUP($B170,VmSpecs[[#All],[VM Name]],VmSpecs[[#All],[NIC name]],"Failed",0,1),"Pass","Fail")</f>
        <v>Fail</v>
      </c>
      <c r="BH170" t="str" cm="1">
        <f t="array" ref="BH170">IF(U170=_xlfn.XLOOKUP($B170,VmSpecs[[#All],[VM Name]],VmSpecs[[#All],[OS Disk Name]],"Failed",0,1),"Pass","Fail")</f>
        <v>Fail</v>
      </c>
      <c r="BI170" t="str" cm="1">
        <f t="array" ref="BI170">IF(W170=_xlfn.XLOOKUP($B170,VmSpecs[[#All],[VM Name]],VmSpecs[[#All],[OS Disk Size]],"Failed",0,1),"Pass","Fail")</f>
        <v>Fail</v>
      </c>
      <c r="BJ170" t="str" cm="1">
        <f t="array" ref="BJ170">IF(LEFT(X170,4)=LEFT(_xlfn.XLOOKUP($B170,VmSpecs[[#All],[VM Name]],VmSpecs[[#All],[OS Disk Type (Standard SSD etc)]],"Failed",0,1),4),"Pass","Fail")</f>
        <v>Fail</v>
      </c>
      <c r="BK170" t="str" cm="1">
        <f t="array" ref="BK170">IF(Z170=_xlfn.XLOOKUP($B170,VmSpecs[[#All],[VM Name]],VmSpecs[[#All],[Data Disk1 Name]],"Failed",0,1),"Pass","Fail")</f>
        <v>Fail</v>
      </c>
      <c r="BL170" t="str" cm="1">
        <f t="array" ref="BL170">IF(AA170=_xlfn.XLOOKUP($B170,VmSpecs[[#All],[VM Name]],VmSpecs[[#All],[Data Disk1 Size]],"Failed",0,1),"Pass","Fail")</f>
        <v>Fail</v>
      </c>
      <c r="BM170" t="str" cm="1">
        <f t="array" ref="BM170">IF(LEFT(AC170,4)=LEFT(_xlfn.XLOOKUP($B170,VmSpecs[[#All],[VM Name]],VmSpecs[[#All],[Data Disk1 Type]],"Failed",0,1),4),"Pass","Fail")</f>
        <v>Fail</v>
      </c>
      <c r="BO170" t="e">
        <f>VLOOKUP('VM Specs'!K170,'As Built'!B:B,1,FALSE)</f>
        <v>#N/A</v>
      </c>
      <c r="BP170" t="str">
        <f>IF(ISNA(Table613[[#This Row],[VM Build Sheet Check]]),'VM Specs'!K170,"")</f>
        <v>vmpfbpf2olg31</v>
      </c>
    </row>
    <row r="171" spans="1:68" ht="33" customHeight="1" x14ac:dyDescent="0.35">
      <c r="A171" t="str">
        <f>IF(COUNTIF(AsBuilt[[#This Row],[VM Check]:[Data Disk 1 Type Check]],"Fail")&gt;0,"Fail","Pass")</f>
        <v>Fail</v>
      </c>
      <c r="B171" t="s">
        <v>1940</v>
      </c>
      <c r="C171" t="s">
        <v>754</v>
      </c>
      <c r="D171" t="s">
        <v>755</v>
      </c>
      <c r="E171" t="s">
        <v>756</v>
      </c>
      <c r="F171" t="s">
        <v>1067</v>
      </c>
      <c r="G171" t="s">
        <v>758</v>
      </c>
      <c r="H171" t="s">
        <v>1941</v>
      </c>
      <c r="J171" t="s">
        <v>760</v>
      </c>
      <c r="K171" t="s">
        <v>761</v>
      </c>
      <c r="L171" t="s">
        <v>754</v>
      </c>
      <c r="M171" t="s">
        <v>1942</v>
      </c>
      <c r="N171" t="s">
        <v>763</v>
      </c>
      <c r="O171" t="s">
        <v>764</v>
      </c>
      <c r="P171" t="s">
        <v>63</v>
      </c>
      <c r="R171" t="s">
        <v>1943</v>
      </c>
      <c r="S171" t="s">
        <v>754</v>
      </c>
      <c r="U171" t="s">
        <v>1944</v>
      </c>
      <c r="V171" t="s">
        <v>767</v>
      </c>
      <c r="W171">
        <v>64</v>
      </c>
      <c r="X171" t="s">
        <v>768</v>
      </c>
      <c r="Y171">
        <v>2</v>
      </c>
      <c r="Z171" t="s">
        <v>1945</v>
      </c>
      <c r="AA171">
        <v>8</v>
      </c>
      <c r="AB171" t="s">
        <v>770</v>
      </c>
      <c r="AC171" t="s">
        <v>768</v>
      </c>
      <c r="AD171" t="s">
        <v>1946</v>
      </c>
      <c r="AE171">
        <v>32</v>
      </c>
      <c r="AF171" t="s">
        <v>770</v>
      </c>
      <c r="AG171" t="s">
        <v>768</v>
      </c>
      <c r="AT171" t="s">
        <v>772</v>
      </c>
      <c r="AU171" t="s">
        <v>1947</v>
      </c>
      <c r="AV171" t="str" cm="1">
        <f t="array" ref="AV171">IF(B171=_xlfn.XLOOKUP(B171,VmSpecs[[#All],[VM Name]],VmSpecs[[#All],[VM Name]],"Failed",0,1),"Pass","Fail")</f>
        <v>Fail</v>
      </c>
      <c r="AW171" t="str" cm="1">
        <f t="array" ref="AW171">IF(D171=_xlfn.XLOOKUP($B171,VmSpecs[[#All],[VM Name]],VmSpecs[[#All],[Virtual Machine Resource Groups]],"Failed",0,1),"Pass","Fail")</f>
        <v>Fail</v>
      </c>
      <c r="AX171" t="str" cm="1">
        <f t="array" ref="AX171">IF(_xlfn.IFS(E171="australiacentral","Australia Central 1",E171="australiaeast","Australia East",E171="australiasoutheast","Australia SouthEast")=_xlfn.XLOOKUP($B171,VmSpecs[[#All],[VM Name]],VmSpecs[[#All],[Region]],"Failed",0,1),"Pass","Fail")</f>
        <v>Fail</v>
      </c>
      <c r="AY171" t="str" cm="1">
        <f t="array" ref="AY171">IF(F171=_xlfn.XLOOKUP($B171,VmSpecs[[#All],[VM Name]],VmSpecs[[#All],[Instance size]],"Failed",0,1),"Pass","Fail")</f>
        <v>Fail</v>
      </c>
      <c r="AZ171" t="str" cm="1">
        <f t="array" ref="AZ171">IF(LOWER(H171)=_xlfn.XLOOKUP($B171,VmSpecs[[#All],[VM Name]],VmSpecs[[#All],[Availability Set Name]],"Failed",0,1),"Pass","Fail")</f>
        <v>Fail</v>
      </c>
      <c r="BA171" t="str" cm="1">
        <f t="array" ref="BA171">IF(J171=_xlfn.XLOOKUP($B171,VmSpecs[[#All],[VM Name]],VmSpecs[[#All],[Virtual Network]],"Failed",0,1),"Pass","Fail")</f>
        <v>Fail</v>
      </c>
      <c r="BB171" t="str" cm="1">
        <f t="array" ref="BB171">IF(K171=_xlfn.XLOOKUP($B171,VmSpecs[[#All],[VM Name]],VmSpecs[[#All],[Subnet]],"Failed",0,1),"Pass","Fail")</f>
        <v>Fail</v>
      </c>
      <c r="BC171" t="str" cm="1">
        <f t="array" ref="BC171">IF(M171=_xlfn.XLOOKUP($B171,VmSpecs[[#All],[VM Name]],VmSpecs[[#All],[IP]],"Failed",0,1),"Pass","Fail")</f>
        <v>Fail</v>
      </c>
      <c r="BD171" t="str" cm="1">
        <f t="array" ref="BD171">IF(N171=_xlfn.XLOOKUP($B171,VmSpecs[[#All],[VM Name]],VmSpecs[[#All],[Network Security Group]],"Failed",0,1),"Pass","Fail")</f>
        <v>Fail</v>
      </c>
      <c r="BE171" t="str" cm="1">
        <f t="array" ref="BE171">IF(O171=_xlfn.XLOOKUP($B171,VmSpecs[[#All],[VM Name]],VmSpecs[[#All],[Route Table Name]],"Failed",0,1),"Pass","Fail")</f>
        <v>Fail</v>
      </c>
      <c r="BF171" t="str" cm="1">
        <f t="array" ref="BF171">IF(P171=_xlfn.XLOOKUP($B171,VmSpecs[[#All],[VM Name]],VmSpecs[[#All],[Operating System]],"Failed",0,1),"Pass","Fail")</f>
        <v>Fail</v>
      </c>
      <c r="BG171" t="str" cm="1">
        <f t="array" ref="BG171">IF(R171=_xlfn.XLOOKUP($B171,VmSpecs[[#All],[VM Name]],VmSpecs[[#All],[NIC name]],"Failed",0,1),"Pass","Fail")</f>
        <v>Fail</v>
      </c>
      <c r="BH171" t="str" cm="1">
        <f t="array" ref="BH171">IF(U171=_xlfn.XLOOKUP($B171,VmSpecs[[#All],[VM Name]],VmSpecs[[#All],[OS Disk Name]],"Failed",0,1),"Pass","Fail")</f>
        <v>Fail</v>
      </c>
      <c r="BI171" t="str" cm="1">
        <f t="array" ref="BI171">IF(W171=_xlfn.XLOOKUP($B171,VmSpecs[[#All],[VM Name]],VmSpecs[[#All],[OS Disk Size]],"Failed",0,1),"Pass","Fail")</f>
        <v>Fail</v>
      </c>
      <c r="BJ171" t="str" cm="1">
        <f t="array" ref="BJ171">IF(LEFT(X171,4)=LEFT(_xlfn.XLOOKUP($B171,VmSpecs[[#All],[VM Name]],VmSpecs[[#All],[OS Disk Type (Standard SSD etc)]],"Failed",0,1),4),"Pass","Fail")</f>
        <v>Fail</v>
      </c>
      <c r="BK171" t="str" cm="1">
        <f t="array" ref="BK171">IF(Z171=_xlfn.XLOOKUP($B171,VmSpecs[[#All],[VM Name]],VmSpecs[[#All],[Data Disk1 Name]],"Failed",0,1),"Pass","Fail")</f>
        <v>Fail</v>
      </c>
      <c r="BL171" t="str" cm="1">
        <f t="array" ref="BL171">IF(AA171=_xlfn.XLOOKUP($B171,VmSpecs[[#All],[VM Name]],VmSpecs[[#All],[Data Disk1 Size]],"Failed",0,1),"Pass","Fail")</f>
        <v>Fail</v>
      </c>
      <c r="BM171" t="str" cm="1">
        <f t="array" ref="BM171">IF(LEFT(AC171,4)=LEFT(_xlfn.XLOOKUP($B171,VmSpecs[[#All],[VM Name]],VmSpecs[[#All],[Data Disk1 Type]],"Failed",0,1),4),"Pass","Fail")</f>
        <v>Fail</v>
      </c>
      <c r="BO171" t="e">
        <f>VLOOKUP('VM Specs'!K171,'As Built'!B:B,1,FALSE)</f>
        <v>#N/A</v>
      </c>
      <c r="BP171" t="str">
        <f>IF(ISNA(Table613[[#This Row],[VM Build Sheet Check]]),'VM Specs'!K171,"")</f>
        <v>vmpfbpf2opt01</v>
      </c>
    </row>
    <row r="172" spans="1:68" ht="33" customHeight="1" x14ac:dyDescent="0.35">
      <c r="A172" t="str">
        <f>IF(COUNTIF(AsBuilt[[#This Row],[VM Check]:[Data Disk 1 Type Check]],"Fail")&gt;0,"Fail","Pass")</f>
        <v>Fail</v>
      </c>
      <c r="B172" t="s">
        <v>1948</v>
      </c>
      <c r="C172" t="s">
        <v>754</v>
      </c>
      <c r="D172" t="s">
        <v>755</v>
      </c>
      <c r="E172" t="s">
        <v>756</v>
      </c>
      <c r="F172" t="s">
        <v>801</v>
      </c>
      <c r="G172" t="s">
        <v>758</v>
      </c>
      <c r="H172" t="s">
        <v>1949</v>
      </c>
      <c r="J172" t="s">
        <v>760</v>
      </c>
      <c r="K172" t="s">
        <v>761</v>
      </c>
      <c r="L172" t="s">
        <v>754</v>
      </c>
      <c r="M172" t="s">
        <v>1950</v>
      </c>
      <c r="N172" t="s">
        <v>763</v>
      </c>
      <c r="O172" t="s">
        <v>764</v>
      </c>
      <c r="P172" t="s">
        <v>63</v>
      </c>
      <c r="R172" t="s">
        <v>1951</v>
      </c>
      <c r="S172" t="s">
        <v>754</v>
      </c>
      <c r="U172" t="s">
        <v>1952</v>
      </c>
      <c r="V172" t="s">
        <v>767</v>
      </c>
      <c r="W172">
        <v>64</v>
      </c>
      <c r="X172" t="s">
        <v>768</v>
      </c>
      <c r="Y172">
        <v>2</v>
      </c>
      <c r="Z172" t="s">
        <v>1953</v>
      </c>
      <c r="AA172">
        <v>8</v>
      </c>
      <c r="AB172" t="s">
        <v>770</v>
      </c>
      <c r="AC172" t="s">
        <v>768</v>
      </c>
      <c r="AD172" t="s">
        <v>1954</v>
      </c>
      <c r="AE172">
        <v>32</v>
      </c>
      <c r="AF172" t="s">
        <v>770</v>
      </c>
      <c r="AG172" t="s">
        <v>768</v>
      </c>
      <c r="AT172" t="s">
        <v>772</v>
      </c>
      <c r="AU172" t="s">
        <v>1955</v>
      </c>
      <c r="AV172" t="str" cm="1">
        <f t="array" ref="AV172">IF(B172=_xlfn.XLOOKUP(B172,VmSpecs[[#All],[VM Name]],VmSpecs[[#All],[VM Name]],"Failed",0,1),"Pass","Fail")</f>
        <v>Fail</v>
      </c>
      <c r="AW172" t="str" cm="1">
        <f t="array" ref="AW172">IF(D172=_xlfn.XLOOKUP($B172,VmSpecs[[#All],[VM Name]],VmSpecs[[#All],[Virtual Machine Resource Groups]],"Failed",0,1),"Pass","Fail")</f>
        <v>Fail</v>
      </c>
      <c r="AX172" t="str" cm="1">
        <f t="array" ref="AX172">IF(_xlfn.IFS(E172="australiacentral","Australia Central 1",E172="australiaeast","Australia East",E172="australiasoutheast","Australia SouthEast")=_xlfn.XLOOKUP($B172,VmSpecs[[#All],[VM Name]],VmSpecs[[#All],[Region]],"Failed",0,1),"Pass","Fail")</f>
        <v>Fail</v>
      </c>
      <c r="AY172" t="str" cm="1">
        <f t="array" ref="AY172">IF(F172=_xlfn.XLOOKUP($B172,VmSpecs[[#All],[VM Name]],VmSpecs[[#All],[Instance size]],"Failed",0,1),"Pass","Fail")</f>
        <v>Fail</v>
      </c>
      <c r="AZ172" t="str" cm="1">
        <f t="array" ref="AZ172">IF(LOWER(H172)=_xlfn.XLOOKUP($B172,VmSpecs[[#All],[VM Name]],VmSpecs[[#All],[Availability Set Name]],"Failed",0,1),"Pass","Fail")</f>
        <v>Fail</v>
      </c>
      <c r="BA172" t="str" cm="1">
        <f t="array" ref="BA172">IF(J172=_xlfn.XLOOKUP($B172,VmSpecs[[#All],[VM Name]],VmSpecs[[#All],[Virtual Network]],"Failed",0,1),"Pass","Fail")</f>
        <v>Fail</v>
      </c>
      <c r="BB172" t="str" cm="1">
        <f t="array" ref="BB172">IF(K172=_xlfn.XLOOKUP($B172,VmSpecs[[#All],[VM Name]],VmSpecs[[#All],[Subnet]],"Failed",0,1),"Pass","Fail")</f>
        <v>Fail</v>
      </c>
      <c r="BC172" t="str" cm="1">
        <f t="array" ref="BC172">IF(M172=_xlfn.XLOOKUP($B172,VmSpecs[[#All],[VM Name]],VmSpecs[[#All],[IP]],"Failed",0,1),"Pass","Fail")</f>
        <v>Fail</v>
      </c>
      <c r="BD172" t="str" cm="1">
        <f t="array" ref="BD172">IF(N172=_xlfn.XLOOKUP($B172,VmSpecs[[#All],[VM Name]],VmSpecs[[#All],[Network Security Group]],"Failed",0,1),"Pass","Fail")</f>
        <v>Fail</v>
      </c>
      <c r="BE172" t="str" cm="1">
        <f t="array" ref="BE172">IF(O172=_xlfn.XLOOKUP($B172,VmSpecs[[#All],[VM Name]],VmSpecs[[#All],[Route Table Name]],"Failed",0,1),"Pass","Fail")</f>
        <v>Fail</v>
      </c>
      <c r="BF172" t="str" cm="1">
        <f t="array" ref="BF172">IF(P172=_xlfn.XLOOKUP($B172,VmSpecs[[#All],[VM Name]],VmSpecs[[#All],[Operating System]],"Failed",0,1),"Pass","Fail")</f>
        <v>Fail</v>
      </c>
      <c r="BG172" t="str" cm="1">
        <f t="array" ref="BG172">IF(R172=_xlfn.XLOOKUP($B172,VmSpecs[[#All],[VM Name]],VmSpecs[[#All],[NIC name]],"Failed",0,1),"Pass","Fail")</f>
        <v>Fail</v>
      </c>
      <c r="BH172" t="str" cm="1">
        <f t="array" ref="BH172">IF(U172=_xlfn.XLOOKUP($B172,VmSpecs[[#All],[VM Name]],VmSpecs[[#All],[OS Disk Name]],"Failed",0,1),"Pass","Fail")</f>
        <v>Fail</v>
      </c>
      <c r="BI172" t="str" cm="1">
        <f t="array" ref="BI172">IF(W172=_xlfn.XLOOKUP($B172,VmSpecs[[#All],[VM Name]],VmSpecs[[#All],[OS Disk Size]],"Failed",0,1),"Pass","Fail")</f>
        <v>Fail</v>
      </c>
      <c r="BJ172" t="str" cm="1">
        <f t="array" ref="BJ172">IF(LEFT(X172,4)=LEFT(_xlfn.XLOOKUP($B172,VmSpecs[[#All],[VM Name]],VmSpecs[[#All],[OS Disk Type (Standard SSD etc)]],"Failed",0,1),4),"Pass","Fail")</f>
        <v>Fail</v>
      </c>
      <c r="BK172" t="str" cm="1">
        <f t="array" ref="BK172">IF(Z172=_xlfn.XLOOKUP($B172,VmSpecs[[#All],[VM Name]],VmSpecs[[#All],[Data Disk1 Name]],"Failed",0,1),"Pass","Fail")</f>
        <v>Fail</v>
      </c>
      <c r="BL172" t="str" cm="1">
        <f t="array" ref="BL172">IF(AA172=_xlfn.XLOOKUP($B172,VmSpecs[[#All],[VM Name]],VmSpecs[[#All],[Data Disk1 Size]],"Failed",0,1),"Pass","Fail")</f>
        <v>Fail</v>
      </c>
      <c r="BM172" t="str" cm="1">
        <f t="array" ref="BM172">IF(LEFT(AC172,4)=LEFT(_xlfn.XLOOKUP($B172,VmSpecs[[#All],[VM Name]],VmSpecs[[#All],[Data Disk1 Type]],"Failed",0,1),4),"Pass","Fail")</f>
        <v>Fail</v>
      </c>
      <c r="BO172" t="e">
        <f>VLOOKUP('VM Specs'!K172,'As Built'!B:B,1,FALSE)</f>
        <v>#N/A</v>
      </c>
      <c r="BP172" t="str">
        <f>IF(ISNA(Table613[[#This Row],[VM Build Sheet Check]]),'VM Specs'!K172,"")</f>
        <v>vmpfbpf2osb01</v>
      </c>
    </row>
    <row r="173" spans="1:68" ht="33" customHeight="1" x14ac:dyDescent="0.35">
      <c r="A173" t="str">
        <f>IF(COUNTIF(AsBuilt[[#This Row],[VM Check]:[Data Disk 1 Type Check]],"Fail")&gt;0,"Fail","Pass")</f>
        <v>Fail</v>
      </c>
      <c r="B173" t="s">
        <v>1956</v>
      </c>
      <c r="C173" t="s">
        <v>754</v>
      </c>
      <c r="D173" t="s">
        <v>755</v>
      </c>
      <c r="E173" t="s">
        <v>756</v>
      </c>
      <c r="F173" t="s">
        <v>801</v>
      </c>
      <c r="G173" t="s">
        <v>758</v>
      </c>
      <c r="H173" t="s">
        <v>1949</v>
      </c>
      <c r="J173" t="s">
        <v>760</v>
      </c>
      <c r="K173" t="s">
        <v>761</v>
      </c>
      <c r="L173" t="s">
        <v>754</v>
      </c>
      <c r="M173" t="s">
        <v>1957</v>
      </c>
      <c r="N173" t="s">
        <v>763</v>
      </c>
      <c r="O173" t="s">
        <v>764</v>
      </c>
      <c r="P173" t="s">
        <v>63</v>
      </c>
      <c r="R173" t="s">
        <v>1958</v>
      </c>
      <c r="S173" t="s">
        <v>754</v>
      </c>
      <c r="U173" t="s">
        <v>1959</v>
      </c>
      <c r="V173" t="s">
        <v>767</v>
      </c>
      <c r="W173">
        <v>64</v>
      </c>
      <c r="X173" t="s">
        <v>768</v>
      </c>
      <c r="Y173">
        <v>2</v>
      </c>
      <c r="Z173" t="s">
        <v>1960</v>
      </c>
      <c r="AA173">
        <v>8</v>
      </c>
      <c r="AB173" t="s">
        <v>770</v>
      </c>
      <c r="AC173" t="s">
        <v>768</v>
      </c>
      <c r="AD173" t="s">
        <v>1961</v>
      </c>
      <c r="AE173">
        <v>32</v>
      </c>
      <c r="AF173" t="s">
        <v>770</v>
      </c>
      <c r="AG173" t="s">
        <v>768</v>
      </c>
      <c r="AT173" t="s">
        <v>772</v>
      </c>
      <c r="AU173" t="s">
        <v>1962</v>
      </c>
      <c r="AV173" t="str" cm="1">
        <f t="array" ref="AV173">IF(B173=_xlfn.XLOOKUP(B173,VmSpecs[[#All],[VM Name]],VmSpecs[[#All],[VM Name]],"Failed",0,1),"Pass","Fail")</f>
        <v>Fail</v>
      </c>
      <c r="AW173" t="str" cm="1">
        <f t="array" ref="AW173">IF(D173=_xlfn.XLOOKUP($B173,VmSpecs[[#All],[VM Name]],VmSpecs[[#All],[Virtual Machine Resource Groups]],"Failed",0,1),"Pass","Fail")</f>
        <v>Fail</v>
      </c>
      <c r="AX173" t="str" cm="1">
        <f t="array" ref="AX173">IF(_xlfn.IFS(E173="australiacentral","Australia Central 1",E173="australiaeast","Australia East",E173="australiasoutheast","Australia SouthEast")=_xlfn.XLOOKUP($B173,VmSpecs[[#All],[VM Name]],VmSpecs[[#All],[Region]],"Failed",0,1),"Pass","Fail")</f>
        <v>Fail</v>
      </c>
      <c r="AY173" t="str" cm="1">
        <f t="array" ref="AY173">IF(F173=_xlfn.XLOOKUP($B173,VmSpecs[[#All],[VM Name]],VmSpecs[[#All],[Instance size]],"Failed",0,1),"Pass","Fail")</f>
        <v>Fail</v>
      </c>
      <c r="AZ173" t="str" cm="1">
        <f t="array" ref="AZ173">IF(LOWER(H173)=_xlfn.XLOOKUP($B173,VmSpecs[[#All],[VM Name]],VmSpecs[[#All],[Availability Set Name]],"Failed",0,1),"Pass","Fail")</f>
        <v>Fail</v>
      </c>
      <c r="BA173" t="str" cm="1">
        <f t="array" ref="BA173">IF(J173=_xlfn.XLOOKUP($B173,VmSpecs[[#All],[VM Name]],VmSpecs[[#All],[Virtual Network]],"Failed",0,1),"Pass","Fail")</f>
        <v>Fail</v>
      </c>
      <c r="BB173" t="str" cm="1">
        <f t="array" ref="BB173">IF(K173=_xlfn.XLOOKUP($B173,VmSpecs[[#All],[VM Name]],VmSpecs[[#All],[Subnet]],"Failed",0,1),"Pass","Fail")</f>
        <v>Fail</v>
      </c>
      <c r="BC173" t="str" cm="1">
        <f t="array" ref="BC173">IF(M173=_xlfn.XLOOKUP($B173,VmSpecs[[#All],[VM Name]],VmSpecs[[#All],[IP]],"Failed",0,1),"Pass","Fail")</f>
        <v>Fail</v>
      </c>
      <c r="BD173" t="str" cm="1">
        <f t="array" ref="BD173">IF(N173=_xlfn.XLOOKUP($B173,VmSpecs[[#All],[VM Name]],VmSpecs[[#All],[Network Security Group]],"Failed",0,1),"Pass","Fail")</f>
        <v>Fail</v>
      </c>
      <c r="BE173" t="str" cm="1">
        <f t="array" ref="BE173">IF(O173=_xlfn.XLOOKUP($B173,VmSpecs[[#All],[VM Name]],VmSpecs[[#All],[Route Table Name]],"Failed",0,1),"Pass","Fail")</f>
        <v>Fail</v>
      </c>
      <c r="BF173" t="str" cm="1">
        <f t="array" ref="BF173">IF(P173=_xlfn.XLOOKUP($B173,VmSpecs[[#All],[VM Name]],VmSpecs[[#All],[Operating System]],"Failed",0,1),"Pass","Fail")</f>
        <v>Fail</v>
      </c>
      <c r="BG173" t="str" cm="1">
        <f t="array" ref="BG173">IF(R173=_xlfn.XLOOKUP($B173,VmSpecs[[#All],[VM Name]],VmSpecs[[#All],[NIC name]],"Failed",0,1),"Pass","Fail")</f>
        <v>Fail</v>
      </c>
      <c r="BH173" t="str" cm="1">
        <f t="array" ref="BH173">IF(U173=_xlfn.XLOOKUP($B173,VmSpecs[[#All],[VM Name]],VmSpecs[[#All],[OS Disk Name]],"Failed",0,1),"Pass","Fail")</f>
        <v>Fail</v>
      </c>
      <c r="BI173" t="str" cm="1">
        <f t="array" ref="BI173">IF(W173=_xlfn.XLOOKUP($B173,VmSpecs[[#All],[VM Name]],VmSpecs[[#All],[OS Disk Size]],"Failed",0,1),"Pass","Fail")</f>
        <v>Fail</v>
      </c>
      <c r="BJ173" t="str" cm="1">
        <f t="array" ref="BJ173">IF(LEFT(X173,4)=LEFT(_xlfn.XLOOKUP($B173,VmSpecs[[#All],[VM Name]],VmSpecs[[#All],[OS Disk Type (Standard SSD etc)]],"Failed",0,1),4),"Pass","Fail")</f>
        <v>Fail</v>
      </c>
      <c r="BK173" t="str" cm="1">
        <f t="array" ref="BK173">IF(Z173=_xlfn.XLOOKUP($B173,VmSpecs[[#All],[VM Name]],VmSpecs[[#All],[Data Disk1 Name]],"Failed",0,1),"Pass","Fail")</f>
        <v>Fail</v>
      </c>
      <c r="BL173" t="str" cm="1">
        <f t="array" ref="BL173">IF(AA173=_xlfn.XLOOKUP($B173,VmSpecs[[#All],[VM Name]],VmSpecs[[#All],[Data Disk1 Size]],"Failed",0,1),"Pass","Fail")</f>
        <v>Fail</v>
      </c>
      <c r="BM173" t="str" cm="1">
        <f t="array" ref="BM173">IF(LEFT(AC173,4)=LEFT(_xlfn.XLOOKUP($B173,VmSpecs[[#All],[VM Name]],VmSpecs[[#All],[Data Disk1 Type]],"Failed",0,1),4),"Pass","Fail")</f>
        <v>Fail</v>
      </c>
      <c r="BO173" t="e">
        <f>VLOOKUP('VM Specs'!K173,'As Built'!B:B,1,FALSE)</f>
        <v>#N/A</v>
      </c>
      <c r="BP173" t="str">
        <f>IF(ISNA(Table613[[#This Row],[VM Build Sheet Check]]),'VM Specs'!K173,"")</f>
        <v>vmpfbpf2osb02</v>
      </c>
    </row>
    <row r="174" spans="1:68" ht="33" customHeight="1" x14ac:dyDescent="0.35">
      <c r="A174" t="str">
        <f>IF(COUNTIF(AsBuilt[[#This Row],[VM Check]:[Data Disk 1 Type Check]],"Fail")&gt;0,"Fail","Pass")</f>
        <v>Fail</v>
      </c>
      <c r="B174" t="s">
        <v>1963</v>
      </c>
      <c r="C174" t="s">
        <v>754</v>
      </c>
      <c r="D174" t="s">
        <v>755</v>
      </c>
      <c r="E174" t="s">
        <v>756</v>
      </c>
      <c r="F174" t="s">
        <v>801</v>
      </c>
      <c r="G174" t="s">
        <v>758</v>
      </c>
      <c r="H174" t="s">
        <v>1949</v>
      </c>
      <c r="J174" t="s">
        <v>760</v>
      </c>
      <c r="K174" t="s">
        <v>761</v>
      </c>
      <c r="L174" t="s">
        <v>754</v>
      </c>
      <c r="M174" t="s">
        <v>1964</v>
      </c>
      <c r="N174" t="s">
        <v>763</v>
      </c>
      <c r="O174" t="s">
        <v>764</v>
      </c>
      <c r="P174" t="s">
        <v>63</v>
      </c>
      <c r="R174" t="s">
        <v>1965</v>
      </c>
      <c r="S174" t="s">
        <v>754</v>
      </c>
      <c r="U174" t="s">
        <v>1966</v>
      </c>
      <c r="V174" t="s">
        <v>767</v>
      </c>
      <c r="W174">
        <v>64</v>
      </c>
      <c r="X174" t="s">
        <v>768</v>
      </c>
      <c r="Y174">
        <v>2</v>
      </c>
      <c r="Z174" t="s">
        <v>1967</v>
      </c>
      <c r="AA174">
        <v>8</v>
      </c>
      <c r="AB174" t="s">
        <v>770</v>
      </c>
      <c r="AC174" t="s">
        <v>768</v>
      </c>
      <c r="AD174" t="s">
        <v>1968</v>
      </c>
      <c r="AE174">
        <v>32</v>
      </c>
      <c r="AF174" t="s">
        <v>770</v>
      </c>
      <c r="AG174" t="s">
        <v>768</v>
      </c>
      <c r="AT174" t="s">
        <v>772</v>
      </c>
      <c r="AU174" t="s">
        <v>1969</v>
      </c>
      <c r="AV174" t="str" cm="1">
        <f t="array" ref="AV174">IF(B174=_xlfn.XLOOKUP(B174,VmSpecs[[#All],[VM Name]],VmSpecs[[#All],[VM Name]],"Failed",0,1),"Pass","Fail")</f>
        <v>Fail</v>
      </c>
      <c r="AW174" t="str" cm="1">
        <f t="array" ref="AW174">IF(D174=_xlfn.XLOOKUP($B174,VmSpecs[[#All],[VM Name]],VmSpecs[[#All],[Virtual Machine Resource Groups]],"Failed",0,1),"Pass","Fail")</f>
        <v>Fail</v>
      </c>
      <c r="AX174" t="str" cm="1">
        <f t="array" ref="AX174">IF(_xlfn.IFS(E174="australiacentral","Australia Central 1",E174="australiaeast","Australia East",E174="australiasoutheast","Australia SouthEast")=_xlfn.XLOOKUP($B174,VmSpecs[[#All],[VM Name]],VmSpecs[[#All],[Region]],"Failed",0,1),"Pass","Fail")</f>
        <v>Fail</v>
      </c>
      <c r="AY174" t="str" cm="1">
        <f t="array" ref="AY174">IF(F174=_xlfn.XLOOKUP($B174,VmSpecs[[#All],[VM Name]],VmSpecs[[#All],[Instance size]],"Failed",0,1),"Pass","Fail")</f>
        <v>Fail</v>
      </c>
      <c r="AZ174" t="str" cm="1">
        <f t="array" ref="AZ174">IF(LOWER(H174)=_xlfn.XLOOKUP($B174,VmSpecs[[#All],[VM Name]],VmSpecs[[#All],[Availability Set Name]],"Failed",0,1),"Pass","Fail")</f>
        <v>Fail</v>
      </c>
      <c r="BA174" t="str" cm="1">
        <f t="array" ref="BA174">IF(J174=_xlfn.XLOOKUP($B174,VmSpecs[[#All],[VM Name]],VmSpecs[[#All],[Virtual Network]],"Failed",0,1),"Pass","Fail")</f>
        <v>Fail</v>
      </c>
      <c r="BB174" t="str" cm="1">
        <f t="array" ref="BB174">IF(K174=_xlfn.XLOOKUP($B174,VmSpecs[[#All],[VM Name]],VmSpecs[[#All],[Subnet]],"Failed",0,1),"Pass","Fail")</f>
        <v>Fail</v>
      </c>
      <c r="BC174" t="str" cm="1">
        <f t="array" ref="BC174">IF(M174=_xlfn.XLOOKUP($B174,VmSpecs[[#All],[VM Name]],VmSpecs[[#All],[IP]],"Failed",0,1),"Pass","Fail")</f>
        <v>Fail</v>
      </c>
      <c r="BD174" t="str" cm="1">
        <f t="array" ref="BD174">IF(N174=_xlfn.XLOOKUP($B174,VmSpecs[[#All],[VM Name]],VmSpecs[[#All],[Network Security Group]],"Failed",0,1),"Pass","Fail")</f>
        <v>Fail</v>
      </c>
      <c r="BE174" t="str" cm="1">
        <f t="array" ref="BE174">IF(O174=_xlfn.XLOOKUP($B174,VmSpecs[[#All],[VM Name]],VmSpecs[[#All],[Route Table Name]],"Failed",0,1),"Pass","Fail")</f>
        <v>Fail</v>
      </c>
      <c r="BF174" t="str" cm="1">
        <f t="array" ref="BF174">IF(P174=_xlfn.XLOOKUP($B174,VmSpecs[[#All],[VM Name]],VmSpecs[[#All],[Operating System]],"Failed",0,1),"Pass","Fail")</f>
        <v>Fail</v>
      </c>
      <c r="BG174" t="str" cm="1">
        <f t="array" ref="BG174">IF(R174=_xlfn.XLOOKUP($B174,VmSpecs[[#All],[VM Name]],VmSpecs[[#All],[NIC name]],"Failed",0,1),"Pass","Fail")</f>
        <v>Fail</v>
      </c>
      <c r="BH174" t="str" cm="1">
        <f t="array" ref="BH174">IF(U174=_xlfn.XLOOKUP($B174,VmSpecs[[#All],[VM Name]],VmSpecs[[#All],[OS Disk Name]],"Failed",0,1),"Pass","Fail")</f>
        <v>Fail</v>
      </c>
      <c r="BI174" t="str" cm="1">
        <f t="array" ref="BI174">IF(W174=_xlfn.XLOOKUP($B174,VmSpecs[[#All],[VM Name]],VmSpecs[[#All],[OS Disk Size]],"Failed",0,1),"Pass","Fail")</f>
        <v>Fail</v>
      </c>
      <c r="BJ174" t="str" cm="1">
        <f t="array" ref="BJ174">IF(LEFT(X174,4)=LEFT(_xlfn.XLOOKUP($B174,VmSpecs[[#All],[VM Name]],VmSpecs[[#All],[OS Disk Type (Standard SSD etc)]],"Failed",0,1),4),"Pass","Fail")</f>
        <v>Fail</v>
      </c>
      <c r="BK174" t="str" cm="1">
        <f t="array" ref="BK174">IF(Z174=_xlfn.XLOOKUP($B174,VmSpecs[[#All],[VM Name]],VmSpecs[[#All],[Data Disk1 Name]],"Failed",0,1),"Pass","Fail")</f>
        <v>Fail</v>
      </c>
      <c r="BL174" t="str" cm="1">
        <f t="array" ref="BL174">IF(AA174=_xlfn.XLOOKUP($B174,VmSpecs[[#All],[VM Name]],VmSpecs[[#All],[Data Disk1 Size]],"Failed",0,1),"Pass","Fail")</f>
        <v>Fail</v>
      </c>
      <c r="BM174" t="str" cm="1">
        <f t="array" ref="BM174">IF(LEFT(AC174,4)=LEFT(_xlfn.XLOOKUP($B174,VmSpecs[[#All],[VM Name]],VmSpecs[[#All],[Data Disk1 Type]],"Failed",0,1),4),"Pass","Fail")</f>
        <v>Fail</v>
      </c>
      <c r="BO174" t="e">
        <f>VLOOKUP('VM Specs'!K174,'As Built'!B:B,1,FALSE)</f>
        <v>#N/A</v>
      </c>
      <c r="BP174" t="str">
        <f>IF(ISNA(Table613[[#This Row],[VM Build Sheet Check]]),'VM Specs'!K174,"")</f>
        <v>vmpfbpf2osb03</v>
      </c>
    </row>
    <row r="175" spans="1:68" ht="33" customHeight="1" x14ac:dyDescent="0.35">
      <c r="A175" t="str">
        <f>IF(COUNTIF(AsBuilt[[#This Row],[VM Check]:[Data Disk 1 Type Check]],"Fail")&gt;0,"Fail","Pass")</f>
        <v>Fail</v>
      </c>
      <c r="B175" t="s">
        <v>1970</v>
      </c>
      <c r="C175" t="s">
        <v>754</v>
      </c>
      <c r="D175" t="s">
        <v>755</v>
      </c>
      <c r="E175" t="s">
        <v>756</v>
      </c>
      <c r="F175" t="s">
        <v>801</v>
      </c>
      <c r="G175" t="s">
        <v>758</v>
      </c>
      <c r="H175" t="s">
        <v>1949</v>
      </c>
      <c r="J175" t="s">
        <v>760</v>
      </c>
      <c r="K175" t="s">
        <v>761</v>
      </c>
      <c r="L175" t="s">
        <v>754</v>
      </c>
      <c r="M175" t="s">
        <v>1971</v>
      </c>
      <c r="N175" t="s">
        <v>763</v>
      </c>
      <c r="O175" t="s">
        <v>764</v>
      </c>
      <c r="P175" t="s">
        <v>63</v>
      </c>
      <c r="R175" t="s">
        <v>1972</v>
      </c>
      <c r="S175" t="s">
        <v>754</v>
      </c>
      <c r="U175" t="s">
        <v>1973</v>
      </c>
      <c r="V175" t="s">
        <v>767</v>
      </c>
      <c r="W175">
        <v>64</v>
      </c>
      <c r="X175" t="s">
        <v>768</v>
      </c>
      <c r="Y175">
        <v>2</v>
      </c>
      <c r="Z175" t="s">
        <v>1974</v>
      </c>
      <c r="AA175">
        <v>8</v>
      </c>
      <c r="AB175" t="s">
        <v>770</v>
      </c>
      <c r="AC175" t="s">
        <v>768</v>
      </c>
      <c r="AD175" t="s">
        <v>1975</v>
      </c>
      <c r="AE175">
        <v>32</v>
      </c>
      <c r="AF175" t="s">
        <v>770</v>
      </c>
      <c r="AG175" t="s">
        <v>768</v>
      </c>
      <c r="AT175" t="s">
        <v>772</v>
      </c>
      <c r="AU175" t="s">
        <v>1976</v>
      </c>
      <c r="AV175" t="str" cm="1">
        <f t="array" ref="AV175">IF(B175=_xlfn.XLOOKUP(B175,VmSpecs[[#All],[VM Name]],VmSpecs[[#All],[VM Name]],"Failed",0,1),"Pass","Fail")</f>
        <v>Fail</v>
      </c>
      <c r="AW175" t="str" cm="1">
        <f t="array" ref="AW175">IF(D175=_xlfn.XLOOKUP($B175,VmSpecs[[#All],[VM Name]],VmSpecs[[#All],[Virtual Machine Resource Groups]],"Failed",0,1),"Pass","Fail")</f>
        <v>Fail</v>
      </c>
      <c r="AX175" t="str" cm="1">
        <f t="array" ref="AX175">IF(_xlfn.IFS(E175="australiacentral","Australia Central 1",E175="australiaeast","Australia East",E175="australiasoutheast","Australia SouthEast")=_xlfn.XLOOKUP($B175,VmSpecs[[#All],[VM Name]],VmSpecs[[#All],[Region]],"Failed",0,1),"Pass","Fail")</f>
        <v>Fail</v>
      </c>
      <c r="AY175" t="str" cm="1">
        <f t="array" ref="AY175">IF(F175=_xlfn.XLOOKUP($B175,VmSpecs[[#All],[VM Name]],VmSpecs[[#All],[Instance size]],"Failed",0,1),"Pass","Fail")</f>
        <v>Fail</v>
      </c>
      <c r="AZ175" t="str" cm="1">
        <f t="array" ref="AZ175">IF(LOWER(H175)=_xlfn.XLOOKUP($B175,VmSpecs[[#All],[VM Name]],VmSpecs[[#All],[Availability Set Name]],"Failed",0,1),"Pass","Fail")</f>
        <v>Fail</v>
      </c>
      <c r="BA175" t="str" cm="1">
        <f t="array" ref="BA175">IF(J175=_xlfn.XLOOKUP($B175,VmSpecs[[#All],[VM Name]],VmSpecs[[#All],[Virtual Network]],"Failed",0,1),"Pass","Fail")</f>
        <v>Fail</v>
      </c>
      <c r="BB175" t="str" cm="1">
        <f t="array" ref="BB175">IF(K175=_xlfn.XLOOKUP($B175,VmSpecs[[#All],[VM Name]],VmSpecs[[#All],[Subnet]],"Failed",0,1),"Pass","Fail")</f>
        <v>Fail</v>
      </c>
      <c r="BC175" t="str" cm="1">
        <f t="array" ref="BC175">IF(M175=_xlfn.XLOOKUP($B175,VmSpecs[[#All],[VM Name]],VmSpecs[[#All],[IP]],"Failed",0,1),"Pass","Fail")</f>
        <v>Fail</v>
      </c>
      <c r="BD175" t="str" cm="1">
        <f t="array" ref="BD175">IF(N175=_xlfn.XLOOKUP($B175,VmSpecs[[#All],[VM Name]],VmSpecs[[#All],[Network Security Group]],"Failed",0,1),"Pass","Fail")</f>
        <v>Fail</v>
      </c>
      <c r="BE175" t="str" cm="1">
        <f t="array" ref="BE175">IF(O175=_xlfn.XLOOKUP($B175,VmSpecs[[#All],[VM Name]],VmSpecs[[#All],[Route Table Name]],"Failed",0,1),"Pass","Fail")</f>
        <v>Fail</v>
      </c>
      <c r="BF175" t="str" cm="1">
        <f t="array" ref="BF175">IF(P175=_xlfn.XLOOKUP($B175,VmSpecs[[#All],[VM Name]],VmSpecs[[#All],[Operating System]],"Failed",0,1),"Pass","Fail")</f>
        <v>Fail</v>
      </c>
      <c r="BG175" t="str" cm="1">
        <f t="array" ref="BG175">IF(R175=_xlfn.XLOOKUP($B175,VmSpecs[[#All],[VM Name]],VmSpecs[[#All],[NIC name]],"Failed",0,1),"Pass","Fail")</f>
        <v>Fail</v>
      </c>
      <c r="BH175" t="str" cm="1">
        <f t="array" ref="BH175">IF(U175=_xlfn.XLOOKUP($B175,VmSpecs[[#All],[VM Name]],VmSpecs[[#All],[OS Disk Name]],"Failed",0,1),"Pass","Fail")</f>
        <v>Fail</v>
      </c>
      <c r="BI175" t="str" cm="1">
        <f t="array" ref="BI175">IF(W175=_xlfn.XLOOKUP($B175,VmSpecs[[#All],[VM Name]],VmSpecs[[#All],[OS Disk Size]],"Failed",0,1),"Pass","Fail")</f>
        <v>Fail</v>
      </c>
      <c r="BJ175" t="str" cm="1">
        <f t="array" ref="BJ175">IF(LEFT(X175,4)=LEFT(_xlfn.XLOOKUP($B175,VmSpecs[[#All],[VM Name]],VmSpecs[[#All],[OS Disk Type (Standard SSD etc)]],"Failed",0,1),4),"Pass","Fail")</f>
        <v>Fail</v>
      </c>
      <c r="BK175" t="str" cm="1">
        <f t="array" ref="BK175">IF(Z175=_xlfn.XLOOKUP($B175,VmSpecs[[#All],[VM Name]],VmSpecs[[#All],[Data Disk1 Name]],"Failed",0,1),"Pass","Fail")</f>
        <v>Fail</v>
      </c>
      <c r="BL175" t="str" cm="1">
        <f t="array" ref="BL175">IF(AA175=_xlfn.XLOOKUP($B175,VmSpecs[[#All],[VM Name]],VmSpecs[[#All],[Data Disk1 Size]],"Failed",0,1),"Pass","Fail")</f>
        <v>Fail</v>
      </c>
      <c r="BM175" t="str" cm="1">
        <f t="array" ref="BM175">IF(LEFT(AC175,4)=LEFT(_xlfn.XLOOKUP($B175,VmSpecs[[#All],[VM Name]],VmSpecs[[#All],[Data Disk1 Type]],"Failed",0,1),4),"Pass","Fail")</f>
        <v>Fail</v>
      </c>
      <c r="BO175" t="e">
        <f>VLOOKUP('VM Specs'!K175,'As Built'!B:B,1,FALSE)</f>
        <v>#N/A</v>
      </c>
      <c r="BP175" t="str">
        <f>IF(ISNA(Table613[[#This Row],[VM Build Sheet Check]]),'VM Specs'!K175,"")</f>
        <v>vmpfbpf2osb04</v>
      </c>
    </row>
    <row r="176" spans="1:68" ht="33" customHeight="1" x14ac:dyDescent="0.35">
      <c r="A176" t="str">
        <f>IF(COUNTIF(AsBuilt[[#This Row],[VM Check]:[Data Disk 1 Type Check]],"Fail")&gt;0,"Fail","Pass")</f>
        <v>Fail</v>
      </c>
      <c r="B176" t="s">
        <v>1977</v>
      </c>
      <c r="C176" t="s">
        <v>754</v>
      </c>
      <c r="D176" t="s">
        <v>755</v>
      </c>
      <c r="E176" t="s">
        <v>756</v>
      </c>
      <c r="F176" t="s">
        <v>801</v>
      </c>
      <c r="G176" t="s">
        <v>758</v>
      </c>
      <c r="H176" t="s">
        <v>1949</v>
      </c>
      <c r="J176" t="s">
        <v>760</v>
      </c>
      <c r="K176" t="s">
        <v>761</v>
      </c>
      <c r="L176" t="s">
        <v>754</v>
      </c>
      <c r="M176" t="s">
        <v>1978</v>
      </c>
      <c r="N176" t="s">
        <v>763</v>
      </c>
      <c r="O176" t="s">
        <v>764</v>
      </c>
      <c r="P176" t="s">
        <v>63</v>
      </c>
      <c r="R176" t="s">
        <v>1979</v>
      </c>
      <c r="S176" t="s">
        <v>754</v>
      </c>
      <c r="U176" t="s">
        <v>1980</v>
      </c>
      <c r="V176" t="s">
        <v>767</v>
      </c>
      <c r="W176">
        <v>64</v>
      </c>
      <c r="X176" t="s">
        <v>768</v>
      </c>
      <c r="Y176">
        <v>2</v>
      </c>
      <c r="Z176" t="s">
        <v>1981</v>
      </c>
      <c r="AA176">
        <v>8</v>
      </c>
      <c r="AB176" t="s">
        <v>770</v>
      </c>
      <c r="AC176" t="s">
        <v>768</v>
      </c>
      <c r="AD176" t="s">
        <v>1982</v>
      </c>
      <c r="AE176">
        <v>32</v>
      </c>
      <c r="AF176" t="s">
        <v>770</v>
      </c>
      <c r="AG176" t="s">
        <v>768</v>
      </c>
      <c r="AT176" t="s">
        <v>772</v>
      </c>
      <c r="AU176" t="s">
        <v>1983</v>
      </c>
      <c r="AV176" t="str" cm="1">
        <f t="array" ref="AV176">IF(B176=_xlfn.XLOOKUP(B176,VmSpecs[[#All],[VM Name]],VmSpecs[[#All],[VM Name]],"Failed",0,1),"Pass","Fail")</f>
        <v>Fail</v>
      </c>
      <c r="AW176" t="str" cm="1">
        <f t="array" ref="AW176">IF(D176=_xlfn.XLOOKUP($B176,VmSpecs[[#All],[VM Name]],VmSpecs[[#All],[Virtual Machine Resource Groups]],"Failed",0,1),"Pass","Fail")</f>
        <v>Fail</v>
      </c>
      <c r="AX176" t="str" cm="1">
        <f t="array" ref="AX176">IF(_xlfn.IFS(E176="australiacentral","Australia Central 1",E176="australiaeast","Australia East",E176="australiasoutheast","Australia SouthEast")=_xlfn.XLOOKUP($B176,VmSpecs[[#All],[VM Name]],VmSpecs[[#All],[Region]],"Failed",0,1),"Pass","Fail")</f>
        <v>Fail</v>
      </c>
      <c r="AY176" t="str" cm="1">
        <f t="array" ref="AY176">IF(F176=_xlfn.XLOOKUP($B176,VmSpecs[[#All],[VM Name]],VmSpecs[[#All],[Instance size]],"Failed",0,1),"Pass","Fail")</f>
        <v>Fail</v>
      </c>
      <c r="AZ176" t="str" cm="1">
        <f t="array" ref="AZ176">IF(LOWER(H176)=_xlfn.XLOOKUP($B176,VmSpecs[[#All],[VM Name]],VmSpecs[[#All],[Availability Set Name]],"Failed",0,1),"Pass","Fail")</f>
        <v>Fail</v>
      </c>
      <c r="BA176" t="str" cm="1">
        <f t="array" ref="BA176">IF(J176=_xlfn.XLOOKUP($B176,VmSpecs[[#All],[VM Name]],VmSpecs[[#All],[Virtual Network]],"Failed",0,1),"Pass","Fail")</f>
        <v>Fail</v>
      </c>
      <c r="BB176" t="str" cm="1">
        <f t="array" ref="BB176">IF(K176=_xlfn.XLOOKUP($B176,VmSpecs[[#All],[VM Name]],VmSpecs[[#All],[Subnet]],"Failed",0,1),"Pass","Fail")</f>
        <v>Fail</v>
      </c>
      <c r="BC176" t="str" cm="1">
        <f t="array" ref="BC176">IF(M176=_xlfn.XLOOKUP($B176,VmSpecs[[#All],[VM Name]],VmSpecs[[#All],[IP]],"Failed",0,1),"Pass","Fail")</f>
        <v>Fail</v>
      </c>
      <c r="BD176" t="str" cm="1">
        <f t="array" ref="BD176">IF(N176=_xlfn.XLOOKUP($B176,VmSpecs[[#All],[VM Name]],VmSpecs[[#All],[Network Security Group]],"Failed",0,1),"Pass","Fail")</f>
        <v>Fail</v>
      </c>
      <c r="BE176" t="str" cm="1">
        <f t="array" ref="BE176">IF(O176=_xlfn.XLOOKUP($B176,VmSpecs[[#All],[VM Name]],VmSpecs[[#All],[Route Table Name]],"Failed",0,1),"Pass","Fail")</f>
        <v>Fail</v>
      </c>
      <c r="BF176" t="str" cm="1">
        <f t="array" ref="BF176">IF(P176=_xlfn.XLOOKUP($B176,VmSpecs[[#All],[VM Name]],VmSpecs[[#All],[Operating System]],"Failed",0,1),"Pass","Fail")</f>
        <v>Fail</v>
      </c>
      <c r="BG176" t="str" cm="1">
        <f t="array" ref="BG176">IF(R176=_xlfn.XLOOKUP($B176,VmSpecs[[#All],[VM Name]],VmSpecs[[#All],[NIC name]],"Failed",0,1),"Pass","Fail")</f>
        <v>Fail</v>
      </c>
      <c r="BH176" t="str" cm="1">
        <f t="array" ref="BH176">IF(U176=_xlfn.XLOOKUP($B176,VmSpecs[[#All],[VM Name]],VmSpecs[[#All],[OS Disk Name]],"Failed",0,1),"Pass","Fail")</f>
        <v>Fail</v>
      </c>
      <c r="BI176" t="str" cm="1">
        <f t="array" ref="BI176">IF(W176=_xlfn.XLOOKUP($B176,VmSpecs[[#All],[VM Name]],VmSpecs[[#All],[OS Disk Size]],"Failed",0,1),"Pass","Fail")</f>
        <v>Fail</v>
      </c>
      <c r="BJ176" t="str" cm="1">
        <f t="array" ref="BJ176">IF(LEFT(X176,4)=LEFT(_xlfn.XLOOKUP($B176,VmSpecs[[#All],[VM Name]],VmSpecs[[#All],[OS Disk Type (Standard SSD etc)]],"Failed",0,1),4),"Pass","Fail")</f>
        <v>Fail</v>
      </c>
      <c r="BK176" t="str" cm="1">
        <f t="array" ref="BK176">IF(Z176=_xlfn.XLOOKUP($B176,VmSpecs[[#All],[VM Name]],VmSpecs[[#All],[Data Disk1 Name]],"Failed",0,1),"Pass","Fail")</f>
        <v>Fail</v>
      </c>
      <c r="BL176" t="str" cm="1">
        <f t="array" ref="BL176">IF(AA176=_xlfn.XLOOKUP($B176,VmSpecs[[#All],[VM Name]],VmSpecs[[#All],[Data Disk1 Size]],"Failed",0,1),"Pass","Fail")</f>
        <v>Fail</v>
      </c>
      <c r="BM176" t="str" cm="1">
        <f t="array" ref="BM176">IF(LEFT(AC176,4)=LEFT(_xlfn.XLOOKUP($B176,VmSpecs[[#All],[VM Name]],VmSpecs[[#All],[Data Disk1 Type]],"Failed",0,1),4),"Pass","Fail")</f>
        <v>Fail</v>
      </c>
      <c r="BO176" t="e">
        <f>VLOOKUP('VM Specs'!K176,'As Built'!B:B,1,FALSE)</f>
        <v>#N/A</v>
      </c>
      <c r="BP176" t="str">
        <f>IF(ISNA(Table613[[#This Row],[VM Build Sheet Check]]),'VM Specs'!K176,"")</f>
        <v>vmpfbpf2osb05</v>
      </c>
    </row>
    <row r="177" spans="1:68" ht="33" customHeight="1" x14ac:dyDescent="0.35">
      <c r="A177" t="str">
        <f>IF(COUNTIF(AsBuilt[[#This Row],[VM Check]:[Data Disk 1 Type Check]],"Fail")&gt;0,"Fail","Pass")</f>
        <v>Fail</v>
      </c>
      <c r="B177" t="s">
        <v>1984</v>
      </c>
      <c r="C177" t="s">
        <v>754</v>
      </c>
      <c r="D177" t="s">
        <v>755</v>
      </c>
      <c r="E177" t="s">
        <v>756</v>
      </c>
      <c r="F177" t="s">
        <v>801</v>
      </c>
      <c r="G177" t="s">
        <v>758</v>
      </c>
      <c r="H177" t="s">
        <v>1949</v>
      </c>
      <c r="J177" t="s">
        <v>760</v>
      </c>
      <c r="K177" t="s">
        <v>761</v>
      </c>
      <c r="L177" t="s">
        <v>754</v>
      </c>
      <c r="M177" t="s">
        <v>1985</v>
      </c>
      <c r="N177" t="s">
        <v>763</v>
      </c>
      <c r="O177" t="s">
        <v>764</v>
      </c>
      <c r="P177" t="s">
        <v>63</v>
      </c>
      <c r="R177" t="s">
        <v>1986</v>
      </c>
      <c r="S177" t="s">
        <v>754</v>
      </c>
      <c r="U177" t="s">
        <v>1987</v>
      </c>
      <c r="V177" t="s">
        <v>767</v>
      </c>
      <c r="W177">
        <v>64</v>
      </c>
      <c r="X177" t="s">
        <v>768</v>
      </c>
      <c r="Y177">
        <v>2</v>
      </c>
      <c r="Z177" t="s">
        <v>1988</v>
      </c>
      <c r="AA177">
        <v>8</v>
      </c>
      <c r="AB177" t="s">
        <v>770</v>
      </c>
      <c r="AC177" t="s">
        <v>768</v>
      </c>
      <c r="AD177" t="s">
        <v>1989</v>
      </c>
      <c r="AE177">
        <v>32</v>
      </c>
      <c r="AF177" t="s">
        <v>770</v>
      </c>
      <c r="AG177" t="s">
        <v>768</v>
      </c>
      <c r="AT177" t="s">
        <v>772</v>
      </c>
      <c r="AU177" t="s">
        <v>1990</v>
      </c>
      <c r="AV177" t="str" cm="1">
        <f t="array" ref="AV177">IF(B177=_xlfn.XLOOKUP(B177,VmSpecs[[#All],[VM Name]],VmSpecs[[#All],[VM Name]],"Failed",0,1),"Pass","Fail")</f>
        <v>Fail</v>
      </c>
      <c r="AW177" t="str" cm="1">
        <f t="array" ref="AW177">IF(D177=_xlfn.XLOOKUP($B177,VmSpecs[[#All],[VM Name]],VmSpecs[[#All],[Virtual Machine Resource Groups]],"Failed",0,1),"Pass","Fail")</f>
        <v>Fail</v>
      </c>
      <c r="AX177" t="str" cm="1">
        <f t="array" ref="AX177">IF(_xlfn.IFS(E177="australiacentral","Australia Central 1",E177="australiaeast","Australia East",E177="australiasoutheast","Australia SouthEast")=_xlfn.XLOOKUP($B177,VmSpecs[[#All],[VM Name]],VmSpecs[[#All],[Region]],"Failed",0,1),"Pass","Fail")</f>
        <v>Fail</v>
      </c>
      <c r="AY177" t="str" cm="1">
        <f t="array" ref="AY177">IF(F177=_xlfn.XLOOKUP($B177,VmSpecs[[#All],[VM Name]],VmSpecs[[#All],[Instance size]],"Failed",0,1),"Pass","Fail")</f>
        <v>Fail</v>
      </c>
      <c r="AZ177" t="str" cm="1">
        <f t="array" ref="AZ177">IF(LOWER(H177)=_xlfn.XLOOKUP($B177,VmSpecs[[#All],[VM Name]],VmSpecs[[#All],[Availability Set Name]],"Failed",0,1),"Pass","Fail")</f>
        <v>Fail</v>
      </c>
      <c r="BA177" t="str" cm="1">
        <f t="array" ref="BA177">IF(J177=_xlfn.XLOOKUP($B177,VmSpecs[[#All],[VM Name]],VmSpecs[[#All],[Virtual Network]],"Failed",0,1),"Pass","Fail")</f>
        <v>Fail</v>
      </c>
      <c r="BB177" t="str" cm="1">
        <f t="array" ref="BB177">IF(K177=_xlfn.XLOOKUP($B177,VmSpecs[[#All],[VM Name]],VmSpecs[[#All],[Subnet]],"Failed",0,1),"Pass","Fail")</f>
        <v>Fail</v>
      </c>
      <c r="BC177" t="str" cm="1">
        <f t="array" ref="BC177">IF(M177=_xlfn.XLOOKUP($B177,VmSpecs[[#All],[VM Name]],VmSpecs[[#All],[IP]],"Failed",0,1),"Pass","Fail")</f>
        <v>Fail</v>
      </c>
      <c r="BD177" t="str" cm="1">
        <f t="array" ref="BD177">IF(N177=_xlfn.XLOOKUP($B177,VmSpecs[[#All],[VM Name]],VmSpecs[[#All],[Network Security Group]],"Failed",0,1),"Pass","Fail")</f>
        <v>Fail</v>
      </c>
      <c r="BE177" t="str" cm="1">
        <f t="array" ref="BE177">IF(O177=_xlfn.XLOOKUP($B177,VmSpecs[[#All],[VM Name]],VmSpecs[[#All],[Route Table Name]],"Failed",0,1),"Pass","Fail")</f>
        <v>Fail</v>
      </c>
      <c r="BF177" t="str" cm="1">
        <f t="array" ref="BF177">IF(P177=_xlfn.XLOOKUP($B177,VmSpecs[[#All],[VM Name]],VmSpecs[[#All],[Operating System]],"Failed",0,1),"Pass","Fail")</f>
        <v>Fail</v>
      </c>
      <c r="BG177" t="str" cm="1">
        <f t="array" ref="BG177">IF(R177=_xlfn.XLOOKUP($B177,VmSpecs[[#All],[VM Name]],VmSpecs[[#All],[NIC name]],"Failed",0,1),"Pass","Fail")</f>
        <v>Fail</v>
      </c>
      <c r="BH177" t="str" cm="1">
        <f t="array" ref="BH177">IF(U177=_xlfn.XLOOKUP($B177,VmSpecs[[#All],[VM Name]],VmSpecs[[#All],[OS Disk Name]],"Failed",0,1),"Pass","Fail")</f>
        <v>Fail</v>
      </c>
      <c r="BI177" t="str" cm="1">
        <f t="array" ref="BI177">IF(W177=_xlfn.XLOOKUP($B177,VmSpecs[[#All],[VM Name]],VmSpecs[[#All],[OS Disk Size]],"Failed",0,1),"Pass","Fail")</f>
        <v>Fail</v>
      </c>
      <c r="BJ177" t="str" cm="1">
        <f t="array" ref="BJ177">IF(LEFT(X177,4)=LEFT(_xlfn.XLOOKUP($B177,VmSpecs[[#All],[VM Name]],VmSpecs[[#All],[OS Disk Type (Standard SSD etc)]],"Failed",0,1),4),"Pass","Fail")</f>
        <v>Fail</v>
      </c>
      <c r="BK177" t="str" cm="1">
        <f t="array" ref="BK177">IF(Z177=_xlfn.XLOOKUP($B177,VmSpecs[[#All],[VM Name]],VmSpecs[[#All],[Data Disk1 Name]],"Failed",0,1),"Pass","Fail")</f>
        <v>Fail</v>
      </c>
      <c r="BL177" t="str" cm="1">
        <f t="array" ref="BL177">IF(AA177=_xlfn.XLOOKUP($B177,VmSpecs[[#All],[VM Name]],VmSpecs[[#All],[Data Disk1 Size]],"Failed",0,1),"Pass","Fail")</f>
        <v>Fail</v>
      </c>
      <c r="BM177" t="str" cm="1">
        <f t="array" ref="BM177">IF(LEFT(AC177,4)=LEFT(_xlfn.XLOOKUP($B177,VmSpecs[[#All],[VM Name]],VmSpecs[[#All],[Data Disk1 Type]],"Failed",0,1),4),"Pass","Fail")</f>
        <v>Fail</v>
      </c>
      <c r="BO177" t="e">
        <f>VLOOKUP('VM Specs'!K177,'As Built'!B:B,1,FALSE)</f>
        <v>#N/A</v>
      </c>
      <c r="BP177" t="str">
        <f>IF(ISNA(Table613[[#This Row],[VM Build Sheet Check]]),'VM Specs'!K177,"")</f>
        <v>vmpfbpf2osb06</v>
      </c>
    </row>
    <row r="178" spans="1:68" ht="33" customHeight="1" x14ac:dyDescent="0.35">
      <c r="A178" t="str">
        <f>IF(COUNTIF(AsBuilt[[#This Row],[VM Check]:[Data Disk 1 Type Check]],"Fail")&gt;0,"Fail","Pass")</f>
        <v>Fail</v>
      </c>
      <c r="B178" t="s">
        <v>1991</v>
      </c>
      <c r="C178" t="s">
        <v>754</v>
      </c>
      <c r="D178" t="s">
        <v>755</v>
      </c>
      <c r="E178" t="s">
        <v>756</v>
      </c>
      <c r="F178" t="s">
        <v>801</v>
      </c>
      <c r="G178" t="s">
        <v>758</v>
      </c>
      <c r="H178" t="s">
        <v>1949</v>
      </c>
      <c r="J178" t="s">
        <v>760</v>
      </c>
      <c r="K178" t="s">
        <v>761</v>
      </c>
      <c r="L178" t="s">
        <v>754</v>
      </c>
      <c r="M178" t="s">
        <v>1992</v>
      </c>
      <c r="N178" t="s">
        <v>763</v>
      </c>
      <c r="O178" t="s">
        <v>764</v>
      </c>
      <c r="P178" t="s">
        <v>63</v>
      </c>
      <c r="R178" t="s">
        <v>1993</v>
      </c>
      <c r="S178" t="s">
        <v>754</v>
      </c>
      <c r="U178" t="s">
        <v>1994</v>
      </c>
      <c r="V178" t="s">
        <v>767</v>
      </c>
      <c r="W178">
        <v>64</v>
      </c>
      <c r="X178" t="s">
        <v>768</v>
      </c>
      <c r="Y178">
        <v>2</v>
      </c>
      <c r="Z178" t="s">
        <v>1995</v>
      </c>
      <c r="AA178">
        <v>8</v>
      </c>
      <c r="AB178" t="s">
        <v>770</v>
      </c>
      <c r="AC178" t="s">
        <v>768</v>
      </c>
      <c r="AD178" t="s">
        <v>1996</v>
      </c>
      <c r="AE178">
        <v>32</v>
      </c>
      <c r="AF178" t="s">
        <v>770</v>
      </c>
      <c r="AG178" t="s">
        <v>768</v>
      </c>
      <c r="AT178" t="s">
        <v>772</v>
      </c>
      <c r="AU178" t="s">
        <v>1997</v>
      </c>
      <c r="AV178" t="str" cm="1">
        <f t="array" ref="AV178">IF(B178=_xlfn.XLOOKUP(B178,VmSpecs[[#All],[VM Name]],VmSpecs[[#All],[VM Name]],"Failed",0,1),"Pass","Fail")</f>
        <v>Fail</v>
      </c>
      <c r="AW178" t="str" cm="1">
        <f t="array" ref="AW178">IF(D178=_xlfn.XLOOKUP($B178,VmSpecs[[#All],[VM Name]],VmSpecs[[#All],[Virtual Machine Resource Groups]],"Failed",0,1),"Pass","Fail")</f>
        <v>Fail</v>
      </c>
      <c r="AX178" t="str" cm="1">
        <f t="array" ref="AX178">IF(_xlfn.IFS(E178="australiacentral","Australia Central 1",E178="australiaeast","Australia East",E178="australiasoutheast","Australia SouthEast")=_xlfn.XLOOKUP($B178,VmSpecs[[#All],[VM Name]],VmSpecs[[#All],[Region]],"Failed",0,1),"Pass","Fail")</f>
        <v>Fail</v>
      </c>
      <c r="AY178" t="str" cm="1">
        <f t="array" ref="AY178">IF(F178=_xlfn.XLOOKUP($B178,VmSpecs[[#All],[VM Name]],VmSpecs[[#All],[Instance size]],"Failed",0,1),"Pass","Fail")</f>
        <v>Fail</v>
      </c>
      <c r="AZ178" t="str" cm="1">
        <f t="array" ref="AZ178">IF(LOWER(H178)=_xlfn.XLOOKUP($B178,VmSpecs[[#All],[VM Name]],VmSpecs[[#All],[Availability Set Name]],"Failed",0,1),"Pass","Fail")</f>
        <v>Fail</v>
      </c>
      <c r="BA178" t="str" cm="1">
        <f t="array" ref="BA178">IF(J178=_xlfn.XLOOKUP($B178,VmSpecs[[#All],[VM Name]],VmSpecs[[#All],[Virtual Network]],"Failed",0,1),"Pass","Fail")</f>
        <v>Fail</v>
      </c>
      <c r="BB178" t="str" cm="1">
        <f t="array" ref="BB178">IF(K178=_xlfn.XLOOKUP($B178,VmSpecs[[#All],[VM Name]],VmSpecs[[#All],[Subnet]],"Failed",0,1),"Pass","Fail")</f>
        <v>Fail</v>
      </c>
      <c r="BC178" t="str" cm="1">
        <f t="array" ref="BC178">IF(M178=_xlfn.XLOOKUP($B178,VmSpecs[[#All],[VM Name]],VmSpecs[[#All],[IP]],"Failed",0,1),"Pass","Fail")</f>
        <v>Fail</v>
      </c>
      <c r="BD178" t="str" cm="1">
        <f t="array" ref="BD178">IF(N178=_xlfn.XLOOKUP($B178,VmSpecs[[#All],[VM Name]],VmSpecs[[#All],[Network Security Group]],"Failed",0,1),"Pass","Fail")</f>
        <v>Fail</v>
      </c>
      <c r="BE178" t="str" cm="1">
        <f t="array" ref="BE178">IF(O178=_xlfn.XLOOKUP($B178,VmSpecs[[#All],[VM Name]],VmSpecs[[#All],[Route Table Name]],"Failed",0,1),"Pass","Fail")</f>
        <v>Fail</v>
      </c>
      <c r="BF178" t="str" cm="1">
        <f t="array" ref="BF178">IF(P178=_xlfn.XLOOKUP($B178,VmSpecs[[#All],[VM Name]],VmSpecs[[#All],[Operating System]],"Failed",0,1),"Pass","Fail")</f>
        <v>Fail</v>
      </c>
      <c r="BG178" t="str" cm="1">
        <f t="array" ref="BG178">IF(R178=_xlfn.XLOOKUP($B178,VmSpecs[[#All],[VM Name]],VmSpecs[[#All],[NIC name]],"Failed",0,1),"Pass","Fail")</f>
        <v>Fail</v>
      </c>
      <c r="BH178" t="str" cm="1">
        <f t="array" ref="BH178">IF(U178=_xlfn.XLOOKUP($B178,VmSpecs[[#All],[VM Name]],VmSpecs[[#All],[OS Disk Name]],"Failed",0,1),"Pass","Fail")</f>
        <v>Fail</v>
      </c>
      <c r="BI178" t="str" cm="1">
        <f t="array" ref="BI178">IF(W178=_xlfn.XLOOKUP($B178,VmSpecs[[#All],[VM Name]],VmSpecs[[#All],[OS Disk Size]],"Failed",0,1),"Pass","Fail")</f>
        <v>Fail</v>
      </c>
      <c r="BJ178" t="str" cm="1">
        <f t="array" ref="BJ178">IF(LEFT(X178,4)=LEFT(_xlfn.XLOOKUP($B178,VmSpecs[[#All],[VM Name]],VmSpecs[[#All],[OS Disk Type (Standard SSD etc)]],"Failed",0,1),4),"Pass","Fail")</f>
        <v>Fail</v>
      </c>
      <c r="BK178" t="str" cm="1">
        <f t="array" ref="BK178">IF(Z178=_xlfn.XLOOKUP($B178,VmSpecs[[#All],[VM Name]],VmSpecs[[#All],[Data Disk1 Name]],"Failed",0,1),"Pass","Fail")</f>
        <v>Fail</v>
      </c>
      <c r="BL178" t="str" cm="1">
        <f t="array" ref="BL178">IF(AA178=_xlfn.XLOOKUP($B178,VmSpecs[[#All],[VM Name]],VmSpecs[[#All],[Data Disk1 Size]],"Failed",0,1),"Pass","Fail")</f>
        <v>Fail</v>
      </c>
      <c r="BM178" t="str" cm="1">
        <f t="array" ref="BM178">IF(LEFT(AC178,4)=LEFT(_xlfn.XLOOKUP($B178,VmSpecs[[#All],[VM Name]],VmSpecs[[#All],[Data Disk1 Type]],"Failed",0,1),4),"Pass","Fail")</f>
        <v>Fail</v>
      </c>
      <c r="BO178" t="e">
        <f>VLOOKUP('VM Specs'!K178,'As Built'!B:B,1,FALSE)</f>
        <v>#N/A</v>
      </c>
      <c r="BP178" t="str">
        <f>IF(ISNA(Table613[[#This Row],[VM Build Sheet Check]]),'VM Specs'!K178,"")</f>
        <v>vmpfbpf2osb07</v>
      </c>
    </row>
    <row r="179" spans="1:68" ht="33" customHeight="1" x14ac:dyDescent="0.35">
      <c r="A179" t="str">
        <f>IF(COUNTIF(AsBuilt[[#This Row],[VM Check]:[Data Disk 1 Type Check]],"Fail")&gt;0,"Fail","Pass")</f>
        <v>Fail</v>
      </c>
      <c r="B179" t="s">
        <v>1998</v>
      </c>
      <c r="C179" t="s">
        <v>754</v>
      </c>
      <c r="D179" t="s">
        <v>755</v>
      </c>
      <c r="E179" t="s">
        <v>756</v>
      </c>
      <c r="F179" t="s">
        <v>801</v>
      </c>
      <c r="G179" t="s">
        <v>758</v>
      </c>
      <c r="H179" t="s">
        <v>1949</v>
      </c>
      <c r="J179" t="s">
        <v>760</v>
      </c>
      <c r="K179" t="s">
        <v>761</v>
      </c>
      <c r="L179" t="s">
        <v>754</v>
      </c>
      <c r="M179" t="s">
        <v>1999</v>
      </c>
      <c r="N179" t="s">
        <v>763</v>
      </c>
      <c r="O179" t="s">
        <v>764</v>
      </c>
      <c r="P179" t="s">
        <v>63</v>
      </c>
      <c r="R179" t="s">
        <v>2000</v>
      </c>
      <c r="S179" t="s">
        <v>754</v>
      </c>
      <c r="U179" t="s">
        <v>2001</v>
      </c>
      <c r="V179" t="s">
        <v>767</v>
      </c>
      <c r="W179">
        <v>64</v>
      </c>
      <c r="X179" t="s">
        <v>768</v>
      </c>
      <c r="Y179">
        <v>2</v>
      </c>
      <c r="Z179" t="s">
        <v>2002</v>
      </c>
      <c r="AA179">
        <v>8</v>
      </c>
      <c r="AB179" t="s">
        <v>770</v>
      </c>
      <c r="AC179" t="s">
        <v>768</v>
      </c>
      <c r="AD179" t="s">
        <v>2003</v>
      </c>
      <c r="AE179">
        <v>32</v>
      </c>
      <c r="AF179" t="s">
        <v>770</v>
      </c>
      <c r="AG179" t="s">
        <v>768</v>
      </c>
      <c r="AT179" t="s">
        <v>772</v>
      </c>
      <c r="AU179" t="s">
        <v>2004</v>
      </c>
      <c r="AV179" t="str" cm="1">
        <f t="array" ref="AV179">IF(B179=_xlfn.XLOOKUP(B179,VmSpecs[[#All],[VM Name]],VmSpecs[[#All],[VM Name]],"Failed",0,1),"Pass","Fail")</f>
        <v>Fail</v>
      </c>
      <c r="AW179" t="str" cm="1">
        <f t="array" ref="AW179">IF(D179=_xlfn.XLOOKUP($B179,VmSpecs[[#All],[VM Name]],VmSpecs[[#All],[Virtual Machine Resource Groups]],"Failed",0,1),"Pass","Fail")</f>
        <v>Fail</v>
      </c>
      <c r="AX179" t="str" cm="1">
        <f t="array" ref="AX179">IF(_xlfn.IFS(E179="australiacentral","Australia Central 1",E179="australiaeast","Australia East",E179="australiasoutheast","Australia SouthEast")=_xlfn.XLOOKUP($B179,VmSpecs[[#All],[VM Name]],VmSpecs[[#All],[Region]],"Failed",0,1),"Pass","Fail")</f>
        <v>Fail</v>
      </c>
      <c r="AY179" t="str" cm="1">
        <f t="array" ref="AY179">IF(F179=_xlfn.XLOOKUP($B179,VmSpecs[[#All],[VM Name]],VmSpecs[[#All],[Instance size]],"Failed",0,1),"Pass","Fail")</f>
        <v>Fail</v>
      </c>
      <c r="AZ179" t="str" cm="1">
        <f t="array" ref="AZ179">IF(LOWER(H179)=_xlfn.XLOOKUP($B179,VmSpecs[[#All],[VM Name]],VmSpecs[[#All],[Availability Set Name]],"Failed",0,1),"Pass","Fail")</f>
        <v>Fail</v>
      </c>
      <c r="BA179" t="str" cm="1">
        <f t="array" ref="BA179">IF(J179=_xlfn.XLOOKUP($B179,VmSpecs[[#All],[VM Name]],VmSpecs[[#All],[Virtual Network]],"Failed",0,1),"Pass","Fail")</f>
        <v>Fail</v>
      </c>
      <c r="BB179" t="str" cm="1">
        <f t="array" ref="BB179">IF(K179=_xlfn.XLOOKUP($B179,VmSpecs[[#All],[VM Name]],VmSpecs[[#All],[Subnet]],"Failed",0,1),"Pass","Fail")</f>
        <v>Fail</v>
      </c>
      <c r="BC179" t="str" cm="1">
        <f t="array" ref="BC179">IF(M179=_xlfn.XLOOKUP($B179,VmSpecs[[#All],[VM Name]],VmSpecs[[#All],[IP]],"Failed",0,1),"Pass","Fail")</f>
        <v>Fail</v>
      </c>
      <c r="BD179" t="str" cm="1">
        <f t="array" ref="BD179">IF(N179=_xlfn.XLOOKUP($B179,VmSpecs[[#All],[VM Name]],VmSpecs[[#All],[Network Security Group]],"Failed",0,1),"Pass","Fail")</f>
        <v>Fail</v>
      </c>
      <c r="BE179" t="str" cm="1">
        <f t="array" ref="BE179">IF(O179=_xlfn.XLOOKUP($B179,VmSpecs[[#All],[VM Name]],VmSpecs[[#All],[Route Table Name]],"Failed",0,1),"Pass","Fail")</f>
        <v>Fail</v>
      </c>
      <c r="BF179" t="str" cm="1">
        <f t="array" ref="BF179">IF(P179=_xlfn.XLOOKUP($B179,VmSpecs[[#All],[VM Name]],VmSpecs[[#All],[Operating System]],"Failed",0,1),"Pass","Fail")</f>
        <v>Fail</v>
      </c>
      <c r="BG179" t="str" cm="1">
        <f t="array" ref="BG179">IF(R179=_xlfn.XLOOKUP($B179,VmSpecs[[#All],[VM Name]],VmSpecs[[#All],[NIC name]],"Failed",0,1),"Pass","Fail")</f>
        <v>Fail</v>
      </c>
      <c r="BH179" t="str" cm="1">
        <f t="array" ref="BH179">IF(U179=_xlfn.XLOOKUP($B179,VmSpecs[[#All],[VM Name]],VmSpecs[[#All],[OS Disk Name]],"Failed",0,1),"Pass","Fail")</f>
        <v>Fail</v>
      </c>
      <c r="BI179" t="str" cm="1">
        <f t="array" ref="BI179">IF(W179=_xlfn.XLOOKUP($B179,VmSpecs[[#All],[VM Name]],VmSpecs[[#All],[OS Disk Size]],"Failed",0,1),"Pass","Fail")</f>
        <v>Fail</v>
      </c>
      <c r="BJ179" t="str" cm="1">
        <f t="array" ref="BJ179">IF(LEFT(X179,4)=LEFT(_xlfn.XLOOKUP($B179,VmSpecs[[#All],[VM Name]],VmSpecs[[#All],[OS Disk Type (Standard SSD etc)]],"Failed",0,1),4),"Pass","Fail")</f>
        <v>Fail</v>
      </c>
      <c r="BK179" t="str" cm="1">
        <f t="array" ref="BK179">IF(Z179=_xlfn.XLOOKUP($B179,VmSpecs[[#All],[VM Name]],VmSpecs[[#All],[Data Disk1 Name]],"Failed",0,1),"Pass","Fail")</f>
        <v>Fail</v>
      </c>
      <c r="BL179" t="str" cm="1">
        <f t="array" ref="BL179">IF(AA179=_xlfn.XLOOKUP($B179,VmSpecs[[#All],[VM Name]],VmSpecs[[#All],[Data Disk1 Size]],"Failed",0,1),"Pass","Fail")</f>
        <v>Fail</v>
      </c>
      <c r="BM179" t="str" cm="1">
        <f t="array" ref="BM179">IF(LEFT(AC179,4)=LEFT(_xlfn.XLOOKUP($B179,VmSpecs[[#All],[VM Name]],VmSpecs[[#All],[Data Disk1 Type]],"Failed",0,1),4),"Pass","Fail")</f>
        <v>Fail</v>
      </c>
      <c r="BO179" t="e">
        <f>VLOOKUP('VM Specs'!K179,'As Built'!B:B,1,FALSE)</f>
        <v>#N/A</v>
      </c>
      <c r="BP179" t="str">
        <f>IF(ISNA(Table613[[#This Row],[VM Build Sheet Check]]),'VM Specs'!K179,"")</f>
        <v>vmpfbpf2osb08</v>
      </c>
    </row>
    <row r="180" spans="1:68" ht="33" customHeight="1" x14ac:dyDescent="0.35">
      <c r="A180" t="str">
        <f>IF(COUNTIF(AsBuilt[[#This Row],[VM Check]:[Data Disk 1 Type Check]],"Fail")&gt;0,"Fail","Pass")</f>
        <v>Fail</v>
      </c>
      <c r="B180" t="s">
        <v>2005</v>
      </c>
      <c r="C180" t="s">
        <v>754</v>
      </c>
      <c r="D180" t="s">
        <v>755</v>
      </c>
      <c r="E180" t="s">
        <v>756</v>
      </c>
      <c r="F180" t="s">
        <v>801</v>
      </c>
      <c r="G180" t="s">
        <v>758</v>
      </c>
      <c r="H180" t="s">
        <v>1949</v>
      </c>
      <c r="J180" t="s">
        <v>760</v>
      </c>
      <c r="K180" t="s">
        <v>761</v>
      </c>
      <c r="L180" t="s">
        <v>754</v>
      </c>
      <c r="M180" t="s">
        <v>2006</v>
      </c>
      <c r="N180" t="s">
        <v>763</v>
      </c>
      <c r="O180" t="s">
        <v>764</v>
      </c>
      <c r="P180" t="s">
        <v>63</v>
      </c>
      <c r="R180" t="s">
        <v>2007</v>
      </c>
      <c r="S180" t="s">
        <v>754</v>
      </c>
      <c r="U180" t="s">
        <v>2008</v>
      </c>
      <c r="V180" t="s">
        <v>767</v>
      </c>
      <c r="W180">
        <v>64</v>
      </c>
      <c r="X180" t="s">
        <v>768</v>
      </c>
      <c r="Y180">
        <v>2</v>
      </c>
      <c r="Z180" t="s">
        <v>2009</v>
      </c>
      <c r="AA180">
        <v>8</v>
      </c>
      <c r="AB180" t="s">
        <v>770</v>
      </c>
      <c r="AC180" t="s">
        <v>768</v>
      </c>
      <c r="AD180" t="s">
        <v>2010</v>
      </c>
      <c r="AE180">
        <v>32</v>
      </c>
      <c r="AF180" t="s">
        <v>770</v>
      </c>
      <c r="AG180" t="s">
        <v>768</v>
      </c>
      <c r="AT180" t="s">
        <v>772</v>
      </c>
      <c r="AU180" t="s">
        <v>2011</v>
      </c>
      <c r="AV180" t="str" cm="1">
        <f t="array" ref="AV180">IF(B180=_xlfn.XLOOKUP(B180,VmSpecs[[#All],[VM Name]],VmSpecs[[#All],[VM Name]],"Failed",0,1),"Pass","Fail")</f>
        <v>Fail</v>
      </c>
      <c r="AW180" t="str" cm="1">
        <f t="array" ref="AW180">IF(D180=_xlfn.XLOOKUP($B180,VmSpecs[[#All],[VM Name]],VmSpecs[[#All],[Virtual Machine Resource Groups]],"Failed",0,1),"Pass","Fail")</f>
        <v>Fail</v>
      </c>
      <c r="AX180" t="str" cm="1">
        <f t="array" ref="AX180">IF(_xlfn.IFS(E180="australiacentral","Australia Central 1",E180="australiaeast","Australia East",E180="australiasoutheast","Australia SouthEast")=_xlfn.XLOOKUP($B180,VmSpecs[[#All],[VM Name]],VmSpecs[[#All],[Region]],"Failed",0,1),"Pass","Fail")</f>
        <v>Fail</v>
      </c>
      <c r="AY180" t="str" cm="1">
        <f t="array" ref="AY180">IF(F180=_xlfn.XLOOKUP($B180,VmSpecs[[#All],[VM Name]],VmSpecs[[#All],[Instance size]],"Failed",0,1),"Pass","Fail")</f>
        <v>Fail</v>
      </c>
      <c r="AZ180" t="str" cm="1">
        <f t="array" ref="AZ180">IF(LOWER(H180)=_xlfn.XLOOKUP($B180,VmSpecs[[#All],[VM Name]],VmSpecs[[#All],[Availability Set Name]],"Failed",0,1),"Pass","Fail")</f>
        <v>Fail</v>
      </c>
      <c r="BA180" t="str" cm="1">
        <f t="array" ref="BA180">IF(J180=_xlfn.XLOOKUP($B180,VmSpecs[[#All],[VM Name]],VmSpecs[[#All],[Virtual Network]],"Failed",0,1),"Pass","Fail")</f>
        <v>Fail</v>
      </c>
      <c r="BB180" t="str" cm="1">
        <f t="array" ref="BB180">IF(K180=_xlfn.XLOOKUP($B180,VmSpecs[[#All],[VM Name]],VmSpecs[[#All],[Subnet]],"Failed",0,1),"Pass","Fail")</f>
        <v>Fail</v>
      </c>
      <c r="BC180" t="str" cm="1">
        <f t="array" ref="BC180">IF(M180=_xlfn.XLOOKUP($B180,VmSpecs[[#All],[VM Name]],VmSpecs[[#All],[IP]],"Failed",0,1),"Pass","Fail")</f>
        <v>Fail</v>
      </c>
      <c r="BD180" t="str" cm="1">
        <f t="array" ref="BD180">IF(N180=_xlfn.XLOOKUP($B180,VmSpecs[[#All],[VM Name]],VmSpecs[[#All],[Network Security Group]],"Failed",0,1),"Pass","Fail")</f>
        <v>Fail</v>
      </c>
      <c r="BE180" t="str" cm="1">
        <f t="array" ref="BE180">IF(O180=_xlfn.XLOOKUP($B180,VmSpecs[[#All],[VM Name]],VmSpecs[[#All],[Route Table Name]],"Failed",0,1),"Pass","Fail")</f>
        <v>Fail</v>
      </c>
      <c r="BF180" t="str" cm="1">
        <f t="array" ref="BF180">IF(P180=_xlfn.XLOOKUP($B180,VmSpecs[[#All],[VM Name]],VmSpecs[[#All],[Operating System]],"Failed",0,1),"Pass","Fail")</f>
        <v>Fail</v>
      </c>
      <c r="BG180" t="str" cm="1">
        <f t="array" ref="BG180">IF(R180=_xlfn.XLOOKUP($B180,VmSpecs[[#All],[VM Name]],VmSpecs[[#All],[NIC name]],"Failed",0,1),"Pass","Fail")</f>
        <v>Fail</v>
      </c>
      <c r="BH180" t="str" cm="1">
        <f t="array" ref="BH180">IF(U180=_xlfn.XLOOKUP($B180,VmSpecs[[#All],[VM Name]],VmSpecs[[#All],[OS Disk Name]],"Failed",0,1),"Pass","Fail")</f>
        <v>Fail</v>
      </c>
      <c r="BI180" t="str" cm="1">
        <f t="array" ref="BI180">IF(W180=_xlfn.XLOOKUP($B180,VmSpecs[[#All],[VM Name]],VmSpecs[[#All],[OS Disk Size]],"Failed",0,1),"Pass","Fail")</f>
        <v>Fail</v>
      </c>
      <c r="BJ180" t="str" cm="1">
        <f t="array" ref="BJ180">IF(LEFT(X180,4)=LEFT(_xlfn.XLOOKUP($B180,VmSpecs[[#All],[VM Name]],VmSpecs[[#All],[OS Disk Type (Standard SSD etc)]],"Failed",0,1),4),"Pass","Fail")</f>
        <v>Fail</v>
      </c>
      <c r="BK180" t="str" cm="1">
        <f t="array" ref="BK180">IF(Z180=_xlfn.XLOOKUP($B180,VmSpecs[[#All],[VM Name]],VmSpecs[[#All],[Data Disk1 Name]],"Failed",0,1),"Pass","Fail")</f>
        <v>Fail</v>
      </c>
      <c r="BL180" t="str" cm="1">
        <f t="array" ref="BL180">IF(AA180=_xlfn.XLOOKUP($B180,VmSpecs[[#All],[VM Name]],VmSpecs[[#All],[Data Disk1 Size]],"Failed",0,1),"Pass","Fail")</f>
        <v>Fail</v>
      </c>
      <c r="BM180" t="str" cm="1">
        <f t="array" ref="BM180">IF(LEFT(AC180,4)=LEFT(_xlfn.XLOOKUP($B180,VmSpecs[[#All],[VM Name]],VmSpecs[[#All],[Data Disk1 Type]],"Failed",0,1),4),"Pass","Fail")</f>
        <v>Fail</v>
      </c>
      <c r="BO180" t="e">
        <f>VLOOKUP('VM Specs'!K180,'As Built'!B:B,1,FALSE)</f>
        <v>#N/A</v>
      </c>
      <c r="BP180" t="str">
        <f>IF(ISNA(Table613[[#This Row],[VM Build Sheet Check]]),'VM Specs'!K180,"")</f>
        <v>vmpfbpf2osb09</v>
      </c>
    </row>
    <row r="181" spans="1:68" ht="33" customHeight="1" x14ac:dyDescent="0.35">
      <c r="A181" t="str">
        <f>IF(COUNTIF(AsBuilt[[#This Row],[VM Check]:[Data Disk 1 Type Check]],"Fail")&gt;0,"Fail","Pass")</f>
        <v>Fail</v>
      </c>
      <c r="B181" t="s">
        <v>2012</v>
      </c>
      <c r="C181" t="s">
        <v>754</v>
      </c>
      <c r="D181" t="s">
        <v>755</v>
      </c>
      <c r="E181" t="s">
        <v>756</v>
      </c>
      <c r="F181" t="s">
        <v>801</v>
      </c>
      <c r="G181" t="s">
        <v>758</v>
      </c>
      <c r="H181" t="s">
        <v>1949</v>
      </c>
      <c r="J181" t="s">
        <v>760</v>
      </c>
      <c r="K181" t="s">
        <v>761</v>
      </c>
      <c r="L181" t="s">
        <v>754</v>
      </c>
      <c r="M181" t="s">
        <v>2013</v>
      </c>
      <c r="N181" t="s">
        <v>763</v>
      </c>
      <c r="O181" t="s">
        <v>764</v>
      </c>
      <c r="P181" t="s">
        <v>63</v>
      </c>
      <c r="R181" t="s">
        <v>2014</v>
      </c>
      <c r="S181" t="s">
        <v>754</v>
      </c>
      <c r="U181" t="s">
        <v>2015</v>
      </c>
      <c r="V181" t="s">
        <v>767</v>
      </c>
      <c r="W181">
        <v>64</v>
      </c>
      <c r="X181" t="s">
        <v>768</v>
      </c>
      <c r="Y181">
        <v>2</v>
      </c>
      <c r="Z181" t="s">
        <v>2016</v>
      </c>
      <c r="AA181">
        <v>8</v>
      </c>
      <c r="AB181" t="s">
        <v>770</v>
      </c>
      <c r="AC181" t="s">
        <v>768</v>
      </c>
      <c r="AD181" t="s">
        <v>2017</v>
      </c>
      <c r="AE181">
        <v>32</v>
      </c>
      <c r="AF181" t="s">
        <v>770</v>
      </c>
      <c r="AG181" t="s">
        <v>768</v>
      </c>
      <c r="AT181" t="s">
        <v>772</v>
      </c>
      <c r="AU181" t="s">
        <v>2018</v>
      </c>
      <c r="AV181" t="str" cm="1">
        <f t="array" ref="AV181">IF(B181=_xlfn.XLOOKUP(B181,VmSpecs[[#All],[VM Name]],VmSpecs[[#All],[VM Name]],"Failed",0,1),"Pass","Fail")</f>
        <v>Fail</v>
      </c>
      <c r="AW181" t="str" cm="1">
        <f t="array" ref="AW181">IF(D181=_xlfn.XLOOKUP($B181,VmSpecs[[#All],[VM Name]],VmSpecs[[#All],[Virtual Machine Resource Groups]],"Failed",0,1),"Pass","Fail")</f>
        <v>Fail</v>
      </c>
      <c r="AX181" t="str" cm="1">
        <f t="array" ref="AX181">IF(_xlfn.IFS(E181="australiacentral","Australia Central 1",E181="australiaeast","Australia East",E181="australiasoutheast","Australia SouthEast")=_xlfn.XLOOKUP($B181,VmSpecs[[#All],[VM Name]],VmSpecs[[#All],[Region]],"Failed",0,1),"Pass","Fail")</f>
        <v>Fail</v>
      </c>
      <c r="AY181" t="str" cm="1">
        <f t="array" ref="AY181">IF(F181=_xlfn.XLOOKUP($B181,VmSpecs[[#All],[VM Name]],VmSpecs[[#All],[Instance size]],"Failed",0,1),"Pass","Fail")</f>
        <v>Fail</v>
      </c>
      <c r="AZ181" t="str" cm="1">
        <f t="array" ref="AZ181">IF(LOWER(H181)=_xlfn.XLOOKUP($B181,VmSpecs[[#All],[VM Name]],VmSpecs[[#All],[Availability Set Name]],"Failed",0,1),"Pass","Fail")</f>
        <v>Fail</v>
      </c>
      <c r="BA181" t="str" cm="1">
        <f t="array" ref="BA181">IF(J181=_xlfn.XLOOKUP($B181,VmSpecs[[#All],[VM Name]],VmSpecs[[#All],[Virtual Network]],"Failed",0,1),"Pass","Fail")</f>
        <v>Fail</v>
      </c>
      <c r="BB181" t="str" cm="1">
        <f t="array" ref="BB181">IF(K181=_xlfn.XLOOKUP($B181,VmSpecs[[#All],[VM Name]],VmSpecs[[#All],[Subnet]],"Failed",0,1),"Pass","Fail")</f>
        <v>Fail</v>
      </c>
      <c r="BC181" t="str" cm="1">
        <f t="array" ref="BC181">IF(M181=_xlfn.XLOOKUP($B181,VmSpecs[[#All],[VM Name]],VmSpecs[[#All],[IP]],"Failed",0,1),"Pass","Fail")</f>
        <v>Fail</v>
      </c>
      <c r="BD181" t="str" cm="1">
        <f t="array" ref="BD181">IF(N181=_xlfn.XLOOKUP($B181,VmSpecs[[#All],[VM Name]],VmSpecs[[#All],[Network Security Group]],"Failed",0,1),"Pass","Fail")</f>
        <v>Fail</v>
      </c>
      <c r="BE181" t="str" cm="1">
        <f t="array" ref="BE181">IF(O181=_xlfn.XLOOKUP($B181,VmSpecs[[#All],[VM Name]],VmSpecs[[#All],[Route Table Name]],"Failed",0,1),"Pass","Fail")</f>
        <v>Fail</v>
      </c>
      <c r="BF181" t="str" cm="1">
        <f t="array" ref="BF181">IF(P181=_xlfn.XLOOKUP($B181,VmSpecs[[#All],[VM Name]],VmSpecs[[#All],[Operating System]],"Failed",0,1),"Pass","Fail")</f>
        <v>Fail</v>
      </c>
      <c r="BG181" t="str" cm="1">
        <f t="array" ref="BG181">IF(R181=_xlfn.XLOOKUP($B181,VmSpecs[[#All],[VM Name]],VmSpecs[[#All],[NIC name]],"Failed",0,1),"Pass","Fail")</f>
        <v>Fail</v>
      </c>
      <c r="BH181" t="str" cm="1">
        <f t="array" ref="BH181">IF(U181=_xlfn.XLOOKUP($B181,VmSpecs[[#All],[VM Name]],VmSpecs[[#All],[OS Disk Name]],"Failed",0,1),"Pass","Fail")</f>
        <v>Fail</v>
      </c>
      <c r="BI181" t="str" cm="1">
        <f t="array" ref="BI181">IF(W181=_xlfn.XLOOKUP($B181,VmSpecs[[#All],[VM Name]],VmSpecs[[#All],[OS Disk Size]],"Failed",0,1),"Pass","Fail")</f>
        <v>Fail</v>
      </c>
      <c r="BJ181" t="str" cm="1">
        <f t="array" ref="BJ181">IF(LEFT(X181,4)=LEFT(_xlfn.XLOOKUP($B181,VmSpecs[[#All],[VM Name]],VmSpecs[[#All],[OS Disk Type (Standard SSD etc)]],"Failed",0,1),4),"Pass","Fail")</f>
        <v>Fail</v>
      </c>
      <c r="BK181" t="str" cm="1">
        <f t="array" ref="BK181">IF(Z181=_xlfn.XLOOKUP($B181,VmSpecs[[#All],[VM Name]],VmSpecs[[#All],[Data Disk1 Name]],"Failed",0,1),"Pass","Fail")</f>
        <v>Fail</v>
      </c>
      <c r="BL181" t="str" cm="1">
        <f t="array" ref="BL181">IF(AA181=_xlfn.XLOOKUP($B181,VmSpecs[[#All],[VM Name]],VmSpecs[[#All],[Data Disk1 Size]],"Failed",0,1),"Pass","Fail")</f>
        <v>Fail</v>
      </c>
      <c r="BM181" t="str" cm="1">
        <f t="array" ref="BM181">IF(LEFT(AC181,4)=LEFT(_xlfn.XLOOKUP($B181,VmSpecs[[#All],[VM Name]],VmSpecs[[#All],[Data Disk1 Type]],"Failed",0,1),4),"Pass","Fail")</f>
        <v>Fail</v>
      </c>
      <c r="BO181" t="e">
        <f>VLOOKUP('VM Specs'!K181,'As Built'!B:B,1,FALSE)</f>
        <v>#N/A</v>
      </c>
      <c r="BP181" t="str">
        <f>IF(ISNA(Table613[[#This Row],[VM Build Sheet Check]]),'VM Specs'!K181,"")</f>
        <v>vmpfbpf2osb10</v>
      </c>
    </row>
    <row r="182" spans="1:68" ht="33" customHeight="1" x14ac:dyDescent="0.35">
      <c r="A182" t="str">
        <f>IF(COUNTIF(AsBuilt[[#This Row],[VM Check]:[Data Disk 1 Type Check]],"Fail")&gt;0,"Fail","Pass")</f>
        <v>Fail</v>
      </c>
      <c r="B182" t="s">
        <v>2019</v>
      </c>
      <c r="C182" t="s">
        <v>754</v>
      </c>
      <c r="D182" t="s">
        <v>755</v>
      </c>
      <c r="E182" t="s">
        <v>756</v>
      </c>
      <c r="F182" t="s">
        <v>757</v>
      </c>
      <c r="G182" t="s">
        <v>758</v>
      </c>
      <c r="H182" t="s">
        <v>2020</v>
      </c>
      <c r="J182" t="s">
        <v>760</v>
      </c>
      <c r="K182" t="s">
        <v>761</v>
      </c>
      <c r="L182" t="s">
        <v>754</v>
      </c>
      <c r="M182" t="s">
        <v>2021</v>
      </c>
      <c r="N182" t="s">
        <v>763</v>
      </c>
      <c r="O182" t="s">
        <v>764</v>
      </c>
      <c r="P182" t="s">
        <v>63</v>
      </c>
      <c r="R182" t="s">
        <v>2022</v>
      </c>
      <c r="S182" t="s">
        <v>754</v>
      </c>
      <c r="U182" t="s">
        <v>2023</v>
      </c>
      <c r="V182" t="s">
        <v>767</v>
      </c>
      <c r="W182">
        <v>64</v>
      </c>
      <c r="X182" t="s">
        <v>768</v>
      </c>
      <c r="Y182">
        <v>2</v>
      </c>
      <c r="Z182" t="s">
        <v>2024</v>
      </c>
      <c r="AA182">
        <v>8</v>
      </c>
      <c r="AB182" t="s">
        <v>770</v>
      </c>
      <c r="AC182" t="s">
        <v>768</v>
      </c>
      <c r="AD182" t="s">
        <v>2025</v>
      </c>
      <c r="AE182">
        <v>32</v>
      </c>
      <c r="AF182" t="s">
        <v>770</v>
      </c>
      <c r="AG182" t="s">
        <v>768</v>
      </c>
      <c r="AT182" t="s">
        <v>772</v>
      </c>
      <c r="AU182" t="s">
        <v>2026</v>
      </c>
      <c r="AV182" t="str" cm="1">
        <f t="array" ref="AV182">IF(B182=_xlfn.XLOOKUP(B182,VmSpecs[[#All],[VM Name]],VmSpecs[[#All],[VM Name]],"Failed",0,1),"Pass","Fail")</f>
        <v>Fail</v>
      </c>
      <c r="AW182" t="str" cm="1">
        <f t="array" ref="AW182">IF(D182=_xlfn.XLOOKUP($B182,VmSpecs[[#All],[VM Name]],VmSpecs[[#All],[Virtual Machine Resource Groups]],"Failed",0,1),"Pass","Fail")</f>
        <v>Fail</v>
      </c>
      <c r="AX182" t="str" cm="1">
        <f t="array" ref="AX182">IF(_xlfn.IFS(E182="australiacentral","Australia Central 1",E182="australiaeast","Australia East",E182="australiasoutheast","Australia SouthEast")=_xlfn.XLOOKUP($B182,VmSpecs[[#All],[VM Name]],VmSpecs[[#All],[Region]],"Failed",0,1),"Pass","Fail")</f>
        <v>Fail</v>
      </c>
      <c r="AY182" t="str" cm="1">
        <f t="array" ref="AY182">IF(F182=_xlfn.XLOOKUP($B182,VmSpecs[[#All],[VM Name]],VmSpecs[[#All],[Instance size]],"Failed",0,1),"Pass","Fail")</f>
        <v>Fail</v>
      </c>
      <c r="AZ182" t="str" cm="1">
        <f t="array" ref="AZ182">IF(LOWER(H182)=_xlfn.XLOOKUP($B182,VmSpecs[[#All],[VM Name]],VmSpecs[[#All],[Availability Set Name]],"Failed",0,1),"Pass","Fail")</f>
        <v>Fail</v>
      </c>
      <c r="BA182" t="str" cm="1">
        <f t="array" ref="BA182">IF(J182=_xlfn.XLOOKUP($B182,VmSpecs[[#All],[VM Name]],VmSpecs[[#All],[Virtual Network]],"Failed",0,1),"Pass","Fail")</f>
        <v>Fail</v>
      </c>
      <c r="BB182" t="str" cm="1">
        <f t="array" ref="BB182">IF(K182=_xlfn.XLOOKUP($B182,VmSpecs[[#All],[VM Name]],VmSpecs[[#All],[Subnet]],"Failed",0,1),"Pass","Fail")</f>
        <v>Fail</v>
      </c>
      <c r="BC182" t="str" cm="1">
        <f t="array" ref="BC182">IF(M182=_xlfn.XLOOKUP($B182,VmSpecs[[#All],[VM Name]],VmSpecs[[#All],[IP]],"Failed",0,1),"Pass","Fail")</f>
        <v>Fail</v>
      </c>
      <c r="BD182" t="str" cm="1">
        <f t="array" ref="BD182">IF(N182=_xlfn.XLOOKUP($B182,VmSpecs[[#All],[VM Name]],VmSpecs[[#All],[Network Security Group]],"Failed",0,1),"Pass","Fail")</f>
        <v>Fail</v>
      </c>
      <c r="BE182" t="str" cm="1">
        <f t="array" ref="BE182">IF(O182=_xlfn.XLOOKUP($B182,VmSpecs[[#All],[VM Name]],VmSpecs[[#All],[Route Table Name]],"Failed",0,1),"Pass","Fail")</f>
        <v>Fail</v>
      </c>
      <c r="BF182" t="str" cm="1">
        <f t="array" ref="BF182">IF(P182=_xlfn.XLOOKUP($B182,VmSpecs[[#All],[VM Name]],VmSpecs[[#All],[Operating System]],"Failed",0,1),"Pass","Fail")</f>
        <v>Fail</v>
      </c>
      <c r="BG182" t="str" cm="1">
        <f t="array" ref="BG182">IF(R182=_xlfn.XLOOKUP($B182,VmSpecs[[#All],[VM Name]],VmSpecs[[#All],[NIC name]],"Failed",0,1),"Pass","Fail")</f>
        <v>Fail</v>
      </c>
      <c r="BH182" t="str" cm="1">
        <f t="array" ref="BH182">IF(U182=_xlfn.XLOOKUP($B182,VmSpecs[[#All],[VM Name]],VmSpecs[[#All],[OS Disk Name]],"Failed",0,1),"Pass","Fail")</f>
        <v>Fail</v>
      </c>
      <c r="BI182" t="str" cm="1">
        <f t="array" ref="BI182">IF(W182=_xlfn.XLOOKUP($B182,VmSpecs[[#All],[VM Name]],VmSpecs[[#All],[OS Disk Size]],"Failed",0,1),"Pass","Fail")</f>
        <v>Fail</v>
      </c>
      <c r="BJ182" t="str" cm="1">
        <f t="array" ref="BJ182">IF(LEFT(X182,4)=LEFT(_xlfn.XLOOKUP($B182,VmSpecs[[#All],[VM Name]],VmSpecs[[#All],[OS Disk Type (Standard SSD etc)]],"Failed",0,1),4),"Pass","Fail")</f>
        <v>Fail</v>
      </c>
      <c r="BK182" t="str" cm="1">
        <f t="array" ref="BK182">IF(Z182=_xlfn.XLOOKUP($B182,VmSpecs[[#All],[VM Name]],VmSpecs[[#All],[Data Disk1 Name]],"Failed",0,1),"Pass","Fail")</f>
        <v>Fail</v>
      </c>
      <c r="BL182" t="str" cm="1">
        <f t="array" ref="BL182">IF(AA182=_xlfn.XLOOKUP($B182,VmSpecs[[#All],[VM Name]],VmSpecs[[#All],[Data Disk1 Size]],"Failed",0,1),"Pass","Fail")</f>
        <v>Fail</v>
      </c>
      <c r="BM182" t="str" cm="1">
        <f t="array" ref="BM182">IF(LEFT(AC182,4)=LEFT(_xlfn.XLOOKUP($B182,VmSpecs[[#All],[VM Name]],VmSpecs[[#All],[Data Disk1 Type]],"Failed",0,1),4),"Pass","Fail")</f>
        <v>Fail</v>
      </c>
      <c r="BO182" t="e">
        <f>VLOOKUP('VM Specs'!K182,'As Built'!B:B,1,FALSE)</f>
        <v>#N/A</v>
      </c>
      <c r="BP182" t="str">
        <f>IF(ISNA(Table613[[#This Row],[VM Build Sheet Check]]),'VM Specs'!K182,"")</f>
        <v>vmpfbpf2sol01</v>
      </c>
    </row>
    <row r="183" spans="1:68" ht="33" customHeight="1" x14ac:dyDescent="0.35">
      <c r="A183" t="str">
        <f>IF(COUNTIF(AsBuilt[[#This Row],[VM Check]:[Data Disk 1 Type Check]],"Fail")&gt;0,"Fail","Pass")</f>
        <v>Fail</v>
      </c>
      <c r="B183" t="s">
        <v>2027</v>
      </c>
      <c r="C183" t="s">
        <v>754</v>
      </c>
      <c r="D183" t="s">
        <v>755</v>
      </c>
      <c r="E183" t="s">
        <v>756</v>
      </c>
      <c r="F183" t="s">
        <v>757</v>
      </c>
      <c r="G183" t="s">
        <v>758</v>
      </c>
      <c r="H183" t="s">
        <v>2020</v>
      </c>
      <c r="J183" t="s">
        <v>760</v>
      </c>
      <c r="K183" t="s">
        <v>761</v>
      </c>
      <c r="L183" t="s">
        <v>754</v>
      </c>
      <c r="M183" t="s">
        <v>2028</v>
      </c>
      <c r="N183" t="s">
        <v>763</v>
      </c>
      <c r="O183" t="s">
        <v>764</v>
      </c>
      <c r="P183" t="s">
        <v>63</v>
      </c>
      <c r="R183" t="s">
        <v>2029</v>
      </c>
      <c r="S183" t="s">
        <v>754</v>
      </c>
      <c r="U183" t="s">
        <v>2030</v>
      </c>
      <c r="V183" t="s">
        <v>767</v>
      </c>
      <c r="W183">
        <v>64</v>
      </c>
      <c r="X183" t="s">
        <v>768</v>
      </c>
      <c r="Y183">
        <v>2</v>
      </c>
      <c r="Z183" t="s">
        <v>2031</v>
      </c>
      <c r="AA183">
        <v>8</v>
      </c>
      <c r="AB183" t="s">
        <v>770</v>
      </c>
      <c r="AC183" t="s">
        <v>768</v>
      </c>
      <c r="AD183" t="s">
        <v>2032</v>
      </c>
      <c r="AE183">
        <v>32</v>
      </c>
      <c r="AF183" t="s">
        <v>770</v>
      </c>
      <c r="AG183" t="s">
        <v>768</v>
      </c>
      <c r="AT183" t="s">
        <v>772</v>
      </c>
      <c r="AU183" t="s">
        <v>2026</v>
      </c>
      <c r="AV183" t="str" cm="1">
        <f t="array" ref="AV183">IF(B183=_xlfn.XLOOKUP(B183,VmSpecs[[#All],[VM Name]],VmSpecs[[#All],[VM Name]],"Failed",0,1),"Pass","Fail")</f>
        <v>Fail</v>
      </c>
      <c r="AW183" t="str" cm="1">
        <f t="array" ref="AW183">IF(D183=_xlfn.XLOOKUP($B183,VmSpecs[[#All],[VM Name]],VmSpecs[[#All],[Virtual Machine Resource Groups]],"Failed",0,1),"Pass","Fail")</f>
        <v>Fail</v>
      </c>
      <c r="AX183" t="str" cm="1">
        <f t="array" ref="AX183">IF(_xlfn.IFS(E183="australiacentral","Australia Central 1",E183="australiaeast","Australia East",E183="australiasoutheast","Australia SouthEast")=_xlfn.XLOOKUP($B183,VmSpecs[[#All],[VM Name]],VmSpecs[[#All],[Region]],"Failed",0,1),"Pass","Fail")</f>
        <v>Fail</v>
      </c>
      <c r="AY183" t="str" cm="1">
        <f t="array" ref="AY183">IF(F183=_xlfn.XLOOKUP($B183,VmSpecs[[#All],[VM Name]],VmSpecs[[#All],[Instance size]],"Failed",0,1),"Pass","Fail")</f>
        <v>Fail</v>
      </c>
      <c r="AZ183" t="str" cm="1">
        <f t="array" ref="AZ183">IF(LOWER(H183)=_xlfn.XLOOKUP($B183,VmSpecs[[#All],[VM Name]],VmSpecs[[#All],[Availability Set Name]],"Failed",0,1),"Pass","Fail")</f>
        <v>Fail</v>
      </c>
      <c r="BA183" t="str" cm="1">
        <f t="array" ref="BA183">IF(J183=_xlfn.XLOOKUP($B183,VmSpecs[[#All],[VM Name]],VmSpecs[[#All],[Virtual Network]],"Failed",0,1),"Pass","Fail")</f>
        <v>Fail</v>
      </c>
      <c r="BB183" t="str" cm="1">
        <f t="array" ref="BB183">IF(K183=_xlfn.XLOOKUP($B183,VmSpecs[[#All],[VM Name]],VmSpecs[[#All],[Subnet]],"Failed",0,1),"Pass","Fail")</f>
        <v>Fail</v>
      </c>
      <c r="BC183" t="str" cm="1">
        <f t="array" ref="BC183">IF(M183=_xlfn.XLOOKUP($B183,VmSpecs[[#All],[VM Name]],VmSpecs[[#All],[IP]],"Failed",0,1),"Pass","Fail")</f>
        <v>Fail</v>
      </c>
      <c r="BD183" t="str" cm="1">
        <f t="array" ref="BD183">IF(N183=_xlfn.XLOOKUP($B183,VmSpecs[[#All],[VM Name]],VmSpecs[[#All],[Network Security Group]],"Failed",0,1),"Pass","Fail")</f>
        <v>Fail</v>
      </c>
      <c r="BE183" t="str" cm="1">
        <f t="array" ref="BE183">IF(O183=_xlfn.XLOOKUP($B183,VmSpecs[[#All],[VM Name]],VmSpecs[[#All],[Route Table Name]],"Failed",0,1),"Pass","Fail")</f>
        <v>Fail</v>
      </c>
      <c r="BF183" t="str" cm="1">
        <f t="array" ref="BF183">IF(P183=_xlfn.XLOOKUP($B183,VmSpecs[[#All],[VM Name]],VmSpecs[[#All],[Operating System]],"Failed",0,1),"Pass","Fail")</f>
        <v>Fail</v>
      </c>
      <c r="BG183" t="str" cm="1">
        <f t="array" ref="BG183">IF(R183=_xlfn.XLOOKUP($B183,VmSpecs[[#All],[VM Name]],VmSpecs[[#All],[NIC name]],"Failed",0,1),"Pass","Fail")</f>
        <v>Fail</v>
      </c>
      <c r="BH183" t="str" cm="1">
        <f t="array" ref="BH183">IF(U183=_xlfn.XLOOKUP($B183,VmSpecs[[#All],[VM Name]],VmSpecs[[#All],[OS Disk Name]],"Failed",0,1),"Pass","Fail")</f>
        <v>Fail</v>
      </c>
      <c r="BI183" t="str" cm="1">
        <f t="array" ref="BI183">IF(W183=_xlfn.XLOOKUP($B183,VmSpecs[[#All],[VM Name]],VmSpecs[[#All],[OS Disk Size]],"Failed",0,1),"Pass","Fail")</f>
        <v>Fail</v>
      </c>
      <c r="BJ183" t="str" cm="1">
        <f t="array" ref="BJ183">IF(LEFT(X183,4)=LEFT(_xlfn.XLOOKUP($B183,VmSpecs[[#All],[VM Name]],VmSpecs[[#All],[OS Disk Type (Standard SSD etc)]],"Failed",0,1),4),"Pass","Fail")</f>
        <v>Fail</v>
      </c>
      <c r="BK183" t="str" cm="1">
        <f t="array" ref="BK183">IF(Z183=_xlfn.XLOOKUP($B183,VmSpecs[[#All],[VM Name]],VmSpecs[[#All],[Data Disk1 Name]],"Failed",0,1),"Pass","Fail")</f>
        <v>Fail</v>
      </c>
      <c r="BL183" t="str" cm="1">
        <f t="array" ref="BL183">IF(AA183=_xlfn.XLOOKUP($B183,VmSpecs[[#All],[VM Name]],VmSpecs[[#All],[Data Disk1 Size]],"Failed",0,1),"Pass","Fail")</f>
        <v>Fail</v>
      </c>
      <c r="BM183" t="str" cm="1">
        <f t="array" ref="BM183">IF(LEFT(AC183,4)=LEFT(_xlfn.XLOOKUP($B183,VmSpecs[[#All],[VM Name]],VmSpecs[[#All],[Data Disk1 Type]],"Failed",0,1),4),"Pass","Fail")</f>
        <v>Fail</v>
      </c>
      <c r="BO183" t="e">
        <f>VLOOKUP('VM Specs'!K183,'As Built'!B:B,1,FALSE)</f>
        <v>#N/A</v>
      </c>
      <c r="BP183" t="str">
        <f>IF(ISNA(Table613[[#This Row],[VM Build Sheet Check]]),'VM Specs'!K183,"")</f>
        <v>vmpfbpf2sol02</v>
      </c>
    </row>
    <row r="184" spans="1:68" ht="33" customHeight="1" x14ac:dyDescent="0.35">
      <c r="A184" t="str">
        <f>IF(COUNTIF(AsBuilt[[#This Row],[VM Check]:[Data Disk 1 Type Check]],"Fail")&gt;0,"Fail","Pass")</f>
        <v>Fail</v>
      </c>
      <c r="B184" t="s">
        <v>2033</v>
      </c>
      <c r="C184" t="s">
        <v>754</v>
      </c>
      <c r="D184" t="s">
        <v>755</v>
      </c>
      <c r="E184" t="s">
        <v>756</v>
      </c>
      <c r="F184" t="s">
        <v>801</v>
      </c>
      <c r="G184" t="s">
        <v>758</v>
      </c>
      <c r="H184" t="s">
        <v>2034</v>
      </c>
      <c r="J184" t="s">
        <v>760</v>
      </c>
      <c r="K184" t="s">
        <v>761</v>
      </c>
      <c r="L184" t="s">
        <v>754</v>
      </c>
      <c r="M184" t="s">
        <v>2035</v>
      </c>
      <c r="N184" t="s">
        <v>763</v>
      </c>
      <c r="O184" t="s">
        <v>764</v>
      </c>
      <c r="P184" t="s">
        <v>63</v>
      </c>
      <c r="R184" t="s">
        <v>2036</v>
      </c>
      <c r="S184" t="s">
        <v>754</v>
      </c>
      <c r="U184" t="s">
        <v>2037</v>
      </c>
      <c r="V184" t="s">
        <v>767</v>
      </c>
      <c r="W184">
        <v>64</v>
      </c>
      <c r="X184" t="s">
        <v>768</v>
      </c>
      <c r="Y184">
        <v>2</v>
      </c>
      <c r="Z184" t="s">
        <v>2038</v>
      </c>
      <c r="AA184">
        <v>8</v>
      </c>
      <c r="AB184" t="s">
        <v>770</v>
      </c>
      <c r="AC184" t="s">
        <v>768</v>
      </c>
      <c r="AD184" t="s">
        <v>2039</v>
      </c>
      <c r="AE184">
        <v>32</v>
      </c>
      <c r="AF184" t="s">
        <v>770</v>
      </c>
      <c r="AG184" t="s">
        <v>768</v>
      </c>
      <c r="AT184" t="s">
        <v>772</v>
      </c>
      <c r="AU184" t="s">
        <v>2040</v>
      </c>
      <c r="AV184" t="str" cm="1">
        <f t="array" ref="AV184">IF(B184=_xlfn.XLOOKUP(B184,VmSpecs[[#All],[VM Name]],VmSpecs[[#All],[VM Name]],"Failed",0,1),"Pass","Fail")</f>
        <v>Fail</v>
      </c>
      <c r="AW184" t="str" cm="1">
        <f t="array" ref="AW184">IF(D184=_xlfn.XLOOKUP($B184,VmSpecs[[#All],[VM Name]],VmSpecs[[#All],[Virtual Machine Resource Groups]],"Failed",0,1),"Pass","Fail")</f>
        <v>Fail</v>
      </c>
      <c r="AX184" t="str" cm="1">
        <f t="array" ref="AX184">IF(_xlfn.IFS(E184="australiacentral","Australia Central 1",E184="australiaeast","Australia East",E184="australiasoutheast","Australia SouthEast")=_xlfn.XLOOKUP($B184,VmSpecs[[#All],[VM Name]],VmSpecs[[#All],[Region]],"Failed",0,1),"Pass","Fail")</f>
        <v>Fail</v>
      </c>
      <c r="AY184" t="str" cm="1">
        <f t="array" ref="AY184">IF(F184=_xlfn.XLOOKUP($B184,VmSpecs[[#All],[VM Name]],VmSpecs[[#All],[Instance size]],"Failed",0,1),"Pass","Fail")</f>
        <v>Fail</v>
      </c>
      <c r="AZ184" t="str" cm="1">
        <f t="array" ref="AZ184">IF(LOWER(H184)=_xlfn.XLOOKUP($B184,VmSpecs[[#All],[VM Name]],VmSpecs[[#All],[Availability Set Name]],"Failed",0,1),"Pass","Fail")</f>
        <v>Fail</v>
      </c>
      <c r="BA184" t="str" cm="1">
        <f t="array" ref="BA184">IF(J184=_xlfn.XLOOKUP($B184,VmSpecs[[#All],[VM Name]],VmSpecs[[#All],[Virtual Network]],"Failed",0,1),"Pass","Fail")</f>
        <v>Fail</v>
      </c>
      <c r="BB184" t="str" cm="1">
        <f t="array" ref="BB184">IF(K184=_xlfn.XLOOKUP($B184,VmSpecs[[#All],[VM Name]],VmSpecs[[#All],[Subnet]],"Failed",0,1),"Pass","Fail")</f>
        <v>Fail</v>
      </c>
      <c r="BC184" t="str" cm="1">
        <f t="array" ref="BC184">IF(M184=_xlfn.XLOOKUP($B184,VmSpecs[[#All],[VM Name]],VmSpecs[[#All],[IP]],"Failed",0,1),"Pass","Fail")</f>
        <v>Fail</v>
      </c>
      <c r="BD184" t="str" cm="1">
        <f t="array" ref="BD184">IF(N184=_xlfn.XLOOKUP($B184,VmSpecs[[#All],[VM Name]],VmSpecs[[#All],[Network Security Group]],"Failed",0,1),"Pass","Fail")</f>
        <v>Fail</v>
      </c>
      <c r="BE184" t="str" cm="1">
        <f t="array" ref="BE184">IF(O184=_xlfn.XLOOKUP($B184,VmSpecs[[#All],[VM Name]],VmSpecs[[#All],[Route Table Name]],"Failed",0,1),"Pass","Fail")</f>
        <v>Fail</v>
      </c>
      <c r="BF184" t="str" cm="1">
        <f t="array" ref="BF184">IF(P184=_xlfn.XLOOKUP($B184,VmSpecs[[#All],[VM Name]],VmSpecs[[#All],[Operating System]],"Failed",0,1),"Pass","Fail")</f>
        <v>Fail</v>
      </c>
      <c r="BG184" t="str" cm="1">
        <f t="array" ref="BG184">IF(R184=_xlfn.XLOOKUP($B184,VmSpecs[[#All],[VM Name]],VmSpecs[[#All],[NIC name]],"Failed",0,1),"Pass","Fail")</f>
        <v>Fail</v>
      </c>
      <c r="BH184" t="str" cm="1">
        <f t="array" ref="BH184">IF(U184=_xlfn.XLOOKUP($B184,VmSpecs[[#All],[VM Name]],VmSpecs[[#All],[OS Disk Name]],"Failed",0,1),"Pass","Fail")</f>
        <v>Fail</v>
      </c>
      <c r="BI184" t="str" cm="1">
        <f t="array" ref="BI184">IF(W184=_xlfn.XLOOKUP($B184,VmSpecs[[#All],[VM Name]],VmSpecs[[#All],[OS Disk Size]],"Failed",0,1),"Pass","Fail")</f>
        <v>Fail</v>
      </c>
      <c r="BJ184" t="str" cm="1">
        <f t="array" ref="BJ184">IF(LEFT(X184,4)=LEFT(_xlfn.XLOOKUP($B184,VmSpecs[[#All],[VM Name]],VmSpecs[[#All],[OS Disk Type (Standard SSD etc)]],"Failed",0,1),4),"Pass","Fail")</f>
        <v>Fail</v>
      </c>
      <c r="BK184" t="str" cm="1">
        <f t="array" ref="BK184">IF(Z184=_xlfn.XLOOKUP($B184,VmSpecs[[#All],[VM Name]],VmSpecs[[#All],[Data Disk1 Name]],"Failed",0,1),"Pass","Fail")</f>
        <v>Fail</v>
      </c>
      <c r="BL184" t="str" cm="1">
        <f t="array" ref="BL184">IF(AA184=_xlfn.XLOOKUP($B184,VmSpecs[[#All],[VM Name]],VmSpecs[[#All],[Data Disk1 Size]],"Failed",0,1),"Pass","Fail")</f>
        <v>Fail</v>
      </c>
      <c r="BM184" t="str" cm="1">
        <f t="array" ref="BM184">IF(LEFT(AC184,4)=LEFT(_xlfn.XLOOKUP($B184,VmSpecs[[#All],[VM Name]],VmSpecs[[#All],[Data Disk1 Type]],"Failed",0,1),4),"Pass","Fail")</f>
        <v>Fail</v>
      </c>
      <c r="BO184" t="e">
        <f>VLOOKUP('VM Specs'!K184,'As Built'!B:B,1,FALSE)</f>
        <v>#N/A</v>
      </c>
      <c r="BP184" t="str">
        <f>IF(ISNA(Table613[[#This Row],[VM Build Sheet Check]]),'VM Specs'!K184,"")</f>
        <v>vmpfbpf2wbc01</v>
      </c>
    </row>
    <row r="185" spans="1:68" ht="33" customHeight="1" x14ac:dyDescent="0.35">
      <c r="A185" t="str">
        <f>IF(COUNTIF(AsBuilt[[#This Row],[VM Check]:[Data Disk 1 Type Check]],"Fail")&gt;0,"Fail","Pass")</f>
        <v>Fail</v>
      </c>
      <c r="B185" t="s">
        <v>2041</v>
      </c>
      <c r="C185" t="s">
        <v>754</v>
      </c>
      <c r="D185" t="s">
        <v>755</v>
      </c>
      <c r="E185" t="s">
        <v>756</v>
      </c>
      <c r="F185" t="s">
        <v>801</v>
      </c>
      <c r="G185" t="s">
        <v>758</v>
      </c>
      <c r="H185" t="s">
        <v>2034</v>
      </c>
      <c r="J185" t="s">
        <v>760</v>
      </c>
      <c r="K185" t="s">
        <v>761</v>
      </c>
      <c r="L185" t="s">
        <v>754</v>
      </c>
      <c r="M185" t="s">
        <v>2042</v>
      </c>
      <c r="N185" t="s">
        <v>763</v>
      </c>
      <c r="O185" t="s">
        <v>764</v>
      </c>
      <c r="P185" t="s">
        <v>63</v>
      </c>
      <c r="R185" t="s">
        <v>2043</v>
      </c>
      <c r="S185" t="s">
        <v>754</v>
      </c>
      <c r="U185" t="s">
        <v>2044</v>
      </c>
      <c r="V185" t="s">
        <v>767</v>
      </c>
      <c r="W185">
        <v>64</v>
      </c>
      <c r="X185" t="s">
        <v>768</v>
      </c>
      <c r="Y185">
        <v>2</v>
      </c>
      <c r="Z185" t="s">
        <v>2045</v>
      </c>
      <c r="AA185">
        <v>8</v>
      </c>
      <c r="AB185" t="s">
        <v>770</v>
      </c>
      <c r="AC185" t="s">
        <v>768</v>
      </c>
      <c r="AD185" t="s">
        <v>2046</v>
      </c>
      <c r="AE185">
        <v>32</v>
      </c>
      <c r="AF185" t="s">
        <v>770</v>
      </c>
      <c r="AG185" t="s">
        <v>768</v>
      </c>
      <c r="AT185" t="s">
        <v>772</v>
      </c>
      <c r="AU185" t="s">
        <v>2047</v>
      </c>
      <c r="AV185" t="str" cm="1">
        <f t="array" ref="AV185">IF(B185=_xlfn.XLOOKUP(B185,VmSpecs[[#All],[VM Name]],VmSpecs[[#All],[VM Name]],"Failed",0,1),"Pass","Fail")</f>
        <v>Fail</v>
      </c>
      <c r="AW185" t="str" cm="1">
        <f t="array" ref="AW185">IF(D185=_xlfn.XLOOKUP($B185,VmSpecs[[#All],[VM Name]],VmSpecs[[#All],[Virtual Machine Resource Groups]],"Failed",0,1),"Pass","Fail")</f>
        <v>Fail</v>
      </c>
      <c r="AX185" t="str" cm="1">
        <f t="array" ref="AX185">IF(_xlfn.IFS(E185="australiacentral","Australia Central 1",E185="australiaeast","Australia East",E185="australiasoutheast","Australia SouthEast")=_xlfn.XLOOKUP($B185,VmSpecs[[#All],[VM Name]],VmSpecs[[#All],[Region]],"Failed",0,1),"Pass","Fail")</f>
        <v>Fail</v>
      </c>
      <c r="AY185" t="str" cm="1">
        <f t="array" ref="AY185">IF(F185=_xlfn.XLOOKUP($B185,VmSpecs[[#All],[VM Name]],VmSpecs[[#All],[Instance size]],"Failed",0,1),"Pass","Fail")</f>
        <v>Fail</v>
      </c>
      <c r="AZ185" t="str" cm="1">
        <f t="array" ref="AZ185">IF(LOWER(H185)=_xlfn.XLOOKUP($B185,VmSpecs[[#All],[VM Name]],VmSpecs[[#All],[Availability Set Name]],"Failed",0,1),"Pass","Fail")</f>
        <v>Fail</v>
      </c>
      <c r="BA185" t="str" cm="1">
        <f t="array" ref="BA185">IF(J185=_xlfn.XLOOKUP($B185,VmSpecs[[#All],[VM Name]],VmSpecs[[#All],[Virtual Network]],"Failed",0,1),"Pass","Fail")</f>
        <v>Fail</v>
      </c>
      <c r="BB185" t="str" cm="1">
        <f t="array" ref="BB185">IF(K185=_xlfn.XLOOKUP($B185,VmSpecs[[#All],[VM Name]],VmSpecs[[#All],[Subnet]],"Failed",0,1),"Pass","Fail")</f>
        <v>Fail</v>
      </c>
      <c r="BC185" t="str" cm="1">
        <f t="array" ref="BC185">IF(M185=_xlfn.XLOOKUP($B185,VmSpecs[[#All],[VM Name]],VmSpecs[[#All],[IP]],"Failed",0,1),"Pass","Fail")</f>
        <v>Fail</v>
      </c>
      <c r="BD185" t="str" cm="1">
        <f t="array" ref="BD185">IF(N185=_xlfn.XLOOKUP($B185,VmSpecs[[#All],[VM Name]],VmSpecs[[#All],[Network Security Group]],"Failed",0,1),"Pass","Fail")</f>
        <v>Fail</v>
      </c>
      <c r="BE185" t="str" cm="1">
        <f t="array" ref="BE185">IF(O185=_xlfn.XLOOKUP($B185,VmSpecs[[#All],[VM Name]],VmSpecs[[#All],[Route Table Name]],"Failed",0,1),"Pass","Fail")</f>
        <v>Fail</v>
      </c>
      <c r="BF185" t="str" cm="1">
        <f t="array" ref="BF185">IF(P185=_xlfn.XLOOKUP($B185,VmSpecs[[#All],[VM Name]],VmSpecs[[#All],[Operating System]],"Failed",0,1),"Pass","Fail")</f>
        <v>Fail</v>
      </c>
      <c r="BG185" t="str" cm="1">
        <f t="array" ref="BG185">IF(R185=_xlfn.XLOOKUP($B185,VmSpecs[[#All],[VM Name]],VmSpecs[[#All],[NIC name]],"Failed",0,1),"Pass","Fail")</f>
        <v>Fail</v>
      </c>
      <c r="BH185" t="str" cm="1">
        <f t="array" ref="BH185">IF(U185=_xlfn.XLOOKUP($B185,VmSpecs[[#All],[VM Name]],VmSpecs[[#All],[OS Disk Name]],"Failed",0,1),"Pass","Fail")</f>
        <v>Fail</v>
      </c>
      <c r="BI185" t="str" cm="1">
        <f t="array" ref="BI185">IF(W185=_xlfn.XLOOKUP($B185,VmSpecs[[#All],[VM Name]],VmSpecs[[#All],[OS Disk Size]],"Failed",0,1),"Pass","Fail")</f>
        <v>Fail</v>
      </c>
      <c r="BJ185" t="str" cm="1">
        <f t="array" ref="BJ185">IF(LEFT(X185,4)=LEFT(_xlfn.XLOOKUP($B185,VmSpecs[[#All],[VM Name]],VmSpecs[[#All],[OS Disk Type (Standard SSD etc)]],"Failed",0,1),4),"Pass","Fail")</f>
        <v>Fail</v>
      </c>
      <c r="BK185" t="str" cm="1">
        <f t="array" ref="BK185">IF(Z185=_xlfn.XLOOKUP($B185,VmSpecs[[#All],[VM Name]],VmSpecs[[#All],[Data Disk1 Name]],"Failed",0,1),"Pass","Fail")</f>
        <v>Fail</v>
      </c>
      <c r="BL185" t="str" cm="1">
        <f t="array" ref="BL185">IF(AA185=_xlfn.XLOOKUP($B185,VmSpecs[[#All],[VM Name]],VmSpecs[[#All],[Data Disk1 Size]],"Failed",0,1),"Pass","Fail")</f>
        <v>Fail</v>
      </c>
      <c r="BM185" t="str" cm="1">
        <f t="array" ref="BM185">IF(LEFT(AC185,4)=LEFT(_xlfn.XLOOKUP($B185,VmSpecs[[#All],[VM Name]],VmSpecs[[#All],[Data Disk1 Type]],"Failed",0,1),4),"Pass","Fail")</f>
        <v>Fail</v>
      </c>
      <c r="BO185" t="e">
        <f>VLOOKUP('VM Specs'!K185,'As Built'!B:B,1,FALSE)</f>
        <v>#N/A</v>
      </c>
      <c r="BP185" t="str">
        <f>IF(ISNA(Table613[[#This Row],[VM Build Sheet Check]]),'VM Specs'!K185,"")</f>
        <v>vmpfbpf2wbc02</v>
      </c>
    </row>
    <row r="186" spans="1:68" ht="33" customHeight="1" x14ac:dyDescent="0.35">
      <c r="A186" t="str">
        <f>IF(COUNTIF(AsBuilt[[#This Row],[VM Check]:[Data Disk 1 Type Check]],"Fail")&gt;0,"Fail","Pass")</f>
        <v>Fail</v>
      </c>
      <c r="B186" t="s">
        <v>2048</v>
      </c>
      <c r="C186" t="s">
        <v>754</v>
      </c>
      <c r="D186" t="s">
        <v>755</v>
      </c>
      <c r="E186" t="s">
        <v>756</v>
      </c>
      <c r="F186" t="s">
        <v>801</v>
      </c>
      <c r="G186" t="s">
        <v>758</v>
      </c>
      <c r="H186" t="s">
        <v>2034</v>
      </c>
      <c r="J186" t="s">
        <v>760</v>
      </c>
      <c r="K186" t="s">
        <v>761</v>
      </c>
      <c r="L186" t="s">
        <v>754</v>
      </c>
      <c r="M186" t="s">
        <v>2049</v>
      </c>
      <c r="N186" t="s">
        <v>763</v>
      </c>
      <c r="O186" t="s">
        <v>764</v>
      </c>
      <c r="P186" t="s">
        <v>63</v>
      </c>
      <c r="R186" t="s">
        <v>2050</v>
      </c>
      <c r="S186" t="s">
        <v>754</v>
      </c>
      <c r="U186" t="s">
        <v>2051</v>
      </c>
      <c r="V186" t="s">
        <v>767</v>
      </c>
      <c r="W186">
        <v>64</v>
      </c>
      <c r="X186" t="s">
        <v>768</v>
      </c>
      <c r="Y186">
        <v>2</v>
      </c>
      <c r="Z186" t="s">
        <v>2052</v>
      </c>
      <c r="AA186">
        <v>8</v>
      </c>
      <c r="AB186" t="s">
        <v>770</v>
      </c>
      <c r="AC186" t="s">
        <v>768</v>
      </c>
      <c r="AD186" t="s">
        <v>2053</v>
      </c>
      <c r="AE186">
        <v>32</v>
      </c>
      <c r="AF186" t="s">
        <v>770</v>
      </c>
      <c r="AG186" t="s">
        <v>768</v>
      </c>
      <c r="AT186" t="s">
        <v>772</v>
      </c>
      <c r="AU186" t="s">
        <v>2054</v>
      </c>
      <c r="AV186" t="str" cm="1">
        <f t="array" ref="AV186">IF(B186=_xlfn.XLOOKUP(B186,VmSpecs[[#All],[VM Name]],VmSpecs[[#All],[VM Name]],"Failed",0,1),"Pass","Fail")</f>
        <v>Fail</v>
      </c>
      <c r="AW186" t="str" cm="1">
        <f t="array" ref="AW186">IF(D186=_xlfn.XLOOKUP($B186,VmSpecs[[#All],[VM Name]],VmSpecs[[#All],[Virtual Machine Resource Groups]],"Failed",0,1),"Pass","Fail")</f>
        <v>Fail</v>
      </c>
      <c r="AX186" t="str" cm="1">
        <f t="array" ref="AX186">IF(_xlfn.IFS(E186="australiacentral","Australia Central 1",E186="australiaeast","Australia East",E186="australiasoutheast","Australia SouthEast")=_xlfn.XLOOKUP($B186,VmSpecs[[#All],[VM Name]],VmSpecs[[#All],[Region]],"Failed",0,1),"Pass","Fail")</f>
        <v>Fail</v>
      </c>
      <c r="AY186" t="str" cm="1">
        <f t="array" ref="AY186">IF(F186=_xlfn.XLOOKUP($B186,VmSpecs[[#All],[VM Name]],VmSpecs[[#All],[Instance size]],"Failed",0,1),"Pass","Fail")</f>
        <v>Fail</v>
      </c>
      <c r="AZ186" t="str" cm="1">
        <f t="array" ref="AZ186">IF(LOWER(H186)=_xlfn.XLOOKUP($B186,VmSpecs[[#All],[VM Name]],VmSpecs[[#All],[Availability Set Name]],"Failed",0,1),"Pass","Fail")</f>
        <v>Fail</v>
      </c>
      <c r="BA186" t="str" cm="1">
        <f t="array" ref="BA186">IF(J186=_xlfn.XLOOKUP($B186,VmSpecs[[#All],[VM Name]],VmSpecs[[#All],[Virtual Network]],"Failed",0,1),"Pass","Fail")</f>
        <v>Fail</v>
      </c>
      <c r="BB186" t="str" cm="1">
        <f t="array" ref="BB186">IF(K186=_xlfn.XLOOKUP($B186,VmSpecs[[#All],[VM Name]],VmSpecs[[#All],[Subnet]],"Failed",0,1),"Pass","Fail")</f>
        <v>Fail</v>
      </c>
      <c r="BC186" t="str" cm="1">
        <f t="array" ref="BC186">IF(M186=_xlfn.XLOOKUP($B186,VmSpecs[[#All],[VM Name]],VmSpecs[[#All],[IP]],"Failed",0,1),"Pass","Fail")</f>
        <v>Fail</v>
      </c>
      <c r="BD186" t="str" cm="1">
        <f t="array" ref="BD186">IF(N186=_xlfn.XLOOKUP($B186,VmSpecs[[#All],[VM Name]],VmSpecs[[#All],[Network Security Group]],"Failed",0,1),"Pass","Fail")</f>
        <v>Fail</v>
      </c>
      <c r="BE186" t="str" cm="1">
        <f t="array" ref="BE186">IF(O186=_xlfn.XLOOKUP($B186,VmSpecs[[#All],[VM Name]],VmSpecs[[#All],[Route Table Name]],"Failed",0,1),"Pass","Fail")</f>
        <v>Fail</v>
      </c>
      <c r="BF186" t="str" cm="1">
        <f t="array" ref="BF186">IF(P186=_xlfn.XLOOKUP($B186,VmSpecs[[#All],[VM Name]],VmSpecs[[#All],[Operating System]],"Failed",0,1),"Pass","Fail")</f>
        <v>Fail</v>
      </c>
      <c r="BG186" t="str" cm="1">
        <f t="array" ref="BG186">IF(R186=_xlfn.XLOOKUP($B186,VmSpecs[[#All],[VM Name]],VmSpecs[[#All],[NIC name]],"Failed",0,1),"Pass","Fail")</f>
        <v>Fail</v>
      </c>
      <c r="BH186" t="str" cm="1">
        <f t="array" ref="BH186">IF(U186=_xlfn.XLOOKUP($B186,VmSpecs[[#All],[VM Name]],VmSpecs[[#All],[OS Disk Name]],"Failed",0,1),"Pass","Fail")</f>
        <v>Fail</v>
      </c>
      <c r="BI186" t="str" cm="1">
        <f t="array" ref="BI186">IF(W186=_xlfn.XLOOKUP($B186,VmSpecs[[#All],[VM Name]],VmSpecs[[#All],[OS Disk Size]],"Failed",0,1),"Pass","Fail")</f>
        <v>Fail</v>
      </c>
      <c r="BJ186" t="str" cm="1">
        <f t="array" ref="BJ186">IF(LEFT(X186,4)=LEFT(_xlfn.XLOOKUP($B186,VmSpecs[[#All],[VM Name]],VmSpecs[[#All],[OS Disk Type (Standard SSD etc)]],"Failed",0,1),4),"Pass","Fail")</f>
        <v>Fail</v>
      </c>
      <c r="BK186" t="str" cm="1">
        <f t="array" ref="BK186">IF(Z186=_xlfn.XLOOKUP($B186,VmSpecs[[#All],[VM Name]],VmSpecs[[#All],[Data Disk1 Name]],"Failed",0,1),"Pass","Fail")</f>
        <v>Fail</v>
      </c>
      <c r="BL186" t="str" cm="1">
        <f t="array" ref="BL186">IF(AA186=_xlfn.XLOOKUP($B186,VmSpecs[[#All],[VM Name]],VmSpecs[[#All],[Data Disk1 Size]],"Failed",0,1),"Pass","Fail")</f>
        <v>Fail</v>
      </c>
      <c r="BM186" t="str" cm="1">
        <f t="array" ref="BM186">IF(LEFT(AC186,4)=LEFT(_xlfn.XLOOKUP($B186,VmSpecs[[#All],[VM Name]],VmSpecs[[#All],[Data Disk1 Type]],"Failed",0,1),4),"Pass","Fail")</f>
        <v>Fail</v>
      </c>
      <c r="BO186" t="e">
        <f>VLOOKUP('VM Specs'!K186,'As Built'!B:B,1,FALSE)</f>
        <v>#N/A</v>
      </c>
      <c r="BP186" t="str">
        <f>IF(ISNA(Table613[[#This Row],[VM Build Sheet Check]]),'VM Specs'!K186,"")</f>
        <v>vmpfbpf2wbc03</v>
      </c>
    </row>
    <row r="187" spans="1:68" ht="33" customHeight="1" x14ac:dyDescent="0.35">
      <c r="A187" t="str">
        <f>IF(COUNTIF(AsBuilt[[#This Row],[VM Check]:[Data Disk 1 Type Check]],"Fail")&gt;0,"Fail","Pass")</f>
        <v>Fail</v>
      </c>
      <c r="B187" t="s">
        <v>2055</v>
      </c>
      <c r="C187" t="s">
        <v>754</v>
      </c>
      <c r="D187" t="s">
        <v>755</v>
      </c>
      <c r="E187" t="s">
        <v>756</v>
      </c>
      <c r="F187" t="s">
        <v>801</v>
      </c>
      <c r="G187" t="s">
        <v>758</v>
      </c>
      <c r="H187" t="s">
        <v>2034</v>
      </c>
      <c r="J187" t="s">
        <v>760</v>
      </c>
      <c r="K187" t="s">
        <v>761</v>
      </c>
      <c r="L187" t="s">
        <v>754</v>
      </c>
      <c r="M187" t="s">
        <v>2056</v>
      </c>
      <c r="N187" t="s">
        <v>763</v>
      </c>
      <c r="O187" t="s">
        <v>764</v>
      </c>
      <c r="P187" t="s">
        <v>63</v>
      </c>
      <c r="R187" t="s">
        <v>2057</v>
      </c>
      <c r="S187" t="s">
        <v>754</v>
      </c>
      <c r="U187" t="s">
        <v>2058</v>
      </c>
      <c r="V187" t="s">
        <v>767</v>
      </c>
      <c r="W187">
        <v>64</v>
      </c>
      <c r="X187" t="s">
        <v>768</v>
      </c>
      <c r="Y187">
        <v>2</v>
      </c>
      <c r="Z187" t="s">
        <v>2059</v>
      </c>
      <c r="AA187">
        <v>8</v>
      </c>
      <c r="AB187" t="s">
        <v>770</v>
      </c>
      <c r="AC187" t="s">
        <v>768</v>
      </c>
      <c r="AD187" t="s">
        <v>2060</v>
      </c>
      <c r="AE187">
        <v>32</v>
      </c>
      <c r="AF187" t="s">
        <v>770</v>
      </c>
      <c r="AG187" t="s">
        <v>768</v>
      </c>
      <c r="AT187" t="s">
        <v>772</v>
      </c>
      <c r="AU187" t="s">
        <v>2061</v>
      </c>
      <c r="AV187" t="str" cm="1">
        <f t="array" ref="AV187">IF(B187=_xlfn.XLOOKUP(B187,VmSpecs[[#All],[VM Name]],VmSpecs[[#All],[VM Name]],"Failed",0,1),"Pass","Fail")</f>
        <v>Fail</v>
      </c>
      <c r="AW187" t="str" cm="1">
        <f t="array" ref="AW187">IF(D187=_xlfn.XLOOKUP($B187,VmSpecs[[#All],[VM Name]],VmSpecs[[#All],[Virtual Machine Resource Groups]],"Failed",0,1),"Pass","Fail")</f>
        <v>Fail</v>
      </c>
      <c r="AX187" t="str" cm="1">
        <f t="array" ref="AX187">IF(_xlfn.IFS(E187="australiacentral","Australia Central 1",E187="australiaeast","Australia East",E187="australiasoutheast","Australia SouthEast")=_xlfn.XLOOKUP($B187,VmSpecs[[#All],[VM Name]],VmSpecs[[#All],[Region]],"Failed",0,1),"Pass","Fail")</f>
        <v>Fail</v>
      </c>
      <c r="AY187" t="str" cm="1">
        <f t="array" ref="AY187">IF(F187=_xlfn.XLOOKUP($B187,VmSpecs[[#All],[VM Name]],VmSpecs[[#All],[Instance size]],"Failed",0,1),"Pass","Fail")</f>
        <v>Fail</v>
      </c>
      <c r="AZ187" t="str" cm="1">
        <f t="array" ref="AZ187">IF(LOWER(H187)=_xlfn.XLOOKUP($B187,VmSpecs[[#All],[VM Name]],VmSpecs[[#All],[Availability Set Name]],"Failed",0,1),"Pass","Fail")</f>
        <v>Fail</v>
      </c>
      <c r="BA187" t="str" cm="1">
        <f t="array" ref="BA187">IF(J187=_xlfn.XLOOKUP($B187,VmSpecs[[#All],[VM Name]],VmSpecs[[#All],[Virtual Network]],"Failed",0,1),"Pass","Fail")</f>
        <v>Fail</v>
      </c>
      <c r="BB187" t="str" cm="1">
        <f t="array" ref="BB187">IF(K187=_xlfn.XLOOKUP($B187,VmSpecs[[#All],[VM Name]],VmSpecs[[#All],[Subnet]],"Failed",0,1),"Pass","Fail")</f>
        <v>Fail</v>
      </c>
      <c r="BC187" t="str" cm="1">
        <f t="array" ref="BC187">IF(M187=_xlfn.XLOOKUP($B187,VmSpecs[[#All],[VM Name]],VmSpecs[[#All],[IP]],"Failed",0,1),"Pass","Fail")</f>
        <v>Fail</v>
      </c>
      <c r="BD187" t="str" cm="1">
        <f t="array" ref="BD187">IF(N187=_xlfn.XLOOKUP($B187,VmSpecs[[#All],[VM Name]],VmSpecs[[#All],[Network Security Group]],"Failed",0,1),"Pass","Fail")</f>
        <v>Fail</v>
      </c>
      <c r="BE187" t="str" cm="1">
        <f t="array" ref="BE187">IF(O187=_xlfn.XLOOKUP($B187,VmSpecs[[#All],[VM Name]],VmSpecs[[#All],[Route Table Name]],"Failed",0,1),"Pass","Fail")</f>
        <v>Fail</v>
      </c>
      <c r="BF187" t="str" cm="1">
        <f t="array" ref="BF187">IF(P187=_xlfn.XLOOKUP($B187,VmSpecs[[#All],[VM Name]],VmSpecs[[#All],[Operating System]],"Failed",0,1),"Pass","Fail")</f>
        <v>Fail</v>
      </c>
      <c r="BG187" t="str" cm="1">
        <f t="array" ref="BG187">IF(R187=_xlfn.XLOOKUP($B187,VmSpecs[[#All],[VM Name]],VmSpecs[[#All],[NIC name]],"Failed",0,1),"Pass","Fail")</f>
        <v>Fail</v>
      </c>
      <c r="BH187" t="str" cm="1">
        <f t="array" ref="BH187">IF(U187=_xlfn.XLOOKUP($B187,VmSpecs[[#All],[VM Name]],VmSpecs[[#All],[OS Disk Name]],"Failed",0,1),"Pass","Fail")</f>
        <v>Fail</v>
      </c>
      <c r="BI187" t="str" cm="1">
        <f t="array" ref="BI187">IF(W187=_xlfn.XLOOKUP($B187,VmSpecs[[#All],[VM Name]],VmSpecs[[#All],[OS Disk Size]],"Failed",0,1),"Pass","Fail")</f>
        <v>Fail</v>
      </c>
      <c r="BJ187" t="str" cm="1">
        <f t="array" ref="BJ187">IF(LEFT(X187,4)=LEFT(_xlfn.XLOOKUP($B187,VmSpecs[[#All],[VM Name]],VmSpecs[[#All],[OS Disk Type (Standard SSD etc)]],"Failed",0,1),4),"Pass","Fail")</f>
        <v>Fail</v>
      </c>
      <c r="BK187" t="str" cm="1">
        <f t="array" ref="BK187">IF(Z187=_xlfn.XLOOKUP($B187,VmSpecs[[#All],[VM Name]],VmSpecs[[#All],[Data Disk1 Name]],"Failed",0,1),"Pass","Fail")</f>
        <v>Fail</v>
      </c>
      <c r="BL187" t="str" cm="1">
        <f t="array" ref="BL187">IF(AA187=_xlfn.XLOOKUP($B187,VmSpecs[[#All],[VM Name]],VmSpecs[[#All],[Data Disk1 Size]],"Failed",0,1),"Pass","Fail")</f>
        <v>Fail</v>
      </c>
      <c r="BM187" t="str" cm="1">
        <f t="array" ref="BM187">IF(LEFT(AC187,4)=LEFT(_xlfn.XLOOKUP($B187,VmSpecs[[#All],[VM Name]],VmSpecs[[#All],[Data Disk1 Type]],"Failed",0,1),4),"Pass","Fail")</f>
        <v>Fail</v>
      </c>
      <c r="BO187" t="e">
        <f>VLOOKUP('VM Specs'!K187,'As Built'!B:B,1,FALSE)</f>
        <v>#N/A</v>
      </c>
      <c r="BP187" t="str">
        <f>IF(ISNA(Table613[[#This Row],[VM Build Sheet Check]]),'VM Specs'!K187,"")</f>
        <v>vmpfbpf2wbc04</v>
      </c>
    </row>
    <row r="188" spans="1:68" ht="33" customHeight="1" x14ac:dyDescent="0.35">
      <c r="A188" t="str">
        <f>IF(COUNTIF(AsBuilt[[#This Row],[VM Check]:[Data Disk 1 Type Check]],"Fail")&gt;0,"Fail","Pass")</f>
        <v>Fail</v>
      </c>
      <c r="B188" t="s">
        <v>2062</v>
      </c>
      <c r="C188" t="s">
        <v>754</v>
      </c>
      <c r="D188" t="s">
        <v>755</v>
      </c>
      <c r="E188" t="s">
        <v>756</v>
      </c>
      <c r="F188" t="s">
        <v>801</v>
      </c>
      <c r="G188" t="s">
        <v>758</v>
      </c>
      <c r="H188" t="s">
        <v>2034</v>
      </c>
      <c r="J188" t="s">
        <v>760</v>
      </c>
      <c r="K188" t="s">
        <v>761</v>
      </c>
      <c r="L188" t="s">
        <v>754</v>
      </c>
      <c r="M188" t="s">
        <v>2063</v>
      </c>
      <c r="N188" t="s">
        <v>763</v>
      </c>
      <c r="O188" t="s">
        <v>764</v>
      </c>
      <c r="P188" t="s">
        <v>63</v>
      </c>
      <c r="R188" t="s">
        <v>2064</v>
      </c>
      <c r="S188" t="s">
        <v>754</v>
      </c>
      <c r="U188" t="s">
        <v>2065</v>
      </c>
      <c r="V188" t="s">
        <v>767</v>
      </c>
      <c r="W188">
        <v>64</v>
      </c>
      <c r="X188" t="s">
        <v>768</v>
      </c>
      <c r="Y188">
        <v>2</v>
      </c>
      <c r="Z188" t="s">
        <v>2066</v>
      </c>
      <c r="AA188">
        <v>8</v>
      </c>
      <c r="AB188" t="s">
        <v>770</v>
      </c>
      <c r="AC188" t="s">
        <v>768</v>
      </c>
      <c r="AD188" t="s">
        <v>2067</v>
      </c>
      <c r="AE188">
        <v>32</v>
      </c>
      <c r="AF188" t="s">
        <v>770</v>
      </c>
      <c r="AG188" t="s">
        <v>768</v>
      </c>
      <c r="AT188" t="s">
        <v>772</v>
      </c>
      <c r="AU188" t="s">
        <v>2068</v>
      </c>
      <c r="AV188" t="str" cm="1">
        <f t="array" ref="AV188">IF(B188=_xlfn.XLOOKUP(B188,VmSpecs[[#All],[VM Name]],VmSpecs[[#All],[VM Name]],"Failed",0,1),"Pass","Fail")</f>
        <v>Fail</v>
      </c>
      <c r="AW188" t="str" cm="1">
        <f t="array" ref="AW188">IF(D188=_xlfn.XLOOKUP($B188,VmSpecs[[#All],[VM Name]],VmSpecs[[#All],[Virtual Machine Resource Groups]],"Failed",0,1),"Pass","Fail")</f>
        <v>Fail</v>
      </c>
      <c r="AX188" t="str" cm="1">
        <f t="array" ref="AX188">IF(_xlfn.IFS(E188="australiacentral","Australia Central 1",E188="australiaeast","Australia East",E188="australiasoutheast","Australia SouthEast")=_xlfn.XLOOKUP($B188,VmSpecs[[#All],[VM Name]],VmSpecs[[#All],[Region]],"Failed",0,1),"Pass","Fail")</f>
        <v>Fail</v>
      </c>
      <c r="AY188" t="str" cm="1">
        <f t="array" ref="AY188">IF(F188=_xlfn.XLOOKUP($B188,VmSpecs[[#All],[VM Name]],VmSpecs[[#All],[Instance size]],"Failed",0,1),"Pass","Fail")</f>
        <v>Fail</v>
      </c>
      <c r="AZ188" t="str" cm="1">
        <f t="array" ref="AZ188">IF(LOWER(H188)=_xlfn.XLOOKUP($B188,VmSpecs[[#All],[VM Name]],VmSpecs[[#All],[Availability Set Name]],"Failed",0,1),"Pass","Fail")</f>
        <v>Fail</v>
      </c>
      <c r="BA188" t="str" cm="1">
        <f t="array" ref="BA188">IF(J188=_xlfn.XLOOKUP($B188,VmSpecs[[#All],[VM Name]],VmSpecs[[#All],[Virtual Network]],"Failed",0,1),"Pass","Fail")</f>
        <v>Fail</v>
      </c>
      <c r="BB188" t="str" cm="1">
        <f t="array" ref="BB188">IF(K188=_xlfn.XLOOKUP($B188,VmSpecs[[#All],[VM Name]],VmSpecs[[#All],[Subnet]],"Failed",0,1),"Pass","Fail")</f>
        <v>Fail</v>
      </c>
      <c r="BC188" t="str" cm="1">
        <f t="array" ref="BC188">IF(M188=_xlfn.XLOOKUP($B188,VmSpecs[[#All],[VM Name]],VmSpecs[[#All],[IP]],"Failed",0,1),"Pass","Fail")</f>
        <v>Fail</v>
      </c>
      <c r="BD188" t="str" cm="1">
        <f t="array" ref="BD188">IF(N188=_xlfn.XLOOKUP($B188,VmSpecs[[#All],[VM Name]],VmSpecs[[#All],[Network Security Group]],"Failed",0,1),"Pass","Fail")</f>
        <v>Fail</v>
      </c>
      <c r="BE188" t="str" cm="1">
        <f t="array" ref="BE188">IF(O188=_xlfn.XLOOKUP($B188,VmSpecs[[#All],[VM Name]],VmSpecs[[#All],[Route Table Name]],"Failed",0,1),"Pass","Fail")</f>
        <v>Fail</v>
      </c>
      <c r="BF188" t="str" cm="1">
        <f t="array" ref="BF188">IF(P188=_xlfn.XLOOKUP($B188,VmSpecs[[#All],[VM Name]],VmSpecs[[#All],[Operating System]],"Failed",0,1),"Pass","Fail")</f>
        <v>Fail</v>
      </c>
      <c r="BG188" t="str" cm="1">
        <f t="array" ref="BG188">IF(R188=_xlfn.XLOOKUP($B188,VmSpecs[[#All],[VM Name]],VmSpecs[[#All],[NIC name]],"Failed",0,1),"Pass","Fail")</f>
        <v>Fail</v>
      </c>
      <c r="BH188" t="str" cm="1">
        <f t="array" ref="BH188">IF(U188=_xlfn.XLOOKUP($B188,VmSpecs[[#All],[VM Name]],VmSpecs[[#All],[OS Disk Name]],"Failed",0,1),"Pass","Fail")</f>
        <v>Fail</v>
      </c>
      <c r="BI188" t="str" cm="1">
        <f t="array" ref="BI188">IF(W188=_xlfn.XLOOKUP($B188,VmSpecs[[#All],[VM Name]],VmSpecs[[#All],[OS Disk Size]],"Failed",0,1),"Pass","Fail")</f>
        <v>Fail</v>
      </c>
      <c r="BJ188" t="str" cm="1">
        <f t="array" ref="BJ188">IF(LEFT(X188,4)=LEFT(_xlfn.XLOOKUP($B188,VmSpecs[[#All],[VM Name]],VmSpecs[[#All],[OS Disk Type (Standard SSD etc)]],"Failed",0,1),4),"Pass","Fail")</f>
        <v>Fail</v>
      </c>
      <c r="BK188" t="str" cm="1">
        <f t="array" ref="BK188">IF(Z188=_xlfn.XLOOKUP($B188,VmSpecs[[#All],[VM Name]],VmSpecs[[#All],[Data Disk1 Name]],"Failed",0,1),"Pass","Fail")</f>
        <v>Fail</v>
      </c>
      <c r="BL188" t="str" cm="1">
        <f t="array" ref="BL188">IF(AA188=_xlfn.XLOOKUP($B188,VmSpecs[[#All],[VM Name]],VmSpecs[[#All],[Data Disk1 Size]],"Failed",0,1),"Pass","Fail")</f>
        <v>Fail</v>
      </c>
      <c r="BM188" t="str" cm="1">
        <f t="array" ref="BM188">IF(LEFT(AC188,4)=LEFT(_xlfn.XLOOKUP($B188,VmSpecs[[#All],[VM Name]],VmSpecs[[#All],[Data Disk1 Type]],"Failed",0,1),4),"Pass","Fail")</f>
        <v>Fail</v>
      </c>
      <c r="BO188" t="e">
        <f>VLOOKUP('VM Specs'!K188,'As Built'!B:B,1,FALSE)</f>
        <v>#N/A</v>
      </c>
      <c r="BP188" t="str">
        <f>IF(ISNA(Table613[[#This Row],[VM Build Sheet Check]]),'VM Specs'!K188,"")</f>
        <v>vmpfbpf2wbc05</v>
      </c>
    </row>
    <row r="189" spans="1:68" ht="33" customHeight="1" x14ac:dyDescent="0.35">
      <c r="A189" t="str">
        <f>IF(COUNTIF(AsBuilt[[#This Row],[VM Check]:[Data Disk 1 Type Check]],"Fail")&gt;0,"Fail","Pass")</f>
        <v>Fail</v>
      </c>
      <c r="B189" t="s">
        <v>2069</v>
      </c>
      <c r="C189" t="s">
        <v>754</v>
      </c>
      <c r="D189" t="s">
        <v>755</v>
      </c>
      <c r="E189" t="s">
        <v>756</v>
      </c>
      <c r="F189" t="s">
        <v>801</v>
      </c>
      <c r="G189" t="s">
        <v>758</v>
      </c>
      <c r="H189" t="s">
        <v>2034</v>
      </c>
      <c r="J189" t="s">
        <v>760</v>
      </c>
      <c r="K189" t="s">
        <v>761</v>
      </c>
      <c r="L189" t="s">
        <v>754</v>
      </c>
      <c r="M189" t="s">
        <v>2070</v>
      </c>
      <c r="N189" t="s">
        <v>763</v>
      </c>
      <c r="O189" t="s">
        <v>764</v>
      </c>
      <c r="P189" t="s">
        <v>63</v>
      </c>
      <c r="R189" t="s">
        <v>2071</v>
      </c>
      <c r="S189" t="s">
        <v>754</v>
      </c>
      <c r="U189" t="s">
        <v>2072</v>
      </c>
      <c r="V189" t="s">
        <v>767</v>
      </c>
      <c r="W189">
        <v>64</v>
      </c>
      <c r="X189" t="s">
        <v>768</v>
      </c>
      <c r="Y189">
        <v>2</v>
      </c>
      <c r="Z189" t="s">
        <v>2073</v>
      </c>
      <c r="AA189">
        <v>8</v>
      </c>
      <c r="AB189" t="s">
        <v>770</v>
      </c>
      <c r="AC189" t="s">
        <v>768</v>
      </c>
      <c r="AD189" t="s">
        <v>2074</v>
      </c>
      <c r="AE189">
        <v>32</v>
      </c>
      <c r="AF189" t="s">
        <v>770</v>
      </c>
      <c r="AG189" t="s">
        <v>768</v>
      </c>
      <c r="AT189" t="s">
        <v>772</v>
      </c>
      <c r="AU189" t="s">
        <v>2068</v>
      </c>
      <c r="AV189" t="str" cm="1">
        <f t="array" ref="AV189">IF(B189=_xlfn.XLOOKUP(B189,VmSpecs[[#All],[VM Name]],VmSpecs[[#All],[VM Name]],"Failed",0,1),"Pass","Fail")</f>
        <v>Fail</v>
      </c>
      <c r="AW189" t="str" cm="1">
        <f t="array" ref="AW189">IF(D189=_xlfn.XLOOKUP($B189,VmSpecs[[#All],[VM Name]],VmSpecs[[#All],[Virtual Machine Resource Groups]],"Failed",0,1),"Pass","Fail")</f>
        <v>Fail</v>
      </c>
      <c r="AX189" t="str" cm="1">
        <f t="array" ref="AX189">IF(_xlfn.IFS(E189="australiacentral","Australia Central 1",E189="australiaeast","Australia East",E189="australiasoutheast","Australia SouthEast")=_xlfn.XLOOKUP($B189,VmSpecs[[#All],[VM Name]],VmSpecs[[#All],[Region]],"Failed",0,1),"Pass","Fail")</f>
        <v>Fail</v>
      </c>
      <c r="AY189" t="str" cm="1">
        <f t="array" ref="AY189">IF(F189=_xlfn.XLOOKUP($B189,VmSpecs[[#All],[VM Name]],VmSpecs[[#All],[Instance size]],"Failed",0,1),"Pass","Fail")</f>
        <v>Fail</v>
      </c>
      <c r="AZ189" t="str" cm="1">
        <f t="array" ref="AZ189">IF(LOWER(H189)=_xlfn.XLOOKUP($B189,VmSpecs[[#All],[VM Name]],VmSpecs[[#All],[Availability Set Name]],"Failed",0,1),"Pass","Fail")</f>
        <v>Fail</v>
      </c>
      <c r="BA189" t="str" cm="1">
        <f t="array" ref="BA189">IF(J189=_xlfn.XLOOKUP($B189,VmSpecs[[#All],[VM Name]],VmSpecs[[#All],[Virtual Network]],"Failed",0,1),"Pass","Fail")</f>
        <v>Fail</v>
      </c>
      <c r="BB189" t="str" cm="1">
        <f t="array" ref="BB189">IF(K189=_xlfn.XLOOKUP($B189,VmSpecs[[#All],[VM Name]],VmSpecs[[#All],[Subnet]],"Failed",0,1),"Pass","Fail")</f>
        <v>Fail</v>
      </c>
      <c r="BC189" t="str" cm="1">
        <f t="array" ref="BC189">IF(M189=_xlfn.XLOOKUP($B189,VmSpecs[[#All],[VM Name]],VmSpecs[[#All],[IP]],"Failed",0,1),"Pass","Fail")</f>
        <v>Fail</v>
      </c>
      <c r="BD189" t="str" cm="1">
        <f t="array" ref="BD189">IF(N189=_xlfn.XLOOKUP($B189,VmSpecs[[#All],[VM Name]],VmSpecs[[#All],[Network Security Group]],"Failed",0,1),"Pass","Fail")</f>
        <v>Fail</v>
      </c>
      <c r="BE189" t="str" cm="1">
        <f t="array" ref="BE189">IF(O189=_xlfn.XLOOKUP($B189,VmSpecs[[#All],[VM Name]],VmSpecs[[#All],[Route Table Name]],"Failed",0,1),"Pass","Fail")</f>
        <v>Fail</v>
      </c>
      <c r="BF189" t="str" cm="1">
        <f t="array" ref="BF189">IF(P189=_xlfn.XLOOKUP($B189,VmSpecs[[#All],[VM Name]],VmSpecs[[#All],[Operating System]],"Failed",0,1),"Pass","Fail")</f>
        <v>Fail</v>
      </c>
      <c r="BG189" t="str" cm="1">
        <f t="array" ref="BG189">IF(R189=_xlfn.XLOOKUP($B189,VmSpecs[[#All],[VM Name]],VmSpecs[[#All],[NIC name]],"Failed",0,1),"Pass","Fail")</f>
        <v>Fail</v>
      </c>
      <c r="BH189" t="str" cm="1">
        <f t="array" ref="BH189">IF(U189=_xlfn.XLOOKUP($B189,VmSpecs[[#All],[VM Name]],VmSpecs[[#All],[OS Disk Name]],"Failed",0,1),"Pass","Fail")</f>
        <v>Fail</v>
      </c>
      <c r="BI189" t="str" cm="1">
        <f t="array" ref="BI189">IF(W189=_xlfn.XLOOKUP($B189,VmSpecs[[#All],[VM Name]],VmSpecs[[#All],[OS Disk Size]],"Failed",0,1),"Pass","Fail")</f>
        <v>Fail</v>
      </c>
      <c r="BJ189" t="str" cm="1">
        <f t="array" ref="BJ189">IF(LEFT(X189,4)=LEFT(_xlfn.XLOOKUP($B189,VmSpecs[[#All],[VM Name]],VmSpecs[[#All],[OS Disk Type (Standard SSD etc)]],"Failed",0,1),4),"Pass","Fail")</f>
        <v>Fail</v>
      </c>
      <c r="BK189" t="str" cm="1">
        <f t="array" ref="BK189">IF(Z189=_xlfn.XLOOKUP($B189,VmSpecs[[#All],[VM Name]],VmSpecs[[#All],[Data Disk1 Name]],"Failed",0,1),"Pass","Fail")</f>
        <v>Fail</v>
      </c>
      <c r="BL189" t="str" cm="1">
        <f t="array" ref="BL189">IF(AA189=_xlfn.XLOOKUP($B189,VmSpecs[[#All],[VM Name]],VmSpecs[[#All],[Data Disk1 Size]],"Failed",0,1),"Pass","Fail")</f>
        <v>Fail</v>
      </c>
      <c r="BM189" t="str" cm="1">
        <f t="array" ref="BM189">IF(LEFT(AC189,4)=LEFT(_xlfn.XLOOKUP($B189,VmSpecs[[#All],[VM Name]],VmSpecs[[#All],[Data Disk1 Type]],"Failed",0,1),4),"Pass","Fail")</f>
        <v>Fail</v>
      </c>
      <c r="BO189" t="e">
        <f>VLOOKUP('VM Specs'!K189,'As Built'!B:B,1,FALSE)</f>
        <v>#N/A</v>
      </c>
      <c r="BP189" t="str">
        <f>IF(ISNA(Table613[[#This Row],[VM Build Sheet Check]]),'VM Specs'!K189,"")</f>
        <v>vmpfbpf2wbc06</v>
      </c>
    </row>
    <row r="190" spans="1:68" ht="33" customHeight="1" x14ac:dyDescent="0.35">
      <c r="A190" t="str">
        <f>IF(COUNTIF(AsBuilt[[#This Row],[VM Check]:[Data Disk 1 Type Check]],"Fail")&gt;0,"Fail","Pass")</f>
        <v>Fail</v>
      </c>
      <c r="B190" t="s">
        <v>2075</v>
      </c>
      <c r="C190" t="s">
        <v>754</v>
      </c>
      <c r="D190" t="s">
        <v>755</v>
      </c>
      <c r="E190" t="s">
        <v>756</v>
      </c>
      <c r="F190" t="s">
        <v>801</v>
      </c>
      <c r="G190" t="s">
        <v>758</v>
      </c>
      <c r="H190" t="s">
        <v>2034</v>
      </c>
      <c r="J190" t="s">
        <v>760</v>
      </c>
      <c r="K190" t="s">
        <v>761</v>
      </c>
      <c r="L190" t="s">
        <v>754</v>
      </c>
      <c r="M190" t="s">
        <v>2076</v>
      </c>
      <c r="N190" t="s">
        <v>763</v>
      </c>
      <c r="O190" t="s">
        <v>764</v>
      </c>
      <c r="P190" t="s">
        <v>63</v>
      </c>
      <c r="R190" t="s">
        <v>2077</v>
      </c>
      <c r="S190" t="s">
        <v>754</v>
      </c>
      <c r="U190" t="s">
        <v>2078</v>
      </c>
      <c r="V190" t="s">
        <v>767</v>
      </c>
      <c r="W190">
        <v>64</v>
      </c>
      <c r="X190" t="s">
        <v>768</v>
      </c>
      <c r="Y190">
        <v>2</v>
      </c>
      <c r="Z190" t="s">
        <v>2079</v>
      </c>
      <c r="AA190">
        <v>8</v>
      </c>
      <c r="AB190" t="s">
        <v>770</v>
      </c>
      <c r="AC190" t="s">
        <v>768</v>
      </c>
      <c r="AD190" t="s">
        <v>2080</v>
      </c>
      <c r="AE190">
        <v>32</v>
      </c>
      <c r="AF190" t="s">
        <v>770</v>
      </c>
      <c r="AG190" t="s">
        <v>768</v>
      </c>
      <c r="AT190" t="s">
        <v>772</v>
      </c>
      <c r="AU190" t="s">
        <v>2068</v>
      </c>
      <c r="AV190" t="str" cm="1">
        <f t="array" ref="AV190">IF(B190=_xlfn.XLOOKUP(B190,VmSpecs[[#All],[VM Name]],VmSpecs[[#All],[VM Name]],"Failed",0,1),"Pass","Fail")</f>
        <v>Fail</v>
      </c>
      <c r="AW190" t="str" cm="1">
        <f t="array" ref="AW190">IF(D190=_xlfn.XLOOKUP($B190,VmSpecs[[#All],[VM Name]],VmSpecs[[#All],[Virtual Machine Resource Groups]],"Failed",0,1),"Pass","Fail")</f>
        <v>Fail</v>
      </c>
      <c r="AX190" t="str" cm="1">
        <f t="array" ref="AX190">IF(_xlfn.IFS(E190="australiacentral","Australia Central 1",E190="australiaeast","Australia East",E190="australiasoutheast","Australia SouthEast")=_xlfn.XLOOKUP($B190,VmSpecs[[#All],[VM Name]],VmSpecs[[#All],[Region]],"Failed",0,1),"Pass","Fail")</f>
        <v>Fail</v>
      </c>
      <c r="AY190" t="str" cm="1">
        <f t="array" ref="AY190">IF(F190=_xlfn.XLOOKUP($B190,VmSpecs[[#All],[VM Name]],VmSpecs[[#All],[Instance size]],"Failed",0,1),"Pass","Fail")</f>
        <v>Fail</v>
      </c>
      <c r="AZ190" t="str" cm="1">
        <f t="array" ref="AZ190">IF(LOWER(H190)=_xlfn.XLOOKUP($B190,VmSpecs[[#All],[VM Name]],VmSpecs[[#All],[Availability Set Name]],"Failed",0,1),"Pass","Fail")</f>
        <v>Fail</v>
      </c>
      <c r="BA190" t="str" cm="1">
        <f t="array" ref="BA190">IF(J190=_xlfn.XLOOKUP($B190,VmSpecs[[#All],[VM Name]],VmSpecs[[#All],[Virtual Network]],"Failed",0,1),"Pass","Fail")</f>
        <v>Fail</v>
      </c>
      <c r="BB190" t="str" cm="1">
        <f t="array" ref="BB190">IF(K190=_xlfn.XLOOKUP($B190,VmSpecs[[#All],[VM Name]],VmSpecs[[#All],[Subnet]],"Failed",0,1),"Pass","Fail")</f>
        <v>Fail</v>
      </c>
      <c r="BC190" t="str" cm="1">
        <f t="array" ref="BC190">IF(M190=_xlfn.XLOOKUP($B190,VmSpecs[[#All],[VM Name]],VmSpecs[[#All],[IP]],"Failed",0,1),"Pass","Fail")</f>
        <v>Fail</v>
      </c>
      <c r="BD190" t="str" cm="1">
        <f t="array" ref="BD190">IF(N190=_xlfn.XLOOKUP($B190,VmSpecs[[#All],[VM Name]],VmSpecs[[#All],[Network Security Group]],"Failed",0,1),"Pass","Fail")</f>
        <v>Fail</v>
      </c>
      <c r="BE190" t="str" cm="1">
        <f t="array" ref="BE190">IF(O190=_xlfn.XLOOKUP($B190,VmSpecs[[#All],[VM Name]],VmSpecs[[#All],[Route Table Name]],"Failed",0,1),"Pass","Fail")</f>
        <v>Fail</v>
      </c>
      <c r="BF190" t="str" cm="1">
        <f t="array" ref="BF190">IF(P190=_xlfn.XLOOKUP($B190,VmSpecs[[#All],[VM Name]],VmSpecs[[#All],[Operating System]],"Failed",0,1),"Pass","Fail")</f>
        <v>Fail</v>
      </c>
      <c r="BG190" t="str" cm="1">
        <f t="array" ref="BG190">IF(R190=_xlfn.XLOOKUP($B190,VmSpecs[[#All],[VM Name]],VmSpecs[[#All],[NIC name]],"Failed",0,1),"Pass","Fail")</f>
        <v>Fail</v>
      </c>
      <c r="BH190" t="str" cm="1">
        <f t="array" ref="BH190">IF(U190=_xlfn.XLOOKUP($B190,VmSpecs[[#All],[VM Name]],VmSpecs[[#All],[OS Disk Name]],"Failed",0,1),"Pass","Fail")</f>
        <v>Fail</v>
      </c>
      <c r="BI190" t="str" cm="1">
        <f t="array" ref="BI190">IF(W190=_xlfn.XLOOKUP($B190,VmSpecs[[#All],[VM Name]],VmSpecs[[#All],[OS Disk Size]],"Failed",0,1),"Pass","Fail")</f>
        <v>Fail</v>
      </c>
      <c r="BJ190" t="str" cm="1">
        <f t="array" ref="BJ190">IF(LEFT(X190,4)=LEFT(_xlfn.XLOOKUP($B190,VmSpecs[[#All],[VM Name]],VmSpecs[[#All],[OS Disk Type (Standard SSD etc)]],"Failed",0,1),4),"Pass","Fail")</f>
        <v>Fail</v>
      </c>
      <c r="BK190" t="str" cm="1">
        <f t="array" ref="BK190">IF(Z190=_xlfn.XLOOKUP($B190,VmSpecs[[#All],[VM Name]],VmSpecs[[#All],[Data Disk1 Name]],"Failed",0,1),"Pass","Fail")</f>
        <v>Fail</v>
      </c>
      <c r="BL190" t="str" cm="1">
        <f t="array" ref="BL190">IF(AA190=_xlfn.XLOOKUP($B190,VmSpecs[[#All],[VM Name]],VmSpecs[[#All],[Data Disk1 Size]],"Failed",0,1),"Pass","Fail")</f>
        <v>Fail</v>
      </c>
      <c r="BM190" t="str" cm="1">
        <f t="array" ref="BM190">IF(LEFT(AC190,4)=LEFT(_xlfn.XLOOKUP($B190,VmSpecs[[#All],[VM Name]],VmSpecs[[#All],[Data Disk1 Type]],"Failed",0,1),4),"Pass","Fail")</f>
        <v>Fail</v>
      </c>
      <c r="BO190" t="e">
        <f>VLOOKUP('VM Specs'!K190,'As Built'!B:B,1,FALSE)</f>
        <v>#N/A</v>
      </c>
      <c r="BP190" t="str">
        <f>IF(ISNA(Table613[[#This Row],[VM Build Sheet Check]]),'VM Specs'!K190,"")</f>
        <v>vmpfbpf2wbc07</v>
      </c>
    </row>
    <row r="191" spans="1:68" ht="33" customHeight="1" x14ac:dyDescent="0.35">
      <c r="A191" t="str">
        <f>IF(COUNTIF(AsBuilt[[#This Row],[VM Check]:[Data Disk 1 Type Check]],"Fail")&gt;0,"Fail","Pass")</f>
        <v>Fail</v>
      </c>
      <c r="B191" t="s">
        <v>2081</v>
      </c>
      <c r="C191" t="s">
        <v>754</v>
      </c>
      <c r="D191" t="s">
        <v>755</v>
      </c>
      <c r="E191" t="s">
        <v>756</v>
      </c>
      <c r="F191" t="s">
        <v>801</v>
      </c>
      <c r="G191" t="s">
        <v>758</v>
      </c>
      <c r="H191" t="s">
        <v>2034</v>
      </c>
      <c r="J191" t="s">
        <v>760</v>
      </c>
      <c r="K191" t="s">
        <v>761</v>
      </c>
      <c r="L191" t="s">
        <v>754</v>
      </c>
      <c r="M191" t="s">
        <v>2082</v>
      </c>
      <c r="N191" t="s">
        <v>763</v>
      </c>
      <c r="O191" t="s">
        <v>764</v>
      </c>
      <c r="P191" t="s">
        <v>63</v>
      </c>
      <c r="R191" t="s">
        <v>2083</v>
      </c>
      <c r="S191" t="s">
        <v>754</v>
      </c>
      <c r="U191" t="s">
        <v>2084</v>
      </c>
      <c r="V191" t="s">
        <v>767</v>
      </c>
      <c r="W191">
        <v>64</v>
      </c>
      <c r="X191" t="s">
        <v>768</v>
      </c>
      <c r="Y191">
        <v>2</v>
      </c>
      <c r="Z191" t="s">
        <v>2085</v>
      </c>
      <c r="AA191">
        <v>8</v>
      </c>
      <c r="AB191" t="s">
        <v>770</v>
      </c>
      <c r="AC191" t="s">
        <v>768</v>
      </c>
      <c r="AD191" t="s">
        <v>2086</v>
      </c>
      <c r="AE191">
        <v>32</v>
      </c>
      <c r="AF191" t="s">
        <v>770</v>
      </c>
      <c r="AG191" t="s">
        <v>768</v>
      </c>
      <c r="AT191" t="s">
        <v>772</v>
      </c>
      <c r="AU191" t="s">
        <v>2068</v>
      </c>
      <c r="AV191" t="str" cm="1">
        <f t="array" ref="AV191">IF(B191=_xlfn.XLOOKUP(B191,VmSpecs[[#All],[VM Name]],VmSpecs[[#All],[VM Name]],"Failed",0,1),"Pass","Fail")</f>
        <v>Fail</v>
      </c>
      <c r="AW191" t="str" cm="1">
        <f t="array" ref="AW191">IF(D191=_xlfn.XLOOKUP($B191,VmSpecs[[#All],[VM Name]],VmSpecs[[#All],[Virtual Machine Resource Groups]],"Failed",0,1),"Pass","Fail")</f>
        <v>Fail</v>
      </c>
      <c r="AX191" t="str" cm="1">
        <f t="array" ref="AX191">IF(_xlfn.IFS(E191="australiacentral","Australia Central 1",E191="australiaeast","Australia East",E191="australiasoutheast","Australia SouthEast")=_xlfn.XLOOKUP($B191,VmSpecs[[#All],[VM Name]],VmSpecs[[#All],[Region]],"Failed",0,1),"Pass","Fail")</f>
        <v>Fail</v>
      </c>
      <c r="AY191" t="str" cm="1">
        <f t="array" ref="AY191">IF(F191=_xlfn.XLOOKUP($B191,VmSpecs[[#All],[VM Name]],VmSpecs[[#All],[Instance size]],"Failed",0,1),"Pass","Fail")</f>
        <v>Fail</v>
      </c>
      <c r="AZ191" t="str" cm="1">
        <f t="array" ref="AZ191">IF(LOWER(H191)=_xlfn.XLOOKUP($B191,VmSpecs[[#All],[VM Name]],VmSpecs[[#All],[Availability Set Name]],"Failed",0,1),"Pass","Fail")</f>
        <v>Fail</v>
      </c>
      <c r="BA191" t="str" cm="1">
        <f t="array" ref="BA191">IF(J191=_xlfn.XLOOKUP($B191,VmSpecs[[#All],[VM Name]],VmSpecs[[#All],[Virtual Network]],"Failed",0,1),"Pass","Fail")</f>
        <v>Fail</v>
      </c>
      <c r="BB191" t="str" cm="1">
        <f t="array" ref="BB191">IF(K191=_xlfn.XLOOKUP($B191,VmSpecs[[#All],[VM Name]],VmSpecs[[#All],[Subnet]],"Failed",0,1),"Pass","Fail")</f>
        <v>Fail</v>
      </c>
      <c r="BC191" t="str" cm="1">
        <f t="array" ref="BC191">IF(M191=_xlfn.XLOOKUP($B191,VmSpecs[[#All],[VM Name]],VmSpecs[[#All],[IP]],"Failed",0,1),"Pass","Fail")</f>
        <v>Fail</v>
      </c>
      <c r="BD191" t="str" cm="1">
        <f t="array" ref="BD191">IF(N191=_xlfn.XLOOKUP($B191,VmSpecs[[#All],[VM Name]],VmSpecs[[#All],[Network Security Group]],"Failed",0,1),"Pass","Fail")</f>
        <v>Fail</v>
      </c>
      <c r="BE191" t="str" cm="1">
        <f t="array" ref="BE191">IF(O191=_xlfn.XLOOKUP($B191,VmSpecs[[#All],[VM Name]],VmSpecs[[#All],[Route Table Name]],"Failed",0,1),"Pass","Fail")</f>
        <v>Fail</v>
      </c>
      <c r="BF191" t="str" cm="1">
        <f t="array" ref="BF191">IF(P191=_xlfn.XLOOKUP($B191,VmSpecs[[#All],[VM Name]],VmSpecs[[#All],[Operating System]],"Failed",0,1),"Pass","Fail")</f>
        <v>Fail</v>
      </c>
      <c r="BG191" t="str" cm="1">
        <f t="array" ref="BG191">IF(R191=_xlfn.XLOOKUP($B191,VmSpecs[[#All],[VM Name]],VmSpecs[[#All],[NIC name]],"Failed",0,1),"Pass","Fail")</f>
        <v>Fail</v>
      </c>
      <c r="BH191" t="str" cm="1">
        <f t="array" ref="BH191">IF(U191=_xlfn.XLOOKUP($B191,VmSpecs[[#All],[VM Name]],VmSpecs[[#All],[OS Disk Name]],"Failed",0,1),"Pass","Fail")</f>
        <v>Fail</v>
      </c>
      <c r="BI191" t="str" cm="1">
        <f t="array" ref="BI191">IF(W191=_xlfn.XLOOKUP($B191,VmSpecs[[#All],[VM Name]],VmSpecs[[#All],[OS Disk Size]],"Failed",0,1),"Pass","Fail")</f>
        <v>Fail</v>
      </c>
      <c r="BJ191" t="str" cm="1">
        <f t="array" ref="BJ191">IF(LEFT(X191,4)=LEFT(_xlfn.XLOOKUP($B191,VmSpecs[[#All],[VM Name]],VmSpecs[[#All],[OS Disk Type (Standard SSD etc)]],"Failed",0,1),4),"Pass","Fail")</f>
        <v>Fail</v>
      </c>
      <c r="BK191" t="str" cm="1">
        <f t="array" ref="BK191">IF(Z191=_xlfn.XLOOKUP($B191,VmSpecs[[#All],[VM Name]],VmSpecs[[#All],[Data Disk1 Name]],"Failed",0,1),"Pass","Fail")</f>
        <v>Fail</v>
      </c>
      <c r="BL191" t="str" cm="1">
        <f t="array" ref="BL191">IF(AA191=_xlfn.XLOOKUP($B191,VmSpecs[[#All],[VM Name]],VmSpecs[[#All],[Data Disk1 Size]],"Failed",0,1),"Pass","Fail")</f>
        <v>Fail</v>
      </c>
      <c r="BM191" t="str" cm="1">
        <f t="array" ref="BM191">IF(LEFT(AC191,4)=LEFT(_xlfn.XLOOKUP($B191,VmSpecs[[#All],[VM Name]],VmSpecs[[#All],[Data Disk1 Type]],"Failed",0,1),4),"Pass","Fail")</f>
        <v>Fail</v>
      </c>
      <c r="BO191" t="e">
        <f>VLOOKUP('VM Specs'!K191,'As Built'!B:B,1,FALSE)</f>
        <v>#N/A</v>
      </c>
      <c r="BP191" t="str">
        <f>IF(ISNA(Table613[[#This Row],[VM Build Sheet Check]]),'VM Specs'!K191,"")</f>
        <v>vmpfbpf2wbc08</v>
      </c>
    </row>
    <row r="192" spans="1:68" ht="33" customHeight="1" x14ac:dyDescent="0.35">
      <c r="A192" t="str">
        <f>IF(COUNTIF(AsBuilt[[#This Row],[VM Check]:[Data Disk 1 Type Check]],"Fail")&gt;0,"Fail","Pass")</f>
        <v>Fail</v>
      </c>
      <c r="B192" t="s">
        <v>2087</v>
      </c>
      <c r="C192" t="s">
        <v>754</v>
      </c>
      <c r="D192" t="s">
        <v>2088</v>
      </c>
      <c r="E192" t="s">
        <v>756</v>
      </c>
      <c r="F192" t="s">
        <v>1067</v>
      </c>
      <c r="G192" t="s">
        <v>758</v>
      </c>
      <c r="H192" t="s">
        <v>2089</v>
      </c>
      <c r="J192" t="s">
        <v>760</v>
      </c>
      <c r="K192" t="s">
        <v>2090</v>
      </c>
      <c r="L192" t="s">
        <v>754</v>
      </c>
      <c r="M192" t="s">
        <v>2091</v>
      </c>
      <c r="N192" t="s">
        <v>2092</v>
      </c>
      <c r="O192" t="s">
        <v>2093</v>
      </c>
      <c r="P192" t="s">
        <v>63</v>
      </c>
      <c r="R192" t="s">
        <v>2094</v>
      </c>
      <c r="S192" t="s">
        <v>754</v>
      </c>
      <c r="U192" t="s">
        <v>2095</v>
      </c>
      <c r="V192" t="s">
        <v>767</v>
      </c>
      <c r="W192">
        <v>64</v>
      </c>
      <c r="X192" t="s">
        <v>768</v>
      </c>
      <c r="Y192">
        <v>2</v>
      </c>
      <c r="Z192" t="s">
        <v>2096</v>
      </c>
      <c r="AA192">
        <v>8</v>
      </c>
      <c r="AB192" t="s">
        <v>770</v>
      </c>
      <c r="AC192" t="s">
        <v>768</v>
      </c>
      <c r="AD192" t="s">
        <v>2097</v>
      </c>
      <c r="AE192">
        <v>32</v>
      </c>
      <c r="AF192" t="s">
        <v>770</v>
      </c>
      <c r="AG192" t="s">
        <v>768</v>
      </c>
      <c r="AT192" t="s">
        <v>772</v>
      </c>
      <c r="AU192" t="s">
        <v>2098</v>
      </c>
      <c r="AV192" t="str" cm="1">
        <f t="array" ref="AV192">IF(B192=_xlfn.XLOOKUP(B192,VmSpecs[[#All],[VM Name]],VmSpecs[[#All],[VM Name]],"Failed",0,1),"Pass","Fail")</f>
        <v>Fail</v>
      </c>
      <c r="AW192" t="str" cm="1">
        <f t="array" ref="AW192">IF(D192=_xlfn.XLOOKUP($B192,VmSpecs[[#All],[VM Name]],VmSpecs[[#All],[Virtual Machine Resource Groups]],"Failed",0,1),"Pass","Fail")</f>
        <v>Fail</v>
      </c>
      <c r="AX192" t="str" cm="1">
        <f t="array" ref="AX192">IF(_xlfn.IFS(E192="australiacentral","Australia Central 1",E192="australiaeast","Australia East",E192="australiasoutheast","Australia SouthEast")=_xlfn.XLOOKUP($B192,VmSpecs[[#All],[VM Name]],VmSpecs[[#All],[Region]],"Failed",0,1),"Pass","Fail")</f>
        <v>Fail</v>
      </c>
      <c r="AY192" t="str" cm="1">
        <f t="array" ref="AY192">IF(F192=_xlfn.XLOOKUP($B192,VmSpecs[[#All],[VM Name]],VmSpecs[[#All],[Instance size]],"Failed",0,1),"Pass","Fail")</f>
        <v>Fail</v>
      </c>
      <c r="AZ192" t="str" cm="1">
        <f t="array" ref="AZ192">IF(LOWER(H192)=_xlfn.XLOOKUP($B192,VmSpecs[[#All],[VM Name]],VmSpecs[[#All],[Availability Set Name]],"Failed",0,1),"Pass","Fail")</f>
        <v>Fail</v>
      </c>
      <c r="BA192" t="str" cm="1">
        <f t="array" ref="BA192">IF(J192=_xlfn.XLOOKUP($B192,VmSpecs[[#All],[VM Name]],VmSpecs[[#All],[Virtual Network]],"Failed",0,1),"Pass","Fail")</f>
        <v>Fail</v>
      </c>
      <c r="BB192" t="str" cm="1">
        <f t="array" ref="BB192">IF(K192=_xlfn.XLOOKUP($B192,VmSpecs[[#All],[VM Name]],VmSpecs[[#All],[Subnet]],"Failed",0,1),"Pass","Fail")</f>
        <v>Fail</v>
      </c>
      <c r="BC192" t="str" cm="1">
        <f t="array" ref="BC192">IF(M192=_xlfn.XLOOKUP($B192,VmSpecs[[#All],[VM Name]],VmSpecs[[#All],[IP]],"Failed",0,1),"Pass","Fail")</f>
        <v>Fail</v>
      </c>
      <c r="BD192" t="str" cm="1">
        <f t="array" ref="BD192">IF(N192=_xlfn.XLOOKUP($B192,VmSpecs[[#All],[VM Name]],VmSpecs[[#All],[Network Security Group]],"Failed",0,1),"Pass","Fail")</f>
        <v>Fail</v>
      </c>
      <c r="BE192" t="str" cm="1">
        <f t="array" ref="BE192">IF(O192=_xlfn.XLOOKUP($B192,VmSpecs[[#All],[VM Name]],VmSpecs[[#All],[Route Table Name]],"Failed",0,1),"Pass","Fail")</f>
        <v>Fail</v>
      </c>
      <c r="BF192" t="str" cm="1">
        <f t="array" ref="BF192">IF(P192=_xlfn.XLOOKUP($B192,VmSpecs[[#All],[VM Name]],VmSpecs[[#All],[Operating System]],"Failed",0,1),"Pass","Fail")</f>
        <v>Fail</v>
      </c>
      <c r="BG192" t="str" cm="1">
        <f t="array" ref="BG192">IF(R192=_xlfn.XLOOKUP($B192,VmSpecs[[#All],[VM Name]],VmSpecs[[#All],[NIC name]],"Failed",0,1),"Pass","Fail")</f>
        <v>Fail</v>
      </c>
      <c r="BH192" t="str" cm="1">
        <f t="array" ref="BH192">IF(U192=_xlfn.XLOOKUP($B192,VmSpecs[[#All],[VM Name]],VmSpecs[[#All],[OS Disk Name]],"Failed",0,1),"Pass","Fail")</f>
        <v>Fail</v>
      </c>
      <c r="BI192" t="str" cm="1">
        <f t="array" ref="BI192">IF(W192=_xlfn.XLOOKUP($B192,VmSpecs[[#All],[VM Name]],VmSpecs[[#All],[OS Disk Size]],"Failed",0,1),"Pass","Fail")</f>
        <v>Fail</v>
      </c>
      <c r="BJ192" t="str" cm="1">
        <f t="array" ref="BJ192">IF(LEFT(X192,4)=LEFT(_xlfn.XLOOKUP($B192,VmSpecs[[#All],[VM Name]],VmSpecs[[#All],[OS Disk Type (Standard SSD etc)]],"Failed",0,1),4),"Pass","Fail")</f>
        <v>Fail</v>
      </c>
      <c r="BK192" t="str" cm="1">
        <f t="array" ref="BK192">IF(Z192=_xlfn.XLOOKUP($B192,VmSpecs[[#All],[VM Name]],VmSpecs[[#All],[Data Disk1 Name]],"Failed",0,1),"Pass","Fail")</f>
        <v>Fail</v>
      </c>
      <c r="BL192" t="str" cm="1">
        <f t="array" ref="BL192">IF(AA192=_xlfn.XLOOKUP($B192,VmSpecs[[#All],[VM Name]],VmSpecs[[#All],[Data Disk1 Size]],"Failed",0,1),"Pass","Fail")</f>
        <v>Fail</v>
      </c>
      <c r="BM192" t="str" cm="1">
        <f t="array" ref="BM192">IF(LEFT(AC192,4)=LEFT(_xlfn.XLOOKUP($B192,VmSpecs[[#All],[VM Name]],VmSpecs[[#All],[Data Disk1 Type]],"Failed",0,1),4),"Pass","Fail")</f>
        <v>Fail</v>
      </c>
      <c r="BO192" t="e">
        <f>VLOOKUP('VM Specs'!K192,'As Built'!B:B,1,FALSE)</f>
        <v>#N/A</v>
      </c>
      <c r="BP192" t="str">
        <f>IF(ISNA(Table613[[#This Row],[VM Build Sheet Check]]),'VM Specs'!K192,"")</f>
        <v>vmpfbpf2nes03</v>
      </c>
    </row>
    <row r="193" spans="1:68" ht="33" customHeight="1" x14ac:dyDescent="0.35">
      <c r="A193" t="str">
        <f>IF(COUNTIF(AsBuilt[[#This Row],[VM Check]:[Data Disk 1 Type Check]],"Fail")&gt;0,"Fail","Pass")</f>
        <v>Fail</v>
      </c>
      <c r="B193" t="s">
        <v>2099</v>
      </c>
      <c r="C193" t="s">
        <v>754</v>
      </c>
      <c r="D193" t="s">
        <v>2100</v>
      </c>
      <c r="E193" t="s">
        <v>756</v>
      </c>
      <c r="F193" t="s">
        <v>757</v>
      </c>
      <c r="G193" t="s">
        <v>758</v>
      </c>
      <c r="H193" t="s">
        <v>2101</v>
      </c>
      <c r="J193" t="s">
        <v>760</v>
      </c>
      <c r="K193" t="s">
        <v>2102</v>
      </c>
      <c r="L193" t="s">
        <v>754</v>
      </c>
      <c r="M193" t="s">
        <v>2103</v>
      </c>
      <c r="N193" t="s">
        <v>2104</v>
      </c>
      <c r="O193" t="s">
        <v>2105</v>
      </c>
      <c r="P193" t="s">
        <v>63</v>
      </c>
      <c r="R193" t="s">
        <v>2106</v>
      </c>
      <c r="S193" t="s">
        <v>754</v>
      </c>
      <c r="U193" t="s">
        <v>2107</v>
      </c>
      <c r="V193" t="s">
        <v>767</v>
      </c>
      <c r="W193">
        <v>64</v>
      </c>
      <c r="X193" t="s">
        <v>768</v>
      </c>
      <c r="Y193">
        <v>2</v>
      </c>
      <c r="Z193" t="s">
        <v>2108</v>
      </c>
      <c r="AA193">
        <v>8</v>
      </c>
      <c r="AB193" t="s">
        <v>770</v>
      </c>
      <c r="AC193" t="s">
        <v>768</v>
      </c>
      <c r="AD193" t="s">
        <v>2109</v>
      </c>
      <c r="AE193">
        <v>32</v>
      </c>
      <c r="AF193" t="s">
        <v>770</v>
      </c>
      <c r="AG193" t="s">
        <v>768</v>
      </c>
      <c r="AT193" t="s">
        <v>772</v>
      </c>
      <c r="AU193" t="s">
        <v>2110</v>
      </c>
      <c r="AV193" t="str" cm="1">
        <f t="array" ref="AV193">IF(B193=_xlfn.XLOOKUP(B193,VmSpecs[[#All],[VM Name]],VmSpecs[[#All],[VM Name]],"Failed",0,1),"Pass","Fail")</f>
        <v>Fail</v>
      </c>
      <c r="AW193" t="str" cm="1">
        <f t="array" ref="AW193">IF(D193=_xlfn.XLOOKUP($B193,VmSpecs[[#All],[VM Name]],VmSpecs[[#All],[Virtual Machine Resource Groups]],"Failed",0,1),"Pass","Fail")</f>
        <v>Fail</v>
      </c>
      <c r="AX193" t="str" cm="1">
        <f t="array" ref="AX193">IF(_xlfn.IFS(E193="australiacentral","Australia Central 1",E193="australiaeast","Australia East",E193="australiasoutheast","Australia SouthEast")=_xlfn.XLOOKUP($B193,VmSpecs[[#All],[VM Name]],VmSpecs[[#All],[Region]],"Failed",0,1),"Pass","Fail")</f>
        <v>Fail</v>
      </c>
      <c r="AY193" t="str" cm="1">
        <f t="array" ref="AY193">IF(F193=_xlfn.XLOOKUP($B193,VmSpecs[[#All],[VM Name]],VmSpecs[[#All],[Instance size]],"Failed",0,1),"Pass","Fail")</f>
        <v>Fail</v>
      </c>
      <c r="AZ193" t="str" cm="1">
        <f t="array" ref="AZ193">IF(LOWER(H193)=_xlfn.XLOOKUP($B193,VmSpecs[[#All],[VM Name]],VmSpecs[[#All],[Availability Set Name]],"Failed",0,1),"Pass","Fail")</f>
        <v>Fail</v>
      </c>
      <c r="BA193" t="str" cm="1">
        <f t="array" ref="BA193">IF(J193=_xlfn.XLOOKUP($B193,VmSpecs[[#All],[VM Name]],VmSpecs[[#All],[Virtual Network]],"Failed",0,1),"Pass","Fail")</f>
        <v>Fail</v>
      </c>
      <c r="BB193" t="str" cm="1">
        <f t="array" ref="BB193">IF(K193=_xlfn.XLOOKUP($B193,VmSpecs[[#All],[VM Name]],VmSpecs[[#All],[Subnet]],"Failed",0,1),"Pass","Fail")</f>
        <v>Fail</v>
      </c>
      <c r="BC193" t="str" cm="1">
        <f t="array" ref="BC193">IF(M193=_xlfn.XLOOKUP($B193,VmSpecs[[#All],[VM Name]],VmSpecs[[#All],[IP]],"Failed",0,1),"Pass","Fail")</f>
        <v>Fail</v>
      </c>
      <c r="BD193" t="str" cm="1">
        <f t="array" ref="BD193">IF(N193=_xlfn.XLOOKUP($B193,VmSpecs[[#All],[VM Name]],VmSpecs[[#All],[Network Security Group]],"Failed",0,1),"Pass","Fail")</f>
        <v>Fail</v>
      </c>
      <c r="BE193" t="str" cm="1">
        <f t="array" ref="BE193">IF(O193=_xlfn.XLOOKUP($B193,VmSpecs[[#All],[VM Name]],VmSpecs[[#All],[Route Table Name]],"Failed",0,1),"Pass","Fail")</f>
        <v>Fail</v>
      </c>
      <c r="BF193" t="str" cm="1">
        <f t="array" ref="BF193">IF(P193=_xlfn.XLOOKUP($B193,VmSpecs[[#All],[VM Name]],VmSpecs[[#All],[Operating System]],"Failed",0,1),"Pass","Fail")</f>
        <v>Fail</v>
      </c>
      <c r="BG193" t="str" cm="1">
        <f t="array" ref="BG193">IF(R193=_xlfn.XLOOKUP($B193,VmSpecs[[#All],[VM Name]],VmSpecs[[#All],[NIC name]],"Failed",0,1),"Pass","Fail")</f>
        <v>Fail</v>
      </c>
      <c r="BH193" t="str" cm="1">
        <f t="array" ref="BH193">IF(U193=_xlfn.XLOOKUP($B193,VmSpecs[[#All],[VM Name]],VmSpecs[[#All],[OS Disk Name]],"Failed",0,1),"Pass","Fail")</f>
        <v>Fail</v>
      </c>
      <c r="BI193" t="str" cm="1">
        <f t="array" ref="BI193">IF(W193=_xlfn.XLOOKUP($B193,VmSpecs[[#All],[VM Name]],VmSpecs[[#All],[OS Disk Size]],"Failed",0,1),"Pass","Fail")</f>
        <v>Fail</v>
      </c>
      <c r="BJ193" t="str" cm="1">
        <f t="array" ref="BJ193">IF(LEFT(X193,4)=LEFT(_xlfn.XLOOKUP($B193,VmSpecs[[#All],[VM Name]],VmSpecs[[#All],[OS Disk Type (Standard SSD etc)]],"Failed",0,1),4),"Pass","Fail")</f>
        <v>Fail</v>
      </c>
      <c r="BK193" t="str" cm="1">
        <f t="array" ref="BK193">IF(Z193=_xlfn.XLOOKUP($B193,VmSpecs[[#All],[VM Name]],VmSpecs[[#All],[Data Disk1 Name]],"Failed",0,1),"Pass","Fail")</f>
        <v>Fail</v>
      </c>
      <c r="BL193" t="str" cm="1">
        <f t="array" ref="BL193">IF(AA193=_xlfn.XLOOKUP($B193,VmSpecs[[#All],[VM Name]],VmSpecs[[#All],[Data Disk1 Size]],"Failed",0,1),"Pass","Fail")</f>
        <v>Fail</v>
      </c>
      <c r="BM193" t="str" cm="1">
        <f t="array" ref="BM193">IF(LEFT(AC193,4)=LEFT(_xlfn.XLOOKUP($B193,VmSpecs[[#All],[VM Name]],VmSpecs[[#All],[Data Disk1 Type]],"Failed",0,1),4),"Pass","Fail")</f>
        <v>Fail</v>
      </c>
      <c r="BO193" t="e">
        <f>VLOOKUP('VM Specs'!K193,'As Built'!B:B,1,FALSE)</f>
        <v>#N/A</v>
      </c>
      <c r="BP193" t="str">
        <f>IF(ISNA(Table613[[#This Row],[VM Build Sheet Check]]),'VM Specs'!K193,"")</f>
        <v>vmpfbpf2aho01</v>
      </c>
    </row>
    <row r="194" spans="1:68" ht="33" customHeight="1" x14ac:dyDescent="0.35">
      <c r="A194" t="str">
        <f>IF(COUNTIF(AsBuilt[[#This Row],[VM Check]:[Data Disk 1 Type Check]],"Fail")&gt;0,"Fail","Pass")</f>
        <v>Fail</v>
      </c>
      <c r="B194" t="s">
        <v>2111</v>
      </c>
      <c r="C194" t="s">
        <v>754</v>
      </c>
      <c r="D194" t="s">
        <v>2100</v>
      </c>
      <c r="E194" t="s">
        <v>756</v>
      </c>
      <c r="F194" t="s">
        <v>757</v>
      </c>
      <c r="G194" t="s">
        <v>758</v>
      </c>
      <c r="H194" t="s">
        <v>2101</v>
      </c>
      <c r="J194" t="s">
        <v>760</v>
      </c>
      <c r="K194" t="s">
        <v>2102</v>
      </c>
      <c r="L194" t="s">
        <v>754</v>
      </c>
      <c r="M194" t="s">
        <v>2112</v>
      </c>
      <c r="N194" t="s">
        <v>2104</v>
      </c>
      <c r="O194" t="s">
        <v>2105</v>
      </c>
      <c r="P194" t="s">
        <v>63</v>
      </c>
      <c r="R194" t="s">
        <v>2113</v>
      </c>
      <c r="S194" t="s">
        <v>754</v>
      </c>
      <c r="U194" t="s">
        <v>2114</v>
      </c>
      <c r="V194" t="s">
        <v>767</v>
      </c>
      <c r="W194">
        <v>64</v>
      </c>
      <c r="X194" t="s">
        <v>768</v>
      </c>
      <c r="Y194">
        <v>2</v>
      </c>
      <c r="Z194" t="s">
        <v>2115</v>
      </c>
      <c r="AA194">
        <v>8</v>
      </c>
      <c r="AB194" t="s">
        <v>770</v>
      </c>
      <c r="AC194" t="s">
        <v>768</v>
      </c>
      <c r="AD194" t="s">
        <v>2116</v>
      </c>
      <c r="AE194">
        <v>32</v>
      </c>
      <c r="AF194" t="s">
        <v>770</v>
      </c>
      <c r="AG194" t="s">
        <v>768</v>
      </c>
      <c r="AT194" t="s">
        <v>772</v>
      </c>
      <c r="AU194" t="s">
        <v>2117</v>
      </c>
      <c r="AV194" t="str" cm="1">
        <f t="array" ref="AV194">IF(B194=_xlfn.XLOOKUP(B194,VmSpecs[[#All],[VM Name]],VmSpecs[[#All],[VM Name]],"Failed",0,1),"Pass","Fail")</f>
        <v>Fail</v>
      </c>
      <c r="AW194" t="str" cm="1">
        <f t="array" ref="AW194">IF(D194=_xlfn.XLOOKUP($B194,VmSpecs[[#All],[VM Name]],VmSpecs[[#All],[Virtual Machine Resource Groups]],"Failed",0,1),"Pass","Fail")</f>
        <v>Fail</v>
      </c>
      <c r="AX194" t="str" cm="1">
        <f t="array" ref="AX194">IF(_xlfn.IFS(E194="australiacentral","Australia Central 1",E194="australiaeast","Australia East",E194="australiasoutheast","Australia SouthEast")=_xlfn.XLOOKUP($B194,VmSpecs[[#All],[VM Name]],VmSpecs[[#All],[Region]],"Failed",0,1),"Pass","Fail")</f>
        <v>Fail</v>
      </c>
      <c r="AY194" t="str" cm="1">
        <f t="array" ref="AY194">IF(F194=_xlfn.XLOOKUP($B194,VmSpecs[[#All],[VM Name]],VmSpecs[[#All],[Instance size]],"Failed",0,1),"Pass","Fail")</f>
        <v>Fail</v>
      </c>
      <c r="AZ194" t="str" cm="1">
        <f t="array" ref="AZ194">IF(LOWER(H194)=_xlfn.XLOOKUP($B194,VmSpecs[[#All],[VM Name]],VmSpecs[[#All],[Availability Set Name]],"Failed",0,1),"Pass","Fail")</f>
        <v>Fail</v>
      </c>
      <c r="BA194" t="str" cm="1">
        <f t="array" ref="BA194">IF(J194=_xlfn.XLOOKUP($B194,VmSpecs[[#All],[VM Name]],VmSpecs[[#All],[Virtual Network]],"Failed",0,1),"Pass","Fail")</f>
        <v>Fail</v>
      </c>
      <c r="BB194" t="str" cm="1">
        <f t="array" ref="BB194">IF(K194=_xlfn.XLOOKUP($B194,VmSpecs[[#All],[VM Name]],VmSpecs[[#All],[Subnet]],"Failed",0,1),"Pass","Fail")</f>
        <v>Fail</v>
      </c>
      <c r="BC194" t="str" cm="1">
        <f t="array" ref="BC194">IF(M194=_xlfn.XLOOKUP($B194,VmSpecs[[#All],[VM Name]],VmSpecs[[#All],[IP]],"Failed",0,1),"Pass","Fail")</f>
        <v>Fail</v>
      </c>
      <c r="BD194" t="str" cm="1">
        <f t="array" ref="BD194">IF(N194=_xlfn.XLOOKUP($B194,VmSpecs[[#All],[VM Name]],VmSpecs[[#All],[Network Security Group]],"Failed",0,1),"Pass","Fail")</f>
        <v>Fail</v>
      </c>
      <c r="BE194" t="str" cm="1">
        <f t="array" ref="BE194">IF(O194=_xlfn.XLOOKUP($B194,VmSpecs[[#All],[VM Name]],VmSpecs[[#All],[Route Table Name]],"Failed",0,1),"Pass","Fail")</f>
        <v>Fail</v>
      </c>
      <c r="BF194" t="str" cm="1">
        <f t="array" ref="BF194">IF(P194=_xlfn.XLOOKUP($B194,VmSpecs[[#All],[VM Name]],VmSpecs[[#All],[Operating System]],"Failed",0,1),"Pass","Fail")</f>
        <v>Fail</v>
      </c>
      <c r="BG194" t="str" cm="1">
        <f t="array" ref="BG194">IF(R194=_xlfn.XLOOKUP($B194,VmSpecs[[#All],[VM Name]],VmSpecs[[#All],[NIC name]],"Failed",0,1),"Pass","Fail")</f>
        <v>Fail</v>
      </c>
      <c r="BH194" t="str" cm="1">
        <f t="array" ref="BH194">IF(U194=_xlfn.XLOOKUP($B194,VmSpecs[[#All],[VM Name]],VmSpecs[[#All],[OS Disk Name]],"Failed",0,1),"Pass","Fail")</f>
        <v>Fail</v>
      </c>
      <c r="BI194" t="str" cm="1">
        <f t="array" ref="BI194">IF(W194=_xlfn.XLOOKUP($B194,VmSpecs[[#All],[VM Name]],VmSpecs[[#All],[OS Disk Size]],"Failed",0,1),"Pass","Fail")</f>
        <v>Fail</v>
      </c>
      <c r="BJ194" t="str" cm="1">
        <f t="array" ref="BJ194">IF(LEFT(X194,4)=LEFT(_xlfn.XLOOKUP($B194,VmSpecs[[#All],[VM Name]],VmSpecs[[#All],[OS Disk Type (Standard SSD etc)]],"Failed",0,1),4),"Pass","Fail")</f>
        <v>Fail</v>
      </c>
      <c r="BK194" t="str" cm="1">
        <f t="array" ref="BK194">IF(Z194=_xlfn.XLOOKUP($B194,VmSpecs[[#All],[VM Name]],VmSpecs[[#All],[Data Disk1 Name]],"Failed",0,1),"Pass","Fail")</f>
        <v>Fail</v>
      </c>
      <c r="BL194" t="str" cm="1">
        <f t="array" ref="BL194">IF(AA194=_xlfn.XLOOKUP($B194,VmSpecs[[#All],[VM Name]],VmSpecs[[#All],[Data Disk1 Size]],"Failed",0,1),"Pass","Fail")</f>
        <v>Fail</v>
      </c>
      <c r="BM194" t="str" cm="1">
        <f t="array" ref="BM194">IF(LEFT(AC194,4)=LEFT(_xlfn.XLOOKUP($B194,VmSpecs[[#All],[VM Name]],VmSpecs[[#All],[Data Disk1 Type]],"Failed",0,1),4),"Pass","Fail")</f>
        <v>Fail</v>
      </c>
      <c r="BO194" t="e">
        <f>VLOOKUP('VM Specs'!K194,'As Built'!B:B,1,FALSE)</f>
        <v>#N/A</v>
      </c>
      <c r="BP194" t="str">
        <f>IF(ISNA(Table613[[#This Row],[VM Build Sheet Check]]),'VM Specs'!K194,"")</f>
        <v>vmpfbpf2aho02</v>
      </c>
    </row>
    <row r="195" spans="1:68" ht="33" customHeight="1" x14ac:dyDescent="0.35">
      <c r="A195" t="str">
        <f>IF(COUNTIF(AsBuilt[[#This Row],[VM Check]:[Data Disk 1 Type Check]],"Fail")&gt;0,"Fail","Pass")</f>
        <v>Fail</v>
      </c>
      <c r="B195" t="s">
        <v>2118</v>
      </c>
      <c r="C195" t="s">
        <v>754</v>
      </c>
      <c r="D195" t="s">
        <v>2100</v>
      </c>
      <c r="E195" t="s">
        <v>756</v>
      </c>
      <c r="F195" t="s">
        <v>757</v>
      </c>
      <c r="G195" t="s">
        <v>758</v>
      </c>
      <c r="H195" t="s">
        <v>2101</v>
      </c>
      <c r="J195" t="s">
        <v>760</v>
      </c>
      <c r="K195" t="s">
        <v>2102</v>
      </c>
      <c r="L195" t="s">
        <v>754</v>
      </c>
      <c r="M195" t="s">
        <v>2119</v>
      </c>
      <c r="N195" t="s">
        <v>2104</v>
      </c>
      <c r="O195" t="s">
        <v>2105</v>
      </c>
      <c r="P195" t="s">
        <v>63</v>
      </c>
      <c r="R195" t="s">
        <v>2120</v>
      </c>
      <c r="S195" t="s">
        <v>754</v>
      </c>
      <c r="U195" t="s">
        <v>2121</v>
      </c>
      <c r="V195" t="s">
        <v>767</v>
      </c>
      <c r="W195">
        <v>64</v>
      </c>
      <c r="X195" t="s">
        <v>768</v>
      </c>
      <c r="Y195">
        <v>2</v>
      </c>
      <c r="Z195" t="s">
        <v>2122</v>
      </c>
      <c r="AA195">
        <v>8</v>
      </c>
      <c r="AB195" t="s">
        <v>770</v>
      </c>
      <c r="AC195" t="s">
        <v>768</v>
      </c>
      <c r="AD195" t="s">
        <v>2123</v>
      </c>
      <c r="AE195">
        <v>32</v>
      </c>
      <c r="AF195" t="s">
        <v>770</v>
      </c>
      <c r="AG195" t="s">
        <v>768</v>
      </c>
      <c r="AT195" t="s">
        <v>772</v>
      </c>
      <c r="AU195" t="s">
        <v>2124</v>
      </c>
      <c r="AV195" t="str" cm="1">
        <f t="array" ref="AV195">IF(B195=_xlfn.XLOOKUP(B195,VmSpecs[[#All],[VM Name]],VmSpecs[[#All],[VM Name]],"Failed",0,1),"Pass","Fail")</f>
        <v>Fail</v>
      </c>
      <c r="AW195" t="str" cm="1">
        <f t="array" ref="AW195">IF(D195=_xlfn.XLOOKUP($B195,VmSpecs[[#All],[VM Name]],VmSpecs[[#All],[Virtual Machine Resource Groups]],"Failed",0,1),"Pass","Fail")</f>
        <v>Fail</v>
      </c>
      <c r="AX195" t="str" cm="1">
        <f t="array" ref="AX195">IF(_xlfn.IFS(E195="australiacentral","Australia Central 1",E195="australiaeast","Australia East",E195="australiasoutheast","Australia SouthEast")=_xlfn.XLOOKUP($B195,VmSpecs[[#All],[VM Name]],VmSpecs[[#All],[Region]],"Failed",0,1),"Pass","Fail")</f>
        <v>Fail</v>
      </c>
      <c r="AY195" t="str" cm="1">
        <f t="array" ref="AY195">IF(F195=_xlfn.XLOOKUP($B195,VmSpecs[[#All],[VM Name]],VmSpecs[[#All],[Instance size]],"Failed",0,1),"Pass","Fail")</f>
        <v>Fail</v>
      </c>
      <c r="AZ195" t="str" cm="1">
        <f t="array" ref="AZ195">IF(LOWER(H195)=_xlfn.XLOOKUP($B195,VmSpecs[[#All],[VM Name]],VmSpecs[[#All],[Availability Set Name]],"Failed",0,1),"Pass","Fail")</f>
        <v>Fail</v>
      </c>
      <c r="BA195" t="str" cm="1">
        <f t="array" ref="BA195">IF(J195=_xlfn.XLOOKUP($B195,VmSpecs[[#All],[VM Name]],VmSpecs[[#All],[Virtual Network]],"Failed",0,1),"Pass","Fail")</f>
        <v>Fail</v>
      </c>
      <c r="BB195" t="str" cm="1">
        <f t="array" ref="BB195">IF(K195=_xlfn.XLOOKUP($B195,VmSpecs[[#All],[VM Name]],VmSpecs[[#All],[Subnet]],"Failed",0,1),"Pass","Fail")</f>
        <v>Fail</v>
      </c>
      <c r="BC195" t="str" cm="1">
        <f t="array" ref="BC195">IF(M195=_xlfn.XLOOKUP($B195,VmSpecs[[#All],[VM Name]],VmSpecs[[#All],[IP]],"Failed",0,1),"Pass","Fail")</f>
        <v>Fail</v>
      </c>
      <c r="BD195" t="str" cm="1">
        <f t="array" ref="BD195">IF(N195=_xlfn.XLOOKUP($B195,VmSpecs[[#All],[VM Name]],VmSpecs[[#All],[Network Security Group]],"Failed",0,1),"Pass","Fail")</f>
        <v>Fail</v>
      </c>
      <c r="BE195" t="str" cm="1">
        <f t="array" ref="BE195">IF(O195=_xlfn.XLOOKUP($B195,VmSpecs[[#All],[VM Name]],VmSpecs[[#All],[Route Table Name]],"Failed",0,1),"Pass","Fail")</f>
        <v>Fail</v>
      </c>
      <c r="BF195" t="str" cm="1">
        <f t="array" ref="BF195">IF(P195=_xlfn.XLOOKUP($B195,VmSpecs[[#All],[VM Name]],VmSpecs[[#All],[Operating System]],"Failed",0,1),"Pass","Fail")</f>
        <v>Fail</v>
      </c>
      <c r="BG195" t="str" cm="1">
        <f t="array" ref="BG195">IF(R195=_xlfn.XLOOKUP($B195,VmSpecs[[#All],[VM Name]],VmSpecs[[#All],[NIC name]],"Failed",0,1),"Pass","Fail")</f>
        <v>Fail</v>
      </c>
      <c r="BH195" t="str" cm="1">
        <f t="array" ref="BH195">IF(U195=_xlfn.XLOOKUP($B195,VmSpecs[[#All],[VM Name]],VmSpecs[[#All],[OS Disk Name]],"Failed",0,1),"Pass","Fail")</f>
        <v>Fail</v>
      </c>
      <c r="BI195" t="str" cm="1">
        <f t="array" ref="BI195">IF(W195=_xlfn.XLOOKUP($B195,VmSpecs[[#All],[VM Name]],VmSpecs[[#All],[OS Disk Size]],"Failed",0,1),"Pass","Fail")</f>
        <v>Fail</v>
      </c>
      <c r="BJ195" t="str" cm="1">
        <f t="array" ref="BJ195">IF(LEFT(X195,4)=LEFT(_xlfn.XLOOKUP($B195,VmSpecs[[#All],[VM Name]],VmSpecs[[#All],[OS Disk Type (Standard SSD etc)]],"Failed",0,1),4),"Pass","Fail")</f>
        <v>Fail</v>
      </c>
      <c r="BK195" t="str" cm="1">
        <f t="array" ref="BK195">IF(Z195=_xlfn.XLOOKUP($B195,VmSpecs[[#All],[VM Name]],VmSpecs[[#All],[Data Disk1 Name]],"Failed",0,1),"Pass","Fail")</f>
        <v>Fail</v>
      </c>
      <c r="BL195" t="str" cm="1">
        <f t="array" ref="BL195">IF(AA195=_xlfn.XLOOKUP($B195,VmSpecs[[#All],[VM Name]],VmSpecs[[#All],[Data Disk1 Size]],"Failed",0,1),"Pass","Fail")</f>
        <v>Fail</v>
      </c>
      <c r="BM195" t="str" cm="1">
        <f t="array" ref="BM195">IF(LEFT(AC195,4)=LEFT(_xlfn.XLOOKUP($B195,VmSpecs[[#All],[VM Name]],VmSpecs[[#All],[Data Disk1 Type]],"Failed",0,1),4),"Pass","Fail")</f>
        <v>Fail</v>
      </c>
      <c r="BO195" t="e">
        <f>VLOOKUP('VM Specs'!K195,'As Built'!B:B,1,FALSE)</f>
        <v>#N/A</v>
      </c>
      <c r="BP195" t="str">
        <f>IF(ISNA(Table613[[#This Row],[VM Build Sheet Check]]),'VM Specs'!K195,"")</f>
        <v>vmpfbpf2aho03</v>
      </c>
    </row>
    <row r="196" spans="1:68" ht="33" customHeight="1" x14ac:dyDescent="0.35">
      <c r="A196" t="str">
        <f>IF(COUNTIF(AsBuilt[[#This Row],[VM Check]:[Data Disk 1 Type Check]],"Fail")&gt;0,"Fail","Pass")</f>
        <v>Fail</v>
      </c>
      <c r="B196" t="s">
        <v>2125</v>
      </c>
      <c r="C196" t="s">
        <v>754</v>
      </c>
      <c r="D196" t="s">
        <v>2100</v>
      </c>
      <c r="E196" t="s">
        <v>756</v>
      </c>
      <c r="F196" t="s">
        <v>757</v>
      </c>
      <c r="G196" t="s">
        <v>758</v>
      </c>
      <c r="H196" t="s">
        <v>2101</v>
      </c>
      <c r="J196" t="s">
        <v>760</v>
      </c>
      <c r="K196" t="s">
        <v>2102</v>
      </c>
      <c r="L196" t="s">
        <v>754</v>
      </c>
      <c r="M196" t="s">
        <v>2126</v>
      </c>
      <c r="N196" t="s">
        <v>2104</v>
      </c>
      <c r="O196" t="s">
        <v>2105</v>
      </c>
      <c r="P196" t="s">
        <v>63</v>
      </c>
      <c r="R196" t="s">
        <v>2127</v>
      </c>
      <c r="S196" t="s">
        <v>754</v>
      </c>
      <c r="U196" t="s">
        <v>2128</v>
      </c>
      <c r="V196" t="s">
        <v>767</v>
      </c>
      <c r="W196">
        <v>64</v>
      </c>
      <c r="X196" t="s">
        <v>768</v>
      </c>
      <c r="Y196">
        <v>2</v>
      </c>
      <c r="Z196" t="s">
        <v>2129</v>
      </c>
      <c r="AA196">
        <v>8</v>
      </c>
      <c r="AB196" t="s">
        <v>770</v>
      </c>
      <c r="AC196" t="s">
        <v>768</v>
      </c>
      <c r="AD196" t="s">
        <v>2130</v>
      </c>
      <c r="AE196">
        <v>32</v>
      </c>
      <c r="AF196" t="s">
        <v>770</v>
      </c>
      <c r="AG196" t="s">
        <v>768</v>
      </c>
      <c r="AT196" t="s">
        <v>772</v>
      </c>
      <c r="AU196" t="s">
        <v>2131</v>
      </c>
      <c r="AV196" t="str" cm="1">
        <f t="array" ref="AV196">IF(B196=_xlfn.XLOOKUP(B196,VmSpecs[[#All],[VM Name]],VmSpecs[[#All],[VM Name]],"Failed",0,1),"Pass","Fail")</f>
        <v>Fail</v>
      </c>
      <c r="AW196" t="str" cm="1">
        <f t="array" ref="AW196">IF(D196=_xlfn.XLOOKUP($B196,VmSpecs[[#All],[VM Name]],VmSpecs[[#All],[Virtual Machine Resource Groups]],"Failed",0,1),"Pass","Fail")</f>
        <v>Fail</v>
      </c>
      <c r="AX196" t="str" cm="1">
        <f t="array" ref="AX196">IF(_xlfn.IFS(E196="australiacentral","Australia Central 1",E196="australiaeast","Australia East",E196="australiasoutheast","Australia SouthEast")=_xlfn.XLOOKUP($B196,VmSpecs[[#All],[VM Name]],VmSpecs[[#All],[Region]],"Failed",0,1),"Pass","Fail")</f>
        <v>Fail</v>
      </c>
      <c r="AY196" t="str" cm="1">
        <f t="array" ref="AY196">IF(F196=_xlfn.XLOOKUP($B196,VmSpecs[[#All],[VM Name]],VmSpecs[[#All],[Instance size]],"Failed",0,1),"Pass","Fail")</f>
        <v>Fail</v>
      </c>
      <c r="AZ196" t="str" cm="1">
        <f t="array" ref="AZ196">IF(LOWER(H196)=_xlfn.XLOOKUP($B196,VmSpecs[[#All],[VM Name]],VmSpecs[[#All],[Availability Set Name]],"Failed",0,1),"Pass","Fail")</f>
        <v>Fail</v>
      </c>
      <c r="BA196" t="str" cm="1">
        <f t="array" ref="BA196">IF(J196=_xlfn.XLOOKUP($B196,VmSpecs[[#All],[VM Name]],VmSpecs[[#All],[Virtual Network]],"Failed",0,1),"Pass","Fail")</f>
        <v>Fail</v>
      </c>
      <c r="BB196" t="str" cm="1">
        <f t="array" ref="BB196">IF(K196=_xlfn.XLOOKUP($B196,VmSpecs[[#All],[VM Name]],VmSpecs[[#All],[Subnet]],"Failed",0,1),"Pass","Fail")</f>
        <v>Fail</v>
      </c>
      <c r="BC196" t="str" cm="1">
        <f t="array" ref="BC196">IF(M196=_xlfn.XLOOKUP($B196,VmSpecs[[#All],[VM Name]],VmSpecs[[#All],[IP]],"Failed",0,1),"Pass","Fail")</f>
        <v>Fail</v>
      </c>
      <c r="BD196" t="str" cm="1">
        <f t="array" ref="BD196">IF(N196=_xlfn.XLOOKUP($B196,VmSpecs[[#All],[VM Name]],VmSpecs[[#All],[Network Security Group]],"Failed",0,1),"Pass","Fail")</f>
        <v>Fail</v>
      </c>
      <c r="BE196" t="str" cm="1">
        <f t="array" ref="BE196">IF(O196=_xlfn.XLOOKUP($B196,VmSpecs[[#All],[VM Name]],VmSpecs[[#All],[Route Table Name]],"Failed",0,1),"Pass","Fail")</f>
        <v>Fail</v>
      </c>
      <c r="BF196" t="str" cm="1">
        <f t="array" ref="BF196">IF(P196=_xlfn.XLOOKUP($B196,VmSpecs[[#All],[VM Name]],VmSpecs[[#All],[Operating System]],"Failed",0,1),"Pass","Fail")</f>
        <v>Fail</v>
      </c>
      <c r="BG196" t="str" cm="1">
        <f t="array" ref="BG196">IF(R196=_xlfn.XLOOKUP($B196,VmSpecs[[#All],[VM Name]],VmSpecs[[#All],[NIC name]],"Failed",0,1),"Pass","Fail")</f>
        <v>Fail</v>
      </c>
      <c r="BH196" t="str" cm="1">
        <f t="array" ref="BH196">IF(U196=_xlfn.XLOOKUP($B196,VmSpecs[[#All],[VM Name]],VmSpecs[[#All],[OS Disk Name]],"Failed",0,1),"Pass","Fail")</f>
        <v>Fail</v>
      </c>
      <c r="BI196" t="str" cm="1">
        <f t="array" ref="BI196">IF(W196=_xlfn.XLOOKUP($B196,VmSpecs[[#All],[VM Name]],VmSpecs[[#All],[OS Disk Size]],"Failed",0,1),"Pass","Fail")</f>
        <v>Fail</v>
      </c>
      <c r="BJ196" t="str" cm="1">
        <f t="array" ref="BJ196">IF(LEFT(X196,4)=LEFT(_xlfn.XLOOKUP($B196,VmSpecs[[#All],[VM Name]],VmSpecs[[#All],[OS Disk Type (Standard SSD etc)]],"Failed",0,1),4),"Pass","Fail")</f>
        <v>Fail</v>
      </c>
      <c r="BK196" t="str" cm="1">
        <f t="array" ref="BK196">IF(Z196=_xlfn.XLOOKUP($B196,VmSpecs[[#All],[VM Name]],VmSpecs[[#All],[Data Disk1 Name]],"Failed",0,1),"Pass","Fail")</f>
        <v>Fail</v>
      </c>
      <c r="BL196" t="str" cm="1">
        <f t="array" ref="BL196">IF(AA196=_xlfn.XLOOKUP($B196,VmSpecs[[#All],[VM Name]],VmSpecs[[#All],[Data Disk1 Size]],"Failed",0,1),"Pass","Fail")</f>
        <v>Fail</v>
      </c>
      <c r="BM196" t="str" cm="1">
        <f t="array" ref="BM196">IF(LEFT(AC196,4)=LEFT(_xlfn.XLOOKUP($B196,VmSpecs[[#All],[VM Name]],VmSpecs[[#All],[Data Disk1 Type]],"Failed",0,1),4),"Pass","Fail")</f>
        <v>Fail</v>
      </c>
      <c r="BO196" t="e">
        <f>VLOOKUP('VM Specs'!K196,'As Built'!B:B,1,FALSE)</f>
        <v>#N/A</v>
      </c>
      <c r="BP196" t="str">
        <f>IF(ISNA(Table613[[#This Row],[VM Build Sheet Check]]),'VM Specs'!K196,"")</f>
        <v>vmpfbpf2aho04</v>
      </c>
    </row>
    <row r="197" spans="1:68" ht="33" customHeight="1" x14ac:dyDescent="0.35">
      <c r="A197" t="str">
        <f>IF(COUNTIF(AsBuilt[[#This Row],[VM Check]:[Data Disk 1 Type Check]],"Fail")&gt;0,"Fail","Pass")</f>
        <v>Fail</v>
      </c>
      <c r="B197" t="s">
        <v>2132</v>
      </c>
      <c r="C197" t="s">
        <v>754</v>
      </c>
      <c r="D197" t="s">
        <v>2100</v>
      </c>
      <c r="E197" t="s">
        <v>756</v>
      </c>
      <c r="F197" t="s">
        <v>757</v>
      </c>
      <c r="G197" t="s">
        <v>758</v>
      </c>
      <c r="H197" t="s">
        <v>2133</v>
      </c>
      <c r="J197" t="s">
        <v>760</v>
      </c>
      <c r="K197" t="s">
        <v>2102</v>
      </c>
      <c r="L197" t="s">
        <v>754</v>
      </c>
      <c r="M197" t="s">
        <v>2134</v>
      </c>
      <c r="N197" t="s">
        <v>2104</v>
      </c>
      <c r="O197" t="s">
        <v>2105</v>
      </c>
      <c r="P197" t="s">
        <v>63</v>
      </c>
      <c r="R197" t="s">
        <v>2135</v>
      </c>
      <c r="S197" t="s">
        <v>754</v>
      </c>
      <c r="U197" t="s">
        <v>2136</v>
      </c>
      <c r="V197" t="s">
        <v>767</v>
      </c>
      <c r="W197">
        <v>64</v>
      </c>
      <c r="X197" t="s">
        <v>768</v>
      </c>
      <c r="Y197">
        <v>2</v>
      </c>
      <c r="Z197" t="s">
        <v>2137</v>
      </c>
      <c r="AA197">
        <v>8</v>
      </c>
      <c r="AB197" t="s">
        <v>770</v>
      </c>
      <c r="AC197" t="s">
        <v>768</v>
      </c>
      <c r="AD197" t="s">
        <v>2138</v>
      </c>
      <c r="AE197">
        <v>32</v>
      </c>
      <c r="AF197" t="s">
        <v>770</v>
      </c>
      <c r="AG197" t="s">
        <v>768</v>
      </c>
      <c r="AT197" t="s">
        <v>772</v>
      </c>
      <c r="AU197" t="s">
        <v>2139</v>
      </c>
      <c r="AV197" t="str" cm="1">
        <f t="array" ref="AV197">IF(B197=_xlfn.XLOOKUP(B197,VmSpecs[[#All],[VM Name]],VmSpecs[[#All],[VM Name]],"Failed",0,1),"Pass","Fail")</f>
        <v>Fail</v>
      </c>
      <c r="AW197" t="str" cm="1">
        <f t="array" ref="AW197">IF(D197=_xlfn.XLOOKUP($B197,VmSpecs[[#All],[VM Name]],VmSpecs[[#All],[Virtual Machine Resource Groups]],"Failed",0,1),"Pass","Fail")</f>
        <v>Fail</v>
      </c>
      <c r="AX197" t="str" cm="1">
        <f t="array" ref="AX197">IF(_xlfn.IFS(E197="australiacentral","Australia Central 1",E197="australiaeast","Australia East",E197="australiasoutheast","Australia SouthEast")=_xlfn.XLOOKUP($B197,VmSpecs[[#All],[VM Name]],VmSpecs[[#All],[Region]],"Failed",0,1),"Pass","Fail")</f>
        <v>Fail</v>
      </c>
      <c r="AY197" t="str" cm="1">
        <f t="array" ref="AY197">IF(F197=_xlfn.XLOOKUP($B197,VmSpecs[[#All],[VM Name]],VmSpecs[[#All],[Instance size]],"Failed",0,1),"Pass","Fail")</f>
        <v>Fail</v>
      </c>
      <c r="AZ197" t="str" cm="1">
        <f t="array" ref="AZ197">IF(LOWER(H197)=_xlfn.XLOOKUP($B197,VmSpecs[[#All],[VM Name]],VmSpecs[[#All],[Availability Set Name]],"Failed",0,1),"Pass","Fail")</f>
        <v>Fail</v>
      </c>
      <c r="BA197" t="str" cm="1">
        <f t="array" ref="BA197">IF(J197=_xlfn.XLOOKUP($B197,VmSpecs[[#All],[VM Name]],VmSpecs[[#All],[Virtual Network]],"Failed",0,1),"Pass","Fail")</f>
        <v>Fail</v>
      </c>
      <c r="BB197" t="str" cm="1">
        <f t="array" ref="BB197">IF(K197=_xlfn.XLOOKUP($B197,VmSpecs[[#All],[VM Name]],VmSpecs[[#All],[Subnet]],"Failed",0,1),"Pass","Fail")</f>
        <v>Fail</v>
      </c>
      <c r="BC197" t="str" cm="1">
        <f t="array" ref="BC197">IF(M197=_xlfn.XLOOKUP($B197,VmSpecs[[#All],[VM Name]],VmSpecs[[#All],[IP]],"Failed",0,1),"Pass","Fail")</f>
        <v>Fail</v>
      </c>
      <c r="BD197" t="str" cm="1">
        <f t="array" ref="BD197">IF(N197=_xlfn.XLOOKUP($B197,VmSpecs[[#All],[VM Name]],VmSpecs[[#All],[Network Security Group]],"Failed",0,1),"Pass","Fail")</f>
        <v>Fail</v>
      </c>
      <c r="BE197" t="str" cm="1">
        <f t="array" ref="BE197">IF(O197=_xlfn.XLOOKUP($B197,VmSpecs[[#All],[VM Name]],VmSpecs[[#All],[Route Table Name]],"Failed",0,1),"Pass","Fail")</f>
        <v>Fail</v>
      </c>
      <c r="BF197" t="str" cm="1">
        <f t="array" ref="BF197">IF(P197=_xlfn.XLOOKUP($B197,VmSpecs[[#All],[VM Name]],VmSpecs[[#All],[Operating System]],"Failed",0,1),"Pass","Fail")</f>
        <v>Fail</v>
      </c>
      <c r="BG197" t="str" cm="1">
        <f t="array" ref="BG197">IF(R197=_xlfn.XLOOKUP($B197,VmSpecs[[#All],[VM Name]],VmSpecs[[#All],[NIC name]],"Failed",0,1),"Pass","Fail")</f>
        <v>Fail</v>
      </c>
      <c r="BH197" t="str" cm="1">
        <f t="array" ref="BH197">IF(U197=_xlfn.XLOOKUP($B197,VmSpecs[[#All],[VM Name]],VmSpecs[[#All],[OS Disk Name]],"Failed",0,1),"Pass","Fail")</f>
        <v>Fail</v>
      </c>
      <c r="BI197" t="str" cm="1">
        <f t="array" ref="BI197">IF(W197=_xlfn.XLOOKUP($B197,VmSpecs[[#All],[VM Name]],VmSpecs[[#All],[OS Disk Size]],"Failed",0,1),"Pass","Fail")</f>
        <v>Fail</v>
      </c>
      <c r="BJ197" t="str" cm="1">
        <f t="array" ref="BJ197">IF(LEFT(X197,4)=LEFT(_xlfn.XLOOKUP($B197,VmSpecs[[#All],[VM Name]],VmSpecs[[#All],[OS Disk Type (Standard SSD etc)]],"Failed",0,1),4),"Pass","Fail")</f>
        <v>Fail</v>
      </c>
      <c r="BK197" t="str" cm="1">
        <f t="array" ref="BK197">IF(Z197=_xlfn.XLOOKUP($B197,VmSpecs[[#All],[VM Name]],VmSpecs[[#All],[Data Disk1 Name]],"Failed",0,1),"Pass","Fail")</f>
        <v>Fail</v>
      </c>
      <c r="BL197" t="str" cm="1">
        <f t="array" ref="BL197">IF(AA197=_xlfn.XLOOKUP($B197,VmSpecs[[#All],[VM Name]],VmSpecs[[#All],[Data Disk1 Size]],"Failed",0,1),"Pass","Fail")</f>
        <v>Fail</v>
      </c>
      <c r="BM197" t="str" cm="1">
        <f t="array" ref="BM197">IF(LEFT(AC197,4)=LEFT(_xlfn.XLOOKUP($B197,VmSpecs[[#All],[VM Name]],VmSpecs[[#All],[Data Disk1 Type]],"Failed",0,1),4),"Pass","Fail")</f>
        <v>Fail</v>
      </c>
      <c r="BO197" t="e">
        <f>VLOOKUP('VM Specs'!K197,'As Built'!B:B,1,FALSE)</f>
        <v>#N/A</v>
      </c>
      <c r="BP197" t="str">
        <f>IF(ISNA(Table613[[#This Row],[VM Build Sheet Check]]),'VM Specs'!K197,"")</f>
        <v>vmpfbpf2cho01</v>
      </c>
    </row>
    <row r="198" spans="1:68" ht="33" customHeight="1" x14ac:dyDescent="0.35">
      <c r="A198" t="str">
        <f>IF(COUNTIF(AsBuilt[[#This Row],[VM Check]:[Data Disk 1 Type Check]],"Fail")&gt;0,"Fail","Pass")</f>
        <v>Fail</v>
      </c>
      <c r="B198" t="s">
        <v>2140</v>
      </c>
      <c r="C198" t="s">
        <v>754</v>
      </c>
      <c r="D198" t="s">
        <v>2100</v>
      </c>
      <c r="E198" t="s">
        <v>756</v>
      </c>
      <c r="F198" t="s">
        <v>757</v>
      </c>
      <c r="G198" t="s">
        <v>758</v>
      </c>
      <c r="H198" t="s">
        <v>2133</v>
      </c>
      <c r="J198" t="s">
        <v>760</v>
      </c>
      <c r="K198" t="s">
        <v>2102</v>
      </c>
      <c r="L198" t="s">
        <v>754</v>
      </c>
      <c r="M198" t="s">
        <v>2141</v>
      </c>
      <c r="N198" t="s">
        <v>2104</v>
      </c>
      <c r="O198" t="s">
        <v>2105</v>
      </c>
      <c r="P198" t="s">
        <v>63</v>
      </c>
      <c r="R198" t="s">
        <v>2142</v>
      </c>
      <c r="S198" t="s">
        <v>754</v>
      </c>
      <c r="U198" t="s">
        <v>2143</v>
      </c>
      <c r="V198" t="s">
        <v>767</v>
      </c>
      <c r="W198">
        <v>64</v>
      </c>
      <c r="X198" t="s">
        <v>768</v>
      </c>
      <c r="Y198">
        <v>2</v>
      </c>
      <c r="Z198" t="s">
        <v>2144</v>
      </c>
      <c r="AA198">
        <v>8</v>
      </c>
      <c r="AB198" t="s">
        <v>770</v>
      </c>
      <c r="AC198" t="s">
        <v>768</v>
      </c>
      <c r="AD198" t="s">
        <v>2145</v>
      </c>
      <c r="AE198">
        <v>32</v>
      </c>
      <c r="AF198" t="s">
        <v>770</v>
      </c>
      <c r="AG198" t="s">
        <v>768</v>
      </c>
      <c r="AT198" t="s">
        <v>772</v>
      </c>
      <c r="AU198" t="s">
        <v>2139</v>
      </c>
      <c r="AV198" t="str" cm="1">
        <f t="array" ref="AV198">IF(B198=_xlfn.XLOOKUP(B198,VmSpecs[[#All],[VM Name]],VmSpecs[[#All],[VM Name]],"Failed",0,1),"Pass","Fail")</f>
        <v>Fail</v>
      </c>
      <c r="AW198" t="str" cm="1">
        <f t="array" ref="AW198">IF(D198=_xlfn.XLOOKUP($B198,VmSpecs[[#All],[VM Name]],VmSpecs[[#All],[Virtual Machine Resource Groups]],"Failed",0,1),"Pass","Fail")</f>
        <v>Fail</v>
      </c>
      <c r="AX198" t="str" cm="1">
        <f t="array" ref="AX198">IF(_xlfn.IFS(E198="australiacentral","Australia Central 1",E198="australiaeast","Australia East",E198="australiasoutheast","Australia SouthEast")=_xlfn.XLOOKUP($B198,VmSpecs[[#All],[VM Name]],VmSpecs[[#All],[Region]],"Failed",0,1),"Pass","Fail")</f>
        <v>Fail</v>
      </c>
      <c r="AY198" t="str" cm="1">
        <f t="array" ref="AY198">IF(F198=_xlfn.XLOOKUP($B198,VmSpecs[[#All],[VM Name]],VmSpecs[[#All],[Instance size]],"Failed",0,1),"Pass","Fail")</f>
        <v>Fail</v>
      </c>
      <c r="AZ198" t="str" cm="1">
        <f t="array" ref="AZ198">IF(LOWER(H198)=_xlfn.XLOOKUP($B198,VmSpecs[[#All],[VM Name]],VmSpecs[[#All],[Availability Set Name]],"Failed",0,1),"Pass","Fail")</f>
        <v>Fail</v>
      </c>
      <c r="BA198" t="str" cm="1">
        <f t="array" ref="BA198">IF(J198=_xlfn.XLOOKUP($B198,VmSpecs[[#All],[VM Name]],VmSpecs[[#All],[Virtual Network]],"Failed",0,1),"Pass","Fail")</f>
        <v>Fail</v>
      </c>
      <c r="BB198" t="str" cm="1">
        <f t="array" ref="BB198">IF(K198=_xlfn.XLOOKUP($B198,VmSpecs[[#All],[VM Name]],VmSpecs[[#All],[Subnet]],"Failed",0,1),"Pass","Fail")</f>
        <v>Fail</v>
      </c>
      <c r="BC198" t="str" cm="1">
        <f t="array" ref="BC198">IF(M198=_xlfn.XLOOKUP($B198,VmSpecs[[#All],[VM Name]],VmSpecs[[#All],[IP]],"Failed",0,1),"Pass","Fail")</f>
        <v>Fail</v>
      </c>
      <c r="BD198" t="str" cm="1">
        <f t="array" ref="BD198">IF(N198=_xlfn.XLOOKUP($B198,VmSpecs[[#All],[VM Name]],VmSpecs[[#All],[Network Security Group]],"Failed",0,1),"Pass","Fail")</f>
        <v>Fail</v>
      </c>
      <c r="BE198" t="str" cm="1">
        <f t="array" ref="BE198">IF(O198=_xlfn.XLOOKUP($B198,VmSpecs[[#All],[VM Name]],VmSpecs[[#All],[Route Table Name]],"Failed",0,1),"Pass","Fail")</f>
        <v>Fail</v>
      </c>
      <c r="BF198" t="str" cm="1">
        <f t="array" ref="BF198">IF(P198=_xlfn.XLOOKUP($B198,VmSpecs[[#All],[VM Name]],VmSpecs[[#All],[Operating System]],"Failed",0,1),"Pass","Fail")</f>
        <v>Fail</v>
      </c>
      <c r="BG198" t="str" cm="1">
        <f t="array" ref="BG198">IF(R198=_xlfn.XLOOKUP($B198,VmSpecs[[#All],[VM Name]],VmSpecs[[#All],[NIC name]],"Failed",0,1),"Pass","Fail")</f>
        <v>Fail</v>
      </c>
      <c r="BH198" t="str" cm="1">
        <f t="array" ref="BH198">IF(U198=_xlfn.XLOOKUP($B198,VmSpecs[[#All],[VM Name]],VmSpecs[[#All],[OS Disk Name]],"Failed",0,1),"Pass","Fail")</f>
        <v>Fail</v>
      </c>
      <c r="BI198" t="str" cm="1">
        <f t="array" ref="BI198">IF(W198=_xlfn.XLOOKUP($B198,VmSpecs[[#All],[VM Name]],VmSpecs[[#All],[OS Disk Size]],"Failed",0,1),"Pass","Fail")</f>
        <v>Fail</v>
      </c>
      <c r="BJ198" t="str" cm="1">
        <f t="array" ref="BJ198">IF(LEFT(X198,4)=LEFT(_xlfn.XLOOKUP($B198,VmSpecs[[#All],[VM Name]],VmSpecs[[#All],[OS Disk Type (Standard SSD etc)]],"Failed",0,1),4),"Pass","Fail")</f>
        <v>Fail</v>
      </c>
      <c r="BK198" t="str" cm="1">
        <f t="array" ref="BK198">IF(Z198=_xlfn.XLOOKUP($B198,VmSpecs[[#All],[VM Name]],VmSpecs[[#All],[Data Disk1 Name]],"Failed",0,1),"Pass","Fail")</f>
        <v>Fail</v>
      </c>
      <c r="BL198" t="str" cm="1">
        <f t="array" ref="BL198">IF(AA198=_xlfn.XLOOKUP($B198,VmSpecs[[#All],[VM Name]],VmSpecs[[#All],[Data Disk1 Size]],"Failed",0,1),"Pass","Fail")</f>
        <v>Fail</v>
      </c>
      <c r="BM198" t="str" cm="1">
        <f t="array" ref="BM198">IF(LEFT(AC198,4)=LEFT(_xlfn.XLOOKUP($B198,VmSpecs[[#All],[VM Name]],VmSpecs[[#All],[Data Disk1 Type]],"Failed",0,1),4),"Pass","Fail")</f>
        <v>Fail</v>
      </c>
      <c r="BO198" t="e">
        <f>VLOOKUP('VM Specs'!K198,'As Built'!B:B,1,FALSE)</f>
        <v>#N/A</v>
      </c>
      <c r="BP198" t="str">
        <f>IF(ISNA(Table613[[#This Row],[VM Build Sheet Check]]),'VM Specs'!K198,"")</f>
        <v>vmpfbpf2cho02</v>
      </c>
    </row>
    <row r="199" spans="1:68" ht="33" customHeight="1" x14ac:dyDescent="0.35">
      <c r="A199" t="str">
        <f>IF(COUNTIF(AsBuilt[[#This Row],[VM Check]:[Data Disk 1 Type Check]],"Fail")&gt;0,"Fail","Pass")</f>
        <v>Fail</v>
      </c>
      <c r="B199" t="s">
        <v>2146</v>
      </c>
      <c r="C199" t="s">
        <v>754</v>
      </c>
      <c r="D199" t="s">
        <v>2100</v>
      </c>
      <c r="E199" t="s">
        <v>756</v>
      </c>
      <c r="F199" t="s">
        <v>757</v>
      </c>
      <c r="G199" t="s">
        <v>758</v>
      </c>
      <c r="H199" t="s">
        <v>2133</v>
      </c>
      <c r="J199" t="s">
        <v>760</v>
      </c>
      <c r="K199" t="s">
        <v>2102</v>
      </c>
      <c r="L199" t="s">
        <v>754</v>
      </c>
      <c r="M199" t="s">
        <v>2147</v>
      </c>
      <c r="N199" t="s">
        <v>2104</v>
      </c>
      <c r="O199" t="s">
        <v>2105</v>
      </c>
      <c r="P199" t="s">
        <v>63</v>
      </c>
      <c r="R199" t="s">
        <v>2148</v>
      </c>
      <c r="S199" t="s">
        <v>754</v>
      </c>
      <c r="U199" t="s">
        <v>2149</v>
      </c>
      <c r="V199" t="s">
        <v>767</v>
      </c>
      <c r="W199">
        <v>64</v>
      </c>
      <c r="X199" t="s">
        <v>768</v>
      </c>
      <c r="Y199">
        <v>2</v>
      </c>
      <c r="Z199" t="s">
        <v>2150</v>
      </c>
      <c r="AA199">
        <v>8</v>
      </c>
      <c r="AB199" t="s">
        <v>770</v>
      </c>
      <c r="AC199" t="s">
        <v>768</v>
      </c>
      <c r="AD199" t="s">
        <v>2151</v>
      </c>
      <c r="AE199">
        <v>32</v>
      </c>
      <c r="AF199" t="s">
        <v>770</v>
      </c>
      <c r="AG199" t="s">
        <v>768</v>
      </c>
      <c r="AT199" t="s">
        <v>772</v>
      </c>
      <c r="AU199" t="s">
        <v>2139</v>
      </c>
      <c r="AV199" t="str" cm="1">
        <f t="array" ref="AV199">IF(B199=_xlfn.XLOOKUP(B199,VmSpecs[[#All],[VM Name]],VmSpecs[[#All],[VM Name]],"Failed",0,1),"Pass","Fail")</f>
        <v>Fail</v>
      </c>
      <c r="AW199" t="str" cm="1">
        <f t="array" ref="AW199">IF(D199=_xlfn.XLOOKUP($B199,VmSpecs[[#All],[VM Name]],VmSpecs[[#All],[Virtual Machine Resource Groups]],"Failed",0,1),"Pass","Fail")</f>
        <v>Fail</v>
      </c>
      <c r="AX199" t="str" cm="1">
        <f t="array" ref="AX199">IF(_xlfn.IFS(E199="australiacentral","Australia Central 1",E199="australiaeast","Australia East",E199="australiasoutheast","Australia SouthEast")=_xlfn.XLOOKUP($B199,VmSpecs[[#All],[VM Name]],VmSpecs[[#All],[Region]],"Failed",0,1),"Pass","Fail")</f>
        <v>Fail</v>
      </c>
      <c r="AY199" t="str" cm="1">
        <f t="array" ref="AY199">IF(F199=_xlfn.XLOOKUP($B199,VmSpecs[[#All],[VM Name]],VmSpecs[[#All],[Instance size]],"Failed",0,1),"Pass","Fail")</f>
        <v>Fail</v>
      </c>
      <c r="AZ199" t="str" cm="1">
        <f t="array" ref="AZ199">IF(LOWER(H199)=_xlfn.XLOOKUP($B199,VmSpecs[[#All],[VM Name]],VmSpecs[[#All],[Availability Set Name]],"Failed",0,1),"Pass","Fail")</f>
        <v>Fail</v>
      </c>
      <c r="BA199" t="str" cm="1">
        <f t="array" ref="BA199">IF(J199=_xlfn.XLOOKUP($B199,VmSpecs[[#All],[VM Name]],VmSpecs[[#All],[Virtual Network]],"Failed",0,1),"Pass","Fail")</f>
        <v>Fail</v>
      </c>
      <c r="BB199" t="str" cm="1">
        <f t="array" ref="BB199">IF(K199=_xlfn.XLOOKUP($B199,VmSpecs[[#All],[VM Name]],VmSpecs[[#All],[Subnet]],"Failed",0,1),"Pass","Fail")</f>
        <v>Fail</v>
      </c>
      <c r="BC199" t="str" cm="1">
        <f t="array" ref="BC199">IF(M199=_xlfn.XLOOKUP($B199,VmSpecs[[#All],[VM Name]],VmSpecs[[#All],[IP]],"Failed",0,1),"Pass","Fail")</f>
        <v>Fail</v>
      </c>
      <c r="BD199" t="str" cm="1">
        <f t="array" ref="BD199">IF(N199=_xlfn.XLOOKUP($B199,VmSpecs[[#All],[VM Name]],VmSpecs[[#All],[Network Security Group]],"Failed",0,1),"Pass","Fail")</f>
        <v>Fail</v>
      </c>
      <c r="BE199" t="str" cm="1">
        <f t="array" ref="BE199">IF(O199=_xlfn.XLOOKUP($B199,VmSpecs[[#All],[VM Name]],VmSpecs[[#All],[Route Table Name]],"Failed",0,1),"Pass","Fail")</f>
        <v>Fail</v>
      </c>
      <c r="BF199" t="str" cm="1">
        <f t="array" ref="BF199">IF(P199=_xlfn.XLOOKUP($B199,VmSpecs[[#All],[VM Name]],VmSpecs[[#All],[Operating System]],"Failed",0,1),"Pass","Fail")</f>
        <v>Fail</v>
      </c>
      <c r="BG199" t="str" cm="1">
        <f t="array" ref="BG199">IF(R199=_xlfn.XLOOKUP($B199,VmSpecs[[#All],[VM Name]],VmSpecs[[#All],[NIC name]],"Failed",0,1),"Pass","Fail")</f>
        <v>Fail</v>
      </c>
      <c r="BH199" t="str" cm="1">
        <f t="array" ref="BH199">IF(U199=_xlfn.XLOOKUP($B199,VmSpecs[[#All],[VM Name]],VmSpecs[[#All],[OS Disk Name]],"Failed",0,1),"Pass","Fail")</f>
        <v>Fail</v>
      </c>
      <c r="BI199" t="str" cm="1">
        <f t="array" ref="BI199">IF(W199=_xlfn.XLOOKUP($B199,VmSpecs[[#All],[VM Name]],VmSpecs[[#All],[OS Disk Size]],"Failed",0,1),"Pass","Fail")</f>
        <v>Fail</v>
      </c>
      <c r="BJ199" t="str" cm="1">
        <f t="array" ref="BJ199">IF(LEFT(X199,4)=LEFT(_xlfn.XLOOKUP($B199,VmSpecs[[#All],[VM Name]],VmSpecs[[#All],[OS Disk Type (Standard SSD etc)]],"Failed",0,1),4),"Pass","Fail")</f>
        <v>Fail</v>
      </c>
      <c r="BK199" t="str" cm="1">
        <f t="array" ref="BK199">IF(Z199=_xlfn.XLOOKUP($B199,VmSpecs[[#All],[VM Name]],VmSpecs[[#All],[Data Disk1 Name]],"Failed",0,1),"Pass","Fail")</f>
        <v>Fail</v>
      </c>
      <c r="BL199" t="str" cm="1">
        <f t="array" ref="BL199">IF(AA199=_xlfn.XLOOKUP($B199,VmSpecs[[#All],[VM Name]],VmSpecs[[#All],[Data Disk1 Size]],"Failed",0,1),"Pass","Fail")</f>
        <v>Fail</v>
      </c>
      <c r="BM199" t="str" cm="1">
        <f t="array" ref="BM199">IF(LEFT(AC199,4)=LEFT(_xlfn.XLOOKUP($B199,VmSpecs[[#All],[VM Name]],VmSpecs[[#All],[Data Disk1 Type]],"Failed",0,1),4),"Pass","Fail")</f>
        <v>Fail</v>
      </c>
      <c r="BO199" t="e">
        <f>VLOOKUP('VM Specs'!K199,'As Built'!B:B,1,FALSE)</f>
        <v>#N/A</v>
      </c>
      <c r="BP199" t="str">
        <f>IF(ISNA(Table613[[#This Row],[VM Build Sheet Check]]),'VM Specs'!K199,"")</f>
        <v>vmpfbpf2cho03</v>
      </c>
    </row>
    <row r="200" spans="1:68" ht="33" customHeight="1" x14ac:dyDescent="0.35">
      <c r="A200" t="str">
        <f>IF(COUNTIF(AsBuilt[[#This Row],[VM Check]:[Data Disk 1 Type Check]],"Fail")&gt;0,"Fail","Pass")</f>
        <v>Fail</v>
      </c>
      <c r="B200" t="s">
        <v>2152</v>
      </c>
      <c r="C200" t="s">
        <v>754</v>
      </c>
      <c r="D200" t="s">
        <v>2100</v>
      </c>
      <c r="E200" t="s">
        <v>756</v>
      </c>
      <c r="F200" t="s">
        <v>801</v>
      </c>
      <c r="G200" t="s">
        <v>758</v>
      </c>
      <c r="H200" t="s">
        <v>2153</v>
      </c>
      <c r="J200" t="s">
        <v>760</v>
      </c>
      <c r="K200" t="s">
        <v>2102</v>
      </c>
      <c r="L200" t="s">
        <v>754</v>
      </c>
      <c r="M200" t="s">
        <v>2154</v>
      </c>
      <c r="N200" t="s">
        <v>2104</v>
      </c>
      <c r="O200" t="s">
        <v>2105</v>
      </c>
      <c r="P200" t="s">
        <v>63</v>
      </c>
      <c r="R200" t="s">
        <v>2155</v>
      </c>
      <c r="S200" t="s">
        <v>754</v>
      </c>
      <c r="U200" t="s">
        <v>2156</v>
      </c>
      <c r="V200" t="s">
        <v>767</v>
      </c>
      <c r="W200">
        <v>64</v>
      </c>
      <c r="X200" t="s">
        <v>768</v>
      </c>
      <c r="Y200">
        <v>2</v>
      </c>
      <c r="Z200" t="s">
        <v>2157</v>
      </c>
      <c r="AA200">
        <v>8</v>
      </c>
      <c r="AB200" t="s">
        <v>770</v>
      </c>
      <c r="AC200" t="s">
        <v>768</v>
      </c>
      <c r="AD200" t="s">
        <v>2158</v>
      </c>
      <c r="AE200">
        <v>32</v>
      </c>
      <c r="AF200" t="s">
        <v>770</v>
      </c>
      <c r="AG200" t="s">
        <v>768</v>
      </c>
      <c r="AT200" t="s">
        <v>2159</v>
      </c>
      <c r="AU200" t="s">
        <v>2160</v>
      </c>
      <c r="AV200" t="str" cm="1">
        <f t="array" ref="AV200">IF(B200=_xlfn.XLOOKUP(B200,VmSpecs[[#All],[VM Name]],VmSpecs[[#All],[VM Name]],"Failed",0,1),"Pass","Fail")</f>
        <v>Fail</v>
      </c>
      <c r="AW200" t="str" cm="1">
        <f t="array" ref="AW200">IF(D200=_xlfn.XLOOKUP($B200,VmSpecs[[#All],[VM Name]],VmSpecs[[#All],[Virtual Machine Resource Groups]],"Failed",0,1),"Pass","Fail")</f>
        <v>Fail</v>
      </c>
      <c r="AX200" t="str" cm="1">
        <f t="array" ref="AX200">IF(_xlfn.IFS(E200="australiacentral","Australia Central 1",E200="australiaeast","Australia East",E200="australiasoutheast","Australia SouthEast")=_xlfn.XLOOKUP($B200,VmSpecs[[#All],[VM Name]],VmSpecs[[#All],[Region]],"Failed",0,1),"Pass","Fail")</f>
        <v>Fail</v>
      </c>
      <c r="AY200" t="str" cm="1">
        <f t="array" ref="AY200">IF(F200=_xlfn.XLOOKUP($B200,VmSpecs[[#All],[VM Name]],VmSpecs[[#All],[Instance size]],"Failed",0,1),"Pass","Fail")</f>
        <v>Fail</v>
      </c>
      <c r="AZ200" t="str" cm="1">
        <f t="array" ref="AZ200">IF(LOWER(H200)=_xlfn.XLOOKUP($B200,VmSpecs[[#All],[VM Name]],VmSpecs[[#All],[Availability Set Name]],"Failed",0,1),"Pass","Fail")</f>
        <v>Fail</v>
      </c>
      <c r="BA200" t="str" cm="1">
        <f t="array" ref="BA200">IF(J200=_xlfn.XLOOKUP($B200,VmSpecs[[#All],[VM Name]],VmSpecs[[#All],[Virtual Network]],"Failed",0,1),"Pass","Fail")</f>
        <v>Fail</v>
      </c>
      <c r="BB200" t="str" cm="1">
        <f t="array" ref="BB200">IF(K200=_xlfn.XLOOKUP($B200,VmSpecs[[#All],[VM Name]],VmSpecs[[#All],[Subnet]],"Failed",0,1),"Pass","Fail")</f>
        <v>Fail</v>
      </c>
      <c r="BC200" t="str" cm="1">
        <f t="array" ref="BC200">IF(M200=_xlfn.XLOOKUP($B200,VmSpecs[[#All],[VM Name]],VmSpecs[[#All],[IP]],"Failed",0,1),"Pass","Fail")</f>
        <v>Fail</v>
      </c>
      <c r="BD200" t="str" cm="1">
        <f t="array" ref="BD200">IF(N200=_xlfn.XLOOKUP($B200,VmSpecs[[#All],[VM Name]],VmSpecs[[#All],[Network Security Group]],"Failed",0,1),"Pass","Fail")</f>
        <v>Fail</v>
      </c>
      <c r="BE200" t="str" cm="1">
        <f t="array" ref="BE200">IF(O200=_xlfn.XLOOKUP($B200,VmSpecs[[#All],[VM Name]],VmSpecs[[#All],[Route Table Name]],"Failed",0,1),"Pass","Fail")</f>
        <v>Fail</v>
      </c>
      <c r="BF200" t="str" cm="1">
        <f t="array" ref="BF200">IF(P200=_xlfn.XLOOKUP($B200,VmSpecs[[#All],[VM Name]],VmSpecs[[#All],[Operating System]],"Failed",0,1),"Pass","Fail")</f>
        <v>Fail</v>
      </c>
      <c r="BG200" t="str" cm="1">
        <f t="array" ref="BG200">IF(R200=_xlfn.XLOOKUP($B200,VmSpecs[[#All],[VM Name]],VmSpecs[[#All],[NIC name]],"Failed",0,1),"Pass","Fail")</f>
        <v>Fail</v>
      </c>
      <c r="BH200" t="str" cm="1">
        <f t="array" ref="BH200">IF(U200=_xlfn.XLOOKUP($B200,VmSpecs[[#All],[VM Name]],VmSpecs[[#All],[OS Disk Name]],"Failed",0,1),"Pass","Fail")</f>
        <v>Fail</v>
      </c>
      <c r="BI200" t="str" cm="1">
        <f t="array" ref="BI200">IF(W200=_xlfn.XLOOKUP($B200,VmSpecs[[#All],[VM Name]],VmSpecs[[#All],[OS Disk Size]],"Failed",0,1),"Pass","Fail")</f>
        <v>Fail</v>
      </c>
      <c r="BJ200" t="str" cm="1">
        <f t="array" ref="BJ200">IF(LEFT(X200,4)=LEFT(_xlfn.XLOOKUP($B200,VmSpecs[[#All],[VM Name]],VmSpecs[[#All],[OS Disk Type (Standard SSD etc)]],"Failed",0,1),4),"Pass","Fail")</f>
        <v>Fail</v>
      </c>
      <c r="BK200" t="str" cm="1">
        <f t="array" ref="BK200">IF(Z200=_xlfn.XLOOKUP($B200,VmSpecs[[#All],[VM Name]],VmSpecs[[#All],[Data Disk1 Name]],"Failed",0,1),"Pass","Fail")</f>
        <v>Fail</v>
      </c>
      <c r="BL200" t="str" cm="1">
        <f t="array" ref="BL200">IF(AA200=_xlfn.XLOOKUP($B200,VmSpecs[[#All],[VM Name]],VmSpecs[[#All],[Data Disk1 Size]],"Failed",0,1),"Pass","Fail")</f>
        <v>Fail</v>
      </c>
      <c r="BM200" t="str" cm="1">
        <f t="array" ref="BM200">IF(LEFT(AC200,4)=LEFT(_xlfn.XLOOKUP($B200,VmSpecs[[#All],[VM Name]],VmSpecs[[#All],[Data Disk1 Type]],"Failed",0,1),4),"Pass","Fail")</f>
        <v>Fail</v>
      </c>
      <c r="BO200" t="e">
        <f>VLOOKUP('VM Specs'!K200,'As Built'!B:B,1,FALSE)</f>
        <v>#N/A</v>
      </c>
      <c r="BP200" t="str">
        <f>IF(ISNA(Table613[[#This Row],[VM Build Sheet Check]]),'VM Specs'!K200,"")</f>
        <v>vmpfbpf2fhi01</v>
      </c>
    </row>
    <row r="201" spans="1:68" ht="33" customHeight="1" x14ac:dyDescent="0.35">
      <c r="A201" t="str">
        <f>IF(COUNTIF(AsBuilt[[#This Row],[VM Check]:[Data Disk 1 Type Check]],"Fail")&gt;0,"Fail","Pass")</f>
        <v>Fail</v>
      </c>
      <c r="B201" t="s">
        <v>2161</v>
      </c>
      <c r="C201" t="s">
        <v>754</v>
      </c>
      <c r="D201" t="s">
        <v>2100</v>
      </c>
      <c r="E201" t="s">
        <v>756</v>
      </c>
      <c r="F201" t="s">
        <v>801</v>
      </c>
      <c r="G201" t="s">
        <v>758</v>
      </c>
      <c r="H201" t="s">
        <v>2153</v>
      </c>
      <c r="J201" t="s">
        <v>760</v>
      </c>
      <c r="K201" t="s">
        <v>2102</v>
      </c>
      <c r="L201" t="s">
        <v>754</v>
      </c>
      <c r="M201" t="s">
        <v>2162</v>
      </c>
      <c r="N201" t="s">
        <v>2104</v>
      </c>
      <c r="O201" t="s">
        <v>2105</v>
      </c>
      <c r="P201" t="s">
        <v>63</v>
      </c>
      <c r="R201" t="s">
        <v>2163</v>
      </c>
      <c r="S201" t="s">
        <v>754</v>
      </c>
      <c r="U201" t="s">
        <v>2164</v>
      </c>
      <c r="V201" t="s">
        <v>767</v>
      </c>
      <c r="W201">
        <v>64</v>
      </c>
      <c r="X201" t="s">
        <v>768</v>
      </c>
      <c r="Y201">
        <v>2</v>
      </c>
      <c r="Z201" t="s">
        <v>2165</v>
      </c>
      <c r="AA201">
        <v>8</v>
      </c>
      <c r="AB201" t="s">
        <v>770</v>
      </c>
      <c r="AC201" t="s">
        <v>768</v>
      </c>
      <c r="AD201" t="s">
        <v>2166</v>
      </c>
      <c r="AE201">
        <v>32</v>
      </c>
      <c r="AF201" t="s">
        <v>770</v>
      </c>
      <c r="AG201" t="s">
        <v>768</v>
      </c>
      <c r="AT201" t="s">
        <v>2159</v>
      </c>
      <c r="AU201" t="s">
        <v>2167</v>
      </c>
      <c r="AV201" t="str" cm="1">
        <f t="array" ref="AV201">IF(B201=_xlfn.XLOOKUP(B201,VmSpecs[[#All],[VM Name]],VmSpecs[[#All],[VM Name]],"Failed",0,1),"Pass","Fail")</f>
        <v>Fail</v>
      </c>
      <c r="AW201" t="str" cm="1">
        <f t="array" ref="AW201">IF(D201=_xlfn.XLOOKUP($B201,VmSpecs[[#All],[VM Name]],VmSpecs[[#All],[Virtual Machine Resource Groups]],"Failed",0,1),"Pass","Fail")</f>
        <v>Fail</v>
      </c>
      <c r="AX201" t="str" cm="1">
        <f t="array" ref="AX201">IF(_xlfn.IFS(E201="australiacentral","Australia Central 1",E201="australiaeast","Australia East",E201="australiasoutheast","Australia SouthEast")=_xlfn.XLOOKUP($B201,VmSpecs[[#All],[VM Name]],VmSpecs[[#All],[Region]],"Failed",0,1),"Pass","Fail")</f>
        <v>Fail</v>
      </c>
      <c r="AY201" t="str" cm="1">
        <f t="array" ref="AY201">IF(F201=_xlfn.XLOOKUP($B201,VmSpecs[[#All],[VM Name]],VmSpecs[[#All],[Instance size]],"Failed",0,1),"Pass","Fail")</f>
        <v>Fail</v>
      </c>
      <c r="AZ201" t="str" cm="1">
        <f t="array" ref="AZ201">IF(LOWER(H201)=_xlfn.XLOOKUP($B201,VmSpecs[[#All],[VM Name]],VmSpecs[[#All],[Availability Set Name]],"Failed",0,1),"Pass","Fail")</f>
        <v>Fail</v>
      </c>
      <c r="BA201" t="str" cm="1">
        <f t="array" ref="BA201">IF(J201=_xlfn.XLOOKUP($B201,VmSpecs[[#All],[VM Name]],VmSpecs[[#All],[Virtual Network]],"Failed",0,1),"Pass","Fail")</f>
        <v>Fail</v>
      </c>
      <c r="BB201" t="str" cm="1">
        <f t="array" ref="BB201">IF(K201=_xlfn.XLOOKUP($B201,VmSpecs[[#All],[VM Name]],VmSpecs[[#All],[Subnet]],"Failed",0,1),"Pass","Fail")</f>
        <v>Fail</v>
      </c>
      <c r="BC201" t="str" cm="1">
        <f t="array" ref="BC201">IF(M201=_xlfn.XLOOKUP($B201,VmSpecs[[#All],[VM Name]],VmSpecs[[#All],[IP]],"Failed",0,1),"Pass","Fail")</f>
        <v>Fail</v>
      </c>
      <c r="BD201" t="str" cm="1">
        <f t="array" ref="BD201">IF(N201=_xlfn.XLOOKUP($B201,VmSpecs[[#All],[VM Name]],VmSpecs[[#All],[Network Security Group]],"Failed",0,1),"Pass","Fail")</f>
        <v>Fail</v>
      </c>
      <c r="BE201" t="str" cm="1">
        <f t="array" ref="BE201">IF(O201=_xlfn.XLOOKUP($B201,VmSpecs[[#All],[VM Name]],VmSpecs[[#All],[Route Table Name]],"Failed",0,1),"Pass","Fail")</f>
        <v>Fail</v>
      </c>
      <c r="BF201" t="str" cm="1">
        <f t="array" ref="BF201">IF(P201=_xlfn.XLOOKUP($B201,VmSpecs[[#All],[VM Name]],VmSpecs[[#All],[Operating System]],"Failed",0,1),"Pass","Fail")</f>
        <v>Fail</v>
      </c>
      <c r="BG201" t="str" cm="1">
        <f t="array" ref="BG201">IF(R201=_xlfn.XLOOKUP($B201,VmSpecs[[#All],[VM Name]],VmSpecs[[#All],[NIC name]],"Failed",0,1),"Pass","Fail")</f>
        <v>Fail</v>
      </c>
      <c r="BH201" t="str" cm="1">
        <f t="array" ref="BH201">IF(U201=_xlfn.XLOOKUP($B201,VmSpecs[[#All],[VM Name]],VmSpecs[[#All],[OS Disk Name]],"Failed",0,1),"Pass","Fail")</f>
        <v>Fail</v>
      </c>
      <c r="BI201" t="str" cm="1">
        <f t="array" ref="BI201">IF(W201=_xlfn.XLOOKUP($B201,VmSpecs[[#All],[VM Name]],VmSpecs[[#All],[OS Disk Size]],"Failed",0,1),"Pass","Fail")</f>
        <v>Fail</v>
      </c>
      <c r="BJ201" t="str" cm="1">
        <f t="array" ref="BJ201">IF(LEFT(X201,4)=LEFT(_xlfn.XLOOKUP($B201,VmSpecs[[#All],[VM Name]],VmSpecs[[#All],[OS Disk Type (Standard SSD etc)]],"Failed",0,1),4),"Pass","Fail")</f>
        <v>Fail</v>
      </c>
      <c r="BK201" t="str" cm="1">
        <f t="array" ref="BK201">IF(Z201=_xlfn.XLOOKUP($B201,VmSpecs[[#All],[VM Name]],VmSpecs[[#All],[Data Disk1 Name]],"Failed",0,1),"Pass","Fail")</f>
        <v>Fail</v>
      </c>
      <c r="BL201" t="str" cm="1">
        <f t="array" ref="BL201">IF(AA201=_xlfn.XLOOKUP($B201,VmSpecs[[#All],[VM Name]],VmSpecs[[#All],[Data Disk1 Size]],"Failed",0,1),"Pass","Fail")</f>
        <v>Fail</v>
      </c>
      <c r="BM201" t="str" cm="1">
        <f t="array" ref="BM201">IF(LEFT(AC201,4)=LEFT(_xlfn.XLOOKUP($B201,VmSpecs[[#All],[VM Name]],VmSpecs[[#All],[Data Disk1 Type]],"Failed",0,1),4),"Pass","Fail")</f>
        <v>Fail</v>
      </c>
      <c r="BO201" t="e">
        <f>VLOOKUP('VM Specs'!K201,'As Built'!B:B,1,FALSE)</f>
        <v>#N/A</v>
      </c>
      <c r="BP201" t="str">
        <f>IF(ISNA(Table613[[#This Row],[VM Build Sheet Check]]),'VM Specs'!K201,"")</f>
        <v>vmpfbpf2fhi02</v>
      </c>
    </row>
    <row r="202" spans="1:68" ht="33" customHeight="1" x14ac:dyDescent="0.35">
      <c r="A202" t="str">
        <f>IF(COUNTIF(AsBuilt[[#This Row],[VM Check]:[Data Disk 1 Type Check]],"Fail")&gt;0,"Fail","Pass")</f>
        <v>Fail</v>
      </c>
      <c r="B202" t="s">
        <v>2168</v>
      </c>
      <c r="C202" t="s">
        <v>754</v>
      </c>
      <c r="D202" t="s">
        <v>2100</v>
      </c>
      <c r="E202" t="s">
        <v>756</v>
      </c>
      <c r="F202" t="s">
        <v>801</v>
      </c>
      <c r="G202" t="s">
        <v>758</v>
      </c>
      <c r="H202" t="s">
        <v>2153</v>
      </c>
      <c r="J202" t="s">
        <v>760</v>
      </c>
      <c r="K202" t="s">
        <v>2102</v>
      </c>
      <c r="L202" t="s">
        <v>754</v>
      </c>
      <c r="M202" t="s">
        <v>2169</v>
      </c>
      <c r="N202" t="s">
        <v>2104</v>
      </c>
      <c r="O202" t="s">
        <v>2105</v>
      </c>
      <c r="P202" t="s">
        <v>63</v>
      </c>
      <c r="R202" t="s">
        <v>2170</v>
      </c>
      <c r="S202" t="s">
        <v>754</v>
      </c>
      <c r="U202" t="s">
        <v>2171</v>
      </c>
      <c r="V202" t="s">
        <v>767</v>
      </c>
      <c r="W202">
        <v>64</v>
      </c>
      <c r="X202" t="s">
        <v>768</v>
      </c>
      <c r="Y202">
        <v>2</v>
      </c>
      <c r="Z202" t="s">
        <v>2172</v>
      </c>
      <c r="AA202">
        <v>8</v>
      </c>
      <c r="AB202" t="s">
        <v>770</v>
      </c>
      <c r="AC202" t="s">
        <v>768</v>
      </c>
      <c r="AD202" t="s">
        <v>2173</v>
      </c>
      <c r="AE202">
        <v>32</v>
      </c>
      <c r="AF202" t="s">
        <v>770</v>
      </c>
      <c r="AG202" t="s">
        <v>768</v>
      </c>
      <c r="AT202" t="s">
        <v>2159</v>
      </c>
      <c r="AU202" t="s">
        <v>2174</v>
      </c>
      <c r="AV202" t="str" cm="1">
        <f t="array" ref="AV202">IF(B202=_xlfn.XLOOKUP(B202,VmSpecs[[#All],[VM Name]],VmSpecs[[#All],[VM Name]],"Failed",0,1),"Pass","Fail")</f>
        <v>Fail</v>
      </c>
      <c r="AW202" t="str" cm="1">
        <f t="array" ref="AW202">IF(D202=_xlfn.XLOOKUP($B202,VmSpecs[[#All],[VM Name]],VmSpecs[[#All],[Virtual Machine Resource Groups]],"Failed",0,1),"Pass","Fail")</f>
        <v>Fail</v>
      </c>
      <c r="AX202" t="str" cm="1">
        <f t="array" ref="AX202">IF(_xlfn.IFS(E202="australiacentral","Australia Central 1",E202="australiaeast","Australia East",E202="australiasoutheast","Australia SouthEast")=_xlfn.XLOOKUP($B202,VmSpecs[[#All],[VM Name]],VmSpecs[[#All],[Region]],"Failed",0,1),"Pass","Fail")</f>
        <v>Fail</v>
      </c>
      <c r="AY202" t="str" cm="1">
        <f t="array" ref="AY202">IF(F202=_xlfn.XLOOKUP($B202,VmSpecs[[#All],[VM Name]],VmSpecs[[#All],[Instance size]],"Failed",0,1),"Pass","Fail")</f>
        <v>Fail</v>
      </c>
      <c r="AZ202" t="str" cm="1">
        <f t="array" ref="AZ202">IF(LOWER(H202)=_xlfn.XLOOKUP($B202,VmSpecs[[#All],[VM Name]],VmSpecs[[#All],[Availability Set Name]],"Failed",0,1),"Pass","Fail")</f>
        <v>Fail</v>
      </c>
      <c r="BA202" t="str" cm="1">
        <f t="array" ref="BA202">IF(J202=_xlfn.XLOOKUP($B202,VmSpecs[[#All],[VM Name]],VmSpecs[[#All],[Virtual Network]],"Failed",0,1),"Pass","Fail")</f>
        <v>Fail</v>
      </c>
      <c r="BB202" t="str" cm="1">
        <f t="array" ref="BB202">IF(K202=_xlfn.XLOOKUP($B202,VmSpecs[[#All],[VM Name]],VmSpecs[[#All],[Subnet]],"Failed",0,1),"Pass","Fail")</f>
        <v>Fail</v>
      </c>
      <c r="BC202" t="str" cm="1">
        <f t="array" ref="BC202">IF(M202=_xlfn.XLOOKUP($B202,VmSpecs[[#All],[VM Name]],VmSpecs[[#All],[IP]],"Failed",0,1),"Pass","Fail")</f>
        <v>Fail</v>
      </c>
      <c r="BD202" t="str" cm="1">
        <f t="array" ref="BD202">IF(N202=_xlfn.XLOOKUP($B202,VmSpecs[[#All],[VM Name]],VmSpecs[[#All],[Network Security Group]],"Failed",0,1),"Pass","Fail")</f>
        <v>Fail</v>
      </c>
      <c r="BE202" t="str" cm="1">
        <f t="array" ref="BE202">IF(O202=_xlfn.XLOOKUP($B202,VmSpecs[[#All],[VM Name]],VmSpecs[[#All],[Route Table Name]],"Failed",0,1),"Pass","Fail")</f>
        <v>Fail</v>
      </c>
      <c r="BF202" t="str" cm="1">
        <f t="array" ref="BF202">IF(P202=_xlfn.XLOOKUP($B202,VmSpecs[[#All],[VM Name]],VmSpecs[[#All],[Operating System]],"Failed",0,1),"Pass","Fail")</f>
        <v>Fail</v>
      </c>
      <c r="BG202" t="str" cm="1">
        <f t="array" ref="BG202">IF(R202=_xlfn.XLOOKUP($B202,VmSpecs[[#All],[VM Name]],VmSpecs[[#All],[NIC name]],"Failed",0,1),"Pass","Fail")</f>
        <v>Fail</v>
      </c>
      <c r="BH202" t="str" cm="1">
        <f t="array" ref="BH202">IF(U202=_xlfn.XLOOKUP($B202,VmSpecs[[#All],[VM Name]],VmSpecs[[#All],[OS Disk Name]],"Failed",0,1),"Pass","Fail")</f>
        <v>Fail</v>
      </c>
      <c r="BI202" t="str" cm="1">
        <f t="array" ref="BI202">IF(W202=_xlfn.XLOOKUP($B202,VmSpecs[[#All],[VM Name]],VmSpecs[[#All],[OS Disk Size]],"Failed",0,1),"Pass","Fail")</f>
        <v>Fail</v>
      </c>
      <c r="BJ202" t="str" cm="1">
        <f t="array" ref="BJ202">IF(LEFT(X202,4)=LEFT(_xlfn.XLOOKUP($B202,VmSpecs[[#All],[VM Name]],VmSpecs[[#All],[OS Disk Type (Standard SSD etc)]],"Failed",0,1),4),"Pass","Fail")</f>
        <v>Fail</v>
      </c>
      <c r="BK202" t="str" cm="1">
        <f t="array" ref="BK202">IF(Z202=_xlfn.XLOOKUP($B202,VmSpecs[[#All],[VM Name]],VmSpecs[[#All],[Data Disk1 Name]],"Failed",0,1),"Pass","Fail")</f>
        <v>Fail</v>
      </c>
      <c r="BL202" t="str" cm="1">
        <f t="array" ref="BL202">IF(AA202=_xlfn.XLOOKUP($B202,VmSpecs[[#All],[VM Name]],VmSpecs[[#All],[Data Disk1 Size]],"Failed",0,1),"Pass","Fail")</f>
        <v>Fail</v>
      </c>
      <c r="BM202" t="str" cm="1">
        <f t="array" ref="BM202">IF(LEFT(AC202,4)=LEFT(_xlfn.XLOOKUP($B202,VmSpecs[[#All],[VM Name]],VmSpecs[[#All],[Data Disk1 Type]],"Failed",0,1),4),"Pass","Fail")</f>
        <v>Fail</v>
      </c>
      <c r="BO202" t="e">
        <f>VLOOKUP('VM Specs'!K202,'As Built'!B:B,1,FALSE)</f>
        <v>#N/A</v>
      </c>
      <c r="BP202" t="str">
        <f>IF(ISNA(Table613[[#This Row],[VM Build Sheet Check]]),'VM Specs'!K202,"")</f>
        <v>vmpfbpf2fhi03</v>
      </c>
    </row>
    <row r="203" spans="1:68" ht="33" customHeight="1" x14ac:dyDescent="0.35">
      <c r="A203" t="str">
        <f>IF(COUNTIF(AsBuilt[[#This Row],[VM Check]:[Data Disk 1 Type Check]],"Fail")&gt;0,"Fail","Pass")</f>
        <v>Fail</v>
      </c>
      <c r="B203" t="s">
        <v>2175</v>
      </c>
      <c r="C203" t="s">
        <v>754</v>
      </c>
      <c r="D203" t="s">
        <v>2100</v>
      </c>
      <c r="E203" t="s">
        <v>756</v>
      </c>
      <c r="F203" t="s">
        <v>801</v>
      </c>
      <c r="G203" t="s">
        <v>758</v>
      </c>
      <c r="H203" t="s">
        <v>2153</v>
      </c>
      <c r="J203" t="s">
        <v>760</v>
      </c>
      <c r="K203" t="s">
        <v>2102</v>
      </c>
      <c r="L203" t="s">
        <v>754</v>
      </c>
      <c r="M203" t="s">
        <v>2176</v>
      </c>
      <c r="N203" t="s">
        <v>2104</v>
      </c>
      <c r="O203" t="s">
        <v>2105</v>
      </c>
      <c r="P203" t="s">
        <v>63</v>
      </c>
      <c r="R203" t="s">
        <v>2177</v>
      </c>
      <c r="S203" t="s">
        <v>754</v>
      </c>
      <c r="U203" t="s">
        <v>2178</v>
      </c>
      <c r="V203" t="s">
        <v>767</v>
      </c>
      <c r="W203">
        <v>64</v>
      </c>
      <c r="X203" t="s">
        <v>768</v>
      </c>
      <c r="Y203">
        <v>2</v>
      </c>
      <c r="Z203" t="s">
        <v>2179</v>
      </c>
      <c r="AA203">
        <v>8</v>
      </c>
      <c r="AB203" t="s">
        <v>770</v>
      </c>
      <c r="AC203" t="s">
        <v>768</v>
      </c>
      <c r="AD203" t="s">
        <v>2180</v>
      </c>
      <c r="AE203">
        <v>32</v>
      </c>
      <c r="AF203" t="s">
        <v>770</v>
      </c>
      <c r="AG203" t="s">
        <v>768</v>
      </c>
      <c r="AT203" t="s">
        <v>2159</v>
      </c>
      <c r="AU203" t="s">
        <v>2181</v>
      </c>
      <c r="AV203" t="str" cm="1">
        <f t="array" ref="AV203">IF(B203=_xlfn.XLOOKUP(B203,VmSpecs[[#All],[VM Name]],VmSpecs[[#All],[VM Name]],"Failed",0,1),"Pass","Fail")</f>
        <v>Fail</v>
      </c>
      <c r="AW203" t="str" cm="1">
        <f t="array" ref="AW203">IF(D203=_xlfn.XLOOKUP($B203,VmSpecs[[#All],[VM Name]],VmSpecs[[#All],[Virtual Machine Resource Groups]],"Failed",0,1),"Pass","Fail")</f>
        <v>Fail</v>
      </c>
      <c r="AX203" t="str" cm="1">
        <f t="array" ref="AX203">IF(_xlfn.IFS(E203="australiacentral","Australia Central 1",E203="australiaeast","Australia East",E203="australiasoutheast","Australia SouthEast")=_xlfn.XLOOKUP($B203,VmSpecs[[#All],[VM Name]],VmSpecs[[#All],[Region]],"Failed",0,1),"Pass","Fail")</f>
        <v>Fail</v>
      </c>
      <c r="AY203" t="str" cm="1">
        <f t="array" ref="AY203">IF(F203=_xlfn.XLOOKUP($B203,VmSpecs[[#All],[VM Name]],VmSpecs[[#All],[Instance size]],"Failed",0,1),"Pass","Fail")</f>
        <v>Fail</v>
      </c>
      <c r="AZ203" t="str" cm="1">
        <f t="array" ref="AZ203">IF(LOWER(H203)=_xlfn.XLOOKUP($B203,VmSpecs[[#All],[VM Name]],VmSpecs[[#All],[Availability Set Name]],"Failed",0,1),"Pass","Fail")</f>
        <v>Fail</v>
      </c>
      <c r="BA203" t="str" cm="1">
        <f t="array" ref="BA203">IF(J203=_xlfn.XLOOKUP($B203,VmSpecs[[#All],[VM Name]],VmSpecs[[#All],[Virtual Network]],"Failed",0,1),"Pass","Fail")</f>
        <v>Fail</v>
      </c>
      <c r="BB203" t="str" cm="1">
        <f t="array" ref="BB203">IF(K203=_xlfn.XLOOKUP($B203,VmSpecs[[#All],[VM Name]],VmSpecs[[#All],[Subnet]],"Failed",0,1),"Pass","Fail")</f>
        <v>Fail</v>
      </c>
      <c r="BC203" t="str" cm="1">
        <f t="array" ref="BC203">IF(M203=_xlfn.XLOOKUP($B203,VmSpecs[[#All],[VM Name]],VmSpecs[[#All],[IP]],"Failed",0,1),"Pass","Fail")</f>
        <v>Fail</v>
      </c>
      <c r="BD203" t="str" cm="1">
        <f t="array" ref="BD203">IF(N203=_xlfn.XLOOKUP($B203,VmSpecs[[#All],[VM Name]],VmSpecs[[#All],[Network Security Group]],"Failed",0,1),"Pass","Fail")</f>
        <v>Fail</v>
      </c>
      <c r="BE203" t="str" cm="1">
        <f t="array" ref="BE203">IF(O203=_xlfn.XLOOKUP($B203,VmSpecs[[#All],[VM Name]],VmSpecs[[#All],[Route Table Name]],"Failed",0,1),"Pass","Fail")</f>
        <v>Fail</v>
      </c>
      <c r="BF203" t="str" cm="1">
        <f t="array" ref="BF203">IF(P203=_xlfn.XLOOKUP($B203,VmSpecs[[#All],[VM Name]],VmSpecs[[#All],[Operating System]],"Failed",0,1),"Pass","Fail")</f>
        <v>Fail</v>
      </c>
      <c r="BG203" t="str" cm="1">
        <f t="array" ref="BG203">IF(R203=_xlfn.XLOOKUP($B203,VmSpecs[[#All],[VM Name]],VmSpecs[[#All],[NIC name]],"Failed",0,1),"Pass","Fail")</f>
        <v>Fail</v>
      </c>
      <c r="BH203" t="str" cm="1">
        <f t="array" ref="BH203">IF(U203=_xlfn.XLOOKUP($B203,VmSpecs[[#All],[VM Name]],VmSpecs[[#All],[OS Disk Name]],"Failed",0,1),"Pass","Fail")</f>
        <v>Fail</v>
      </c>
      <c r="BI203" t="str" cm="1">
        <f t="array" ref="BI203">IF(W203=_xlfn.XLOOKUP($B203,VmSpecs[[#All],[VM Name]],VmSpecs[[#All],[OS Disk Size]],"Failed",0,1),"Pass","Fail")</f>
        <v>Fail</v>
      </c>
      <c r="BJ203" t="str" cm="1">
        <f t="array" ref="BJ203">IF(LEFT(X203,4)=LEFT(_xlfn.XLOOKUP($B203,VmSpecs[[#All],[VM Name]],VmSpecs[[#All],[OS Disk Type (Standard SSD etc)]],"Failed",0,1),4),"Pass","Fail")</f>
        <v>Fail</v>
      </c>
      <c r="BK203" t="str" cm="1">
        <f t="array" ref="BK203">IF(Z203=_xlfn.XLOOKUP($B203,VmSpecs[[#All],[VM Name]],VmSpecs[[#All],[Data Disk1 Name]],"Failed",0,1),"Pass","Fail")</f>
        <v>Fail</v>
      </c>
      <c r="BL203" t="str" cm="1">
        <f t="array" ref="BL203">IF(AA203=_xlfn.XLOOKUP($B203,VmSpecs[[#All],[VM Name]],VmSpecs[[#All],[Data Disk1 Size]],"Failed",0,1),"Pass","Fail")</f>
        <v>Fail</v>
      </c>
      <c r="BM203" t="str" cm="1">
        <f t="array" ref="BM203">IF(LEFT(AC203,4)=LEFT(_xlfn.XLOOKUP($B203,VmSpecs[[#All],[VM Name]],VmSpecs[[#All],[Data Disk1 Type]],"Failed",0,1),4),"Pass","Fail")</f>
        <v>Fail</v>
      </c>
      <c r="BO203" t="e">
        <f>VLOOKUP('VM Specs'!K203,'As Built'!B:B,1,FALSE)</f>
        <v>#N/A</v>
      </c>
      <c r="BP203" t="str">
        <f>IF(ISNA(Table613[[#This Row],[VM Build Sheet Check]]),'VM Specs'!K203,"")</f>
        <v>vmpfbpf2fhi04</v>
      </c>
    </row>
    <row r="204" spans="1:68" ht="33" customHeight="1" x14ac:dyDescent="0.35">
      <c r="A204" t="str">
        <f>IF(COUNTIF(AsBuilt[[#This Row],[VM Check]:[Data Disk 1 Type Check]],"Fail")&gt;0,"Fail","Pass")</f>
        <v>Fail</v>
      </c>
      <c r="B204" t="s">
        <v>2182</v>
      </c>
      <c r="C204" t="s">
        <v>754</v>
      </c>
      <c r="D204" t="s">
        <v>2100</v>
      </c>
      <c r="E204" t="s">
        <v>756</v>
      </c>
      <c r="F204" t="s">
        <v>801</v>
      </c>
      <c r="G204" t="s">
        <v>758</v>
      </c>
      <c r="H204" t="s">
        <v>2153</v>
      </c>
      <c r="J204" t="s">
        <v>760</v>
      </c>
      <c r="K204" t="s">
        <v>2102</v>
      </c>
      <c r="L204" t="s">
        <v>754</v>
      </c>
      <c r="M204" t="s">
        <v>2183</v>
      </c>
      <c r="N204" t="s">
        <v>2104</v>
      </c>
      <c r="O204" t="s">
        <v>2105</v>
      </c>
      <c r="P204" t="s">
        <v>63</v>
      </c>
      <c r="R204" t="s">
        <v>2184</v>
      </c>
      <c r="S204" t="s">
        <v>754</v>
      </c>
      <c r="U204" t="s">
        <v>2185</v>
      </c>
      <c r="V204" t="s">
        <v>767</v>
      </c>
      <c r="W204">
        <v>64</v>
      </c>
      <c r="X204" t="s">
        <v>768</v>
      </c>
      <c r="Y204">
        <v>2</v>
      </c>
      <c r="Z204" t="s">
        <v>2186</v>
      </c>
      <c r="AA204">
        <v>8</v>
      </c>
      <c r="AB204" t="s">
        <v>770</v>
      </c>
      <c r="AC204" t="s">
        <v>768</v>
      </c>
      <c r="AD204" t="s">
        <v>2187</v>
      </c>
      <c r="AE204">
        <v>32</v>
      </c>
      <c r="AF204" t="s">
        <v>770</v>
      </c>
      <c r="AG204" t="s">
        <v>768</v>
      </c>
      <c r="AT204" t="s">
        <v>2159</v>
      </c>
      <c r="AU204" t="s">
        <v>2188</v>
      </c>
      <c r="AV204" t="str" cm="1">
        <f t="array" ref="AV204">IF(B204=_xlfn.XLOOKUP(B204,VmSpecs[[#All],[VM Name]],VmSpecs[[#All],[VM Name]],"Failed",0,1),"Pass","Fail")</f>
        <v>Fail</v>
      </c>
      <c r="AW204" t="str" cm="1">
        <f t="array" ref="AW204">IF(D204=_xlfn.XLOOKUP($B204,VmSpecs[[#All],[VM Name]],VmSpecs[[#All],[Virtual Machine Resource Groups]],"Failed",0,1),"Pass","Fail")</f>
        <v>Fail</v>
      </c>
      <c r="AX204" t="str" cm="1">
        <f t="array" ref="AX204">IF(_xlfn.IFS(E204="australiacentral","Australia Central 1",E204="australiaeast","Australia East",E204="australiasoutheast","Australia SouthEast")=_xlfn.XLOOKUP($B204,VmSpecs[[#All],[VM Name]],VmSpecs[[#All],[Region]],"Failed",0,1),"Pass","Fail")</f>
        <v>Fail</v>
      </c>
      <c r="AY204" t="str" cm="1">
        <f t="array" ref="AY204">IF(F204=_xlfn.XLOOKUP($B204,VmSpecs[[#All],[VM Name]],VmSpecs[[#All],[Instance size]],"Failed",0,1),"Pass","Fail")</f>
        <v>Fail</v>
      </c>
      <c r="AZ204" t="str" cm="1">
        <f t="array" ref="AZ204">IF(LOWER(H204)=_xlfn.XLOOKUP($B204,VmSpecs[[#All],[VM Name]],VmSpecs[[#All],[Availability Set Name]],"Failed",0,1),"Pass","Fail")</f>
        <v>Fail</v>
      </c>
      <c r="BA204" t="str" cm="1">
        <f t="array" ref="BA204">IF(J204=_xlfn.XLOOKUP($B204,VmSpecs[[#All],[VM Name]],VmSpecs[[#All],[Virtual Network]],"Failed",0,1),"Pass","Fail")</f>
        <v>Fail</v>
      </c>
      <c r="BB204" t="str" cm="1">
        <f t="array" ref="BB204">IF(K204=_xlfn.XLOOKUP($B204,VmSpecs[[#All],[VM Name]],VmSpecs[[#All],[Subnet]],"Failed",0,1),"Pass","Fail")</f>
        <v>Fail</v>
      </c>
      <c r="BC204" t="str" cm="1">
        <f t="array" ref="BC204">IF(M204=_xlfn.XLOOKUP($B204,VmSpecs[[#All],[VM Name]],VmSpecs[[#All],[IP]],"Failed",0,1),"Pass","Fail")</f>
        <v>Fail</v>
      </c>
      <c r="BD204" t="str" cm="1">
        <f t="array" ref="BD204">IF(N204=_xlfn.XLOOKUP($B204,VmSpecs[[#All],[VM Name]],VmSpecs[[#All],[Network Security Group]],"Failed",0,1),"Pass","Fail")</f>
        <v>Fail</v>
      </c>
      <c r="BE204" t="str" cm="1">
        <f t="array" ref="BE204">IF(O204=_xlfn.XLOOKUP($B204,VmSpecs[[#All],[VM Name]],VmSpecs[[#All],[Route Table Name]],"Failed",0,1),"Pass","Fail")</f>
        <v>Fail</v>
      </c>
      <c r="BF204" t="str" cm="1">
        <f t="array" ref="BF204">IF(P204=_xlfn.XLOOKUP($B204,VmSpecs[[#All],[VM Name]],VmSpecs[[#All],[Operating System]],"Failed",0,1),"Pass","Fail")</f>
        <v>Fail</v>
      </c>
      <c r="BG204" t="str" cm="1">
        <f t="array" ref="BG204">IF(R204=_xlfn.XLOOKUP($B204,VmSpecs[[#All],[VM Name]],VmSpecs[[#All],[NIC name]],"Failed",0,1),"Pass","Fail")</f>
        <v>Fail</v>
      </c>
      <c r="BH204" t="str" cm="1">
        <f t="array" ref="BH204">IF(U204=_xlfn.XLOOKUP($B204,VmSpecs[[#All],[VM Name]],VmSpecs[[#All],[OS Disk Name]],"Failed",0,1),"Pass","Fail")</f>
        <v>Fail</v>
      </c>
      <c r="BI204" t="str" cm="1">
        <f t="array" ref="BI204">IF(W204=_xlfn.XLOOKUP($B204,VmSpecs[[#All],[VM Name]],VmSpecs[[#All],[OS Disk Size]],"Failed",0,1),"Pass","Fail")</f>
        <v>Fail</v>
      </c>
      <c r="BJ204" t="str" cm="1">
        <f t="array" ref="BJ204">IF(LEFT(X204,4)=LEFT(_xlfn.XLOOKUP($B204,VmSpecs[[#All],[VM Name]],VmSpecs[[#All],[OS Disk Type (Standard SSD etc)]],"Failed",0,1),4),"Pass","Fail")</f>
        <v>Fail</v>
      </c>
      <c r="BK204" t="str" cm="1">
        <f t="array" ref="BK204">IF(Z204=_xlfn.XLOOKUP($B204,VmSpecs[[#All],[VM Name]],VmSpecs[[#All],[Data Disk1 Name]],"Failed",0,1),"Pass","Fail")</f>
        <v>Fail</v>
      </c>
      <c r="BL204" t="str" cm="1">
        <f t="array" ref="BL204">IF(AA204=_xlfn.XLOOKUP($B204,VmSpecs[[#All],[VM Name]],VmSpecs[[#All],[Data Disk1 Size]],"Failed",0,1),"Pass","Fail")</f>
        <v>Fail</v>
      </c>
      <c r="BM204" t="str" cm="1">
        <f t="array" ref="BM204">IF(LEFT(AC204,4)=LEFT(_xlfn.XLOOKUP($B204,VmSpecs[[#All],[VM Name]],VmSpecs[[#All],[Data Disk1 Type]],"Failed",0,1),4),"Pass","Fail")</f>
        <v>Fail</v>
      </c>
      <c r="BO204" t="e">
        <f>VLOOKUP('VM Specs'!K204,'As Built'!B:B,1,FALSE)</f>
        <v>#N/A</v>
      </c>
      <c r="BP204" t="str">
        <f>IF(ISNA(Table613[[#This Row],[VM Build Sheet Check]]),'VM Specs'!K204,"")</f>
        <v>vmpfbpf2fhi05</v>
      </c>
    </row>
    <row r="205" spans="1:68" ht="33" customHeight="1" x14ac:dyDescent="0.35">
      <c r="A205" t="str">
        <f>IF(COUNTIF(AsBuilt[[#This Row],[VM Check]:[Data Disk 1 Type Check]],"Fail")&gt;0,"Fail","Pass")</f>
        <v>Fail</v>
      </c>
      <c r="B205" t="s">
        <v>2189</v>
      </c>
      <c r="C205" t="s">
        <v>754</v>
      </c>
      <c r="D205" t="s">
        <v>2100</v>
      </c>
      <c r="E205" t="s">
        <v>756</v>
      </c>
      <c r="F205" t="s">
        <v>801</v>
      </c>
      <c r="G205" t="s">
        <v>758</v>
      </c>
      <c r="H205" t="s">
        <v>2153</v>
      </c>
      <c r="J205" t="s">
        <v>760</v>
      </c>
      <c r="K205" t="s">
        <v>2102</v>
      </c>
      <c r="L205" t="s">
        <v>754</v>
      </c>
      <c r="M205" t="s">
        <v>2190</v>
      </c>
      <c r="N205" t="s">
        <v>2104</v>
      </c>
      <c r="O205" t="s">
        <v>2105</v>
      </c>
      <c r="P205" t="s">
        <v>63</v>
      </c>
      <c r="R205" t="s">
        <v>2191</v>
      </c>
      <c r="S205" t="s">
        <v>754</v>
      </c>
      <c r="U205" t="s">
        <v>2192</v>
      </c>
      <c r="V205" t="s">
        <v>767</v>
      </c>
      <c r="W205">
        <v>64</v>
      </c>
      <c r="X205" t="s">
        <v>768</v>
      </c>
      <c r="Y205">
        <v>2</v>
      </c>
      <c r="Z205" t="s">
        <v>2193</v>
      </c>
      <c r="AA205">
        <v>8</v>
      </c>
      <c r="AB205" t="s">
        <v>770</v>
      </c>
      <c r="AC205" t="s">
        <v>768</v>
      </c>
      <c r="AD205" t="s">
        <v>2194</v>
      </c>
      <c r="AE205">
        <v>32</v>
      </c>
      <c r="AF205" t="s">
        <v>770</v>
      </c>
      <c r="AG205" t="s">
        <v>768</v>
      </c>
      <c r="AT205" t="s">
        <v>2159</v>
      </c>
      <c r="AU205" t="s">
        <v>2195</v>
      </c>
      <c r="AV205" t="str" cm="1">
        <f t="array" ref="AV205">IF(B205=_xlfn.XLOOKUP(B205,VmSpecs[[#All],[VM Name]],VmSpecs[[#All],[VM Name]],"Failed",0,1),"Pass","Fail")</f>
        <v>Fail</v>
      </c>
      <c r="AW205" t="str" cm="1">
        <f t="array" ref="AW205">IF(D205=_xlfn.XLOOKUP($B205,VmSpecs[[#All],[VM Name]],VmSpecs[[#All],[Virtual Machine Resource Groups]],"Failed",0,1),"Pass","Fail")</f>
        <v>Fail</v>
      </c>
      <c r="AX205" t="str" cm="1">
        <f t="array" ref="AX205">IF(_xlfn.IFS(E205="australiacentral","Australia Central 1",E205="australiaeast","Australia East",E205="australiasoutheast","Australia SouthEast")=_xlfn.XLOOKUP($B205,VmSpecs[[#All],[VM Name]],VmSpecs[[#All],[Region]],"Failed",0,1),"Pass","Fail")</f>
        <v>Fail</v>
      </c>
      <c r="AY205" t="str" cm="1">
        <f t="array" ref="AY205">IF(F205=_xlfn.XLOOKUP($B205,VmSpecs[[#All],[VM Name]],VmSpecs[[#All],[Instance size]],"Failed",0,1),"Pass","Fail")</f>
        <v>Fail</v>
      </c>
      <c r="AZ205" t="str" cm="1">
        <f t="array" ref="AZ205">IF(LOWER(H205)=_xlfn.XLOOKUP($B205,VmSpecs[[#All],[VM Name]],VmSpecs[[#All],[Availability Set Name]],"Failed",0,1),"Pass","Fail")</f>
        <v>Fail</v>
      </c>
      <c r="BA205" t="str" cm="1">
        <f t="array" ref="BA205">IF(J205=_xlfn.XLOOKUP($B205,VmSpecs[[#All],[VM Name]],VmSpecs[[#All],[Virtual Network]],"Failed",0,1),"Pass","Fail")</f>
        <v>Fail</v>
      </c>
      <c r="BB205" t="str" cm="1">
        <f t="array" ref="BB205">IF(K205=_xlfn.XLOOKUP($B205,VmSpecs[[#All],[VM Name]],VmSpecs[[#All],[Subnet]],"Failed",0,1),"Pass","Fail")</f>
        <v>Fail</v>
      </c>
      <c r="BC205" t="str" cm="1">
        <f t="array" ref="BC205">IF(M205=_xlfn.XLOOKUP($B205,VmSpecs[[#All],[VM Name]],VmSpecs[[#All],[IP]],"Failed",0,1),"Pass","Fail")</f>
        <v>Fail</v>
      </c>
      <c r="BD205" t="str" cm="1">
        <f t="array" ref="BD205">IF(N205=_xlfn.XLOOKUP($B205,VmSpecs[[#All],[VM Name]],VmSpecs[[#All],[Network Security Group]],"Failed",0,1),"Pass","Fail")</f>
        <v>Fail</v>
      </c>
      <c r="BE205" t="str" cm="1">
        <f t="array" ref="BE205">IF(O205=_xlfn.XLOOKUP($B205,VmSpecs[[#All],[VM Name]],VmSpecs[[#All],[Route Table Name]],"Failed",0,1),"Pass","Fail")</f>
        <v>Fail</v>
      </c>
      <c r="BF205" t="str" cm="1">
        <f t="array" ref="BF205">IF(P205=_xlfn.XLOOKUP($B205,VmSpecs[[#All],[VM Name]],VmSpecs[[#All],[Operating System]],"Failed",0,1),"Pass","Fail")</f>
        <v>Fail</v>
      </c>
      <c r="BG205" t="str" cm="1">
        <f t="array" ref="BG205">IF(R205=_xlfn.XLOOKUP($B205,VmSpecs[[#All],[VM Name]],VmSpecs[[#All],[NIC name]],"Failed",0,1),"Pass","Fail")</f>
        <v>Fail</v>
      </c>
      <c r="BH205" t="str" cm="1">
        <f t="array" ref="BH205">IF(U205=_xlfn.XLOOKUP($B205,VmSpecs[[#All],[VM Name]],VmSpecs[[#All],[OS Disk Name]],"Failed",0,1),"Pass","Fail")</f>
        <v>Fail</v>
      </c>
      <c r="BI205" t="str" cm="1">
        <f t="array" ref="BI205">IF(W205=_xlfn.XLOOKUP($B205,VmSpecs[[#All],[VM Name]],VmSpecs[[#All],[OS Disk Size]],"Failed",0,1),"Pass","Fail")</f>
        <v>Fail</v>
      </c>
      <c r="BJ205" t="str" cm="1">
        <f t="array" ref="BJ205">IF(LEFT(X205,4)=LEFT(_xlfn.XLOOKUP($B205,VmSpecs[[#All],[VM Name]],VmSpecs[[#All],[OS Disk Type (Standard SSD etc)]],"Failed",0,1),4),"Pass","Fail")</f>
        <v>Fail</v>
      </c>
      <c r="BK205" t="str" cm="1">
        <f t="array" ref="BK205">IF(Z205=_xlfn.XLOOKUP($B205,VmSpecs[[#All],[VM Name]],VmSpecs[[#All],[Data Disk1 Name]],"Failed",0,1),"Pass","Fail")</f>
        <v>Fail</v>
      </c>
      <c r="BL205" t="str" cm="1">
        <f t="array" ref="BL205">IF(AA205=_xlfn.XLOOKUP($B205,VmSpecs[[#All],[VM Name]],VmSpecs[[#All],[Data Disk1 Size]],"Failed",0,1),"Pass","Fail")</f>
        <v>Fail</v>
      </c>
      <c r="BM205" t="str" cm="1">
        <f t="array" ref="BM205">IF(LEFT(AC205,4)=LEFT(_xlfn.XLOOKUP($B205,VmSpecs[[#All],[VM Name]],VmSpecs[[#All],[Data Disk1 Type]],"Failed",0,1),4),"Pass","Fail")</f>
        <v>Fail</v>
      </c>
      <c r="BO205" t="e">
        <f>VLOOKUP('VM Specs'!K205,'As Built'!B:B,1,FALSE)</f>
        <v>#N/A</v>
      </c>
      <c r="BP205" t="str">
        <f>IF(ISNA(Table613[[#This Row],[VM Build Sheet Check]]),'VM Specs'!K205,"")</f>
        <v>vmpfbpf2fhi06</v>
      </c>
    </row>
    <row r="206" spans="1:68" ht="33" customHeight="1" x14ac:dyDescent="0.35">
      <c r="A206" t="str">
        <f>IF(COUNTIF(AsBuilt[[#This Row],[VM Check]:[Data Disk 1 Type Check]],"Fail")&gt;0,"Fail","Pass")</f>
        <v>Fail</v>
      </c>
      <c r="B206" t="s">
        <v>2196</v>
      </c>
      <c r="C206" t="s">
        <v>754</v>
      </c>
      <c r="D206" t="s">
        <v>2100</v>
      </c>
      <c r="E206" t="s">
        <v>756</v>
      </c>
      <c r="F206" t="s">
        <v>801</v>
      </c>
      <c r="G206" t="s">
        <v>758</v>
      </c>
      <c r="H206" t="s">
        <v>2153</v>
      </c>
      <c r="J206" t="s">
        <v>760</v>
      </c>
      <c r="K206" t="s">
        <v>2102</v>
      </c>
      <c r="L206" t="s">
        <v>754</v>
      </c>
      <c r="M206" t="s">
        <v>2197</v>
      </c>
      <c r="N206" t="s">
        <v>2104</v>
      </c>
      <c r="O206" t="s">
        <v>2105</v>
      </c>
      <c r="P206" t="s">
        <v>63</v>
      </c>
      <c r="R206" t="s">
        <v>2198</v>
      </c>
      <c r="S206" t="s">
        <v>754</v>
      </c>
      <c r="U206" t="s">
        <v>2199</v>
      </c>
      <c r="V206" t="s">
        <v>767</v>
      </c>
      <c r="W206">
        <v>64</v>
      </c>
      <c r="X206" t="s">
        <v>768</v>
      </c>
      <c r="Y206">
        <v>2</v>
      </c>
      <c r="Z206" t="s">
        <v>2200</v>
      </c>
      <c r="AA206">
        <v>8</v>
      </c>
      <c r="AB206" t="s">
        <v>770</v>
      </c>
      <c r="AC206" t="s">
        <v>768</v>
      </c>
      <c r="AD206" t="s">
        <v>2201</v>
      </c>
      <c r="AE206">
        <v>32</v>
      </c>
      <c r="AF206" t="s">
        <v>770</v>
      </c>
      <c r="AG206" t="s">
        <v>768</v>
      </c>
      <c r="AT206" t="s">
        <v>2159</v>
      </c>
      <c r="AU206" t="s">
        <v>2202</v>
      </c>
      <c r="AV206" t="str" cm="1">
        <f t="array" ref="AV206">IF(B206=_xlfn.XLOOKUP(B206,VmSpecs[[#All],[VM Name]],VmSpecs[[#All],[VM Name]],"Failed",0,1),"Pass","Fail")</f>
        <v>Fail</v>
      </c>
      <c r="AW206" t="str" cm="1">
        <f t="array" ref="AW206">IF(D206=_xlfn.XLOOKUP($B206,VmSpecs[[#All],[VM Name]],VmSpecs[[#All],[Virtual Machine Resource Groups]],"Failed",0,1),"Pass","Fail")</f>
        <v>Fail</v>
      </c>
      <c r="AX206" t="str" cm="1">
        <f t="array" ref="AX206">IF(_xlfn.IFS(E206="australiacentral","Australia Central 1",E206="australiaeast","Australia East",E206="australiasoutheast","Australia SouthEast")=_xlfn.XLOOKUP($B206,VmSpecs[[#All],[VM Name]],VmSpecs[[#All],[Region]],"Failed",0,1),"Pass","Fail")</f>
        <v>Fail</v>
      </c>
      <c r="AY206" t="str" cm="1">
        <f t="array" ref="AY206">IF(F206=_xlfn.XLOOKUP($B206,VmSpecs[[#All],[VM Name]],VmSpecs[[#All],[Instance size]],"Failed",0,1),"Pass","Fail")</f>
        <v>Fail</v>
      </c>
      <c r="AZ206" t="str" cm="1">
        <f t="array" ref="AZ206">IF(LOWER(H206)=_xlfn.XLOOKUP($B206,VmSpecs[[#All],[VM Name]],VmSpecs[[#All],[Availability Set Name]],"Failed",0,1),"Pass","Fail")</f>
        <v>Fail</v>
      </c>
      <c r="BA206" t="str" cm="1">
        <f t="array" ref="BA206">IF(J206=_xlfn.XLOOKUP($B206,VmSpecs[[#All],[VM Name]],VmSpecs[[#All],[Virtual Network]],"Failed",0,1),"Pass","Fail")</f>
        <v>Fail</v>
      </c>
      <c r="BB206" t="str" cm="1">
        <f t="array" ref="BB206">IF(K206=_xlfn.XLOOKUP($B206,VmSpecs[[#All],[VM Name]],VmSpecs[[#All],[Subnet]],"Failed",0,1),"Pass","Fail")</f>
        <v>Fail</v>
      </c>
      <c r="BC206" t="str" cm="1">
        <f t="array" ref="BC206">IF(M206=_xlfn.XLOOKUP($B206,VmSpecs[[#All],[VM Name]],VmSpecs[[#All],[IP]],"Failed",0,1),"Pass","Fail")</f>
        <v>Fail</v>
      </c>
      <c r="BD206" t="str" cm="1">
        <f t="array" ref="BD206">IF(N206=_xlfn.XLOOKUP($B206,VmSpecs[[#All],[VM Name]],VmSpecs[[#All],[Network Security Group]],"Failed",0,1),"Pass","Fail")</f>
        <v>Fail</v>
      </c>
      <c r="BE206" t="str" cm="1">
        <f t="array" ref="BE206">IF(O206=_xlfn.XLOOKUP($B206,VmSpecs[[#All],[VM Name]],VmSpecs[[#All],[Route Table Name]],"Failed",0,1),"Pass","Fail")</f>
        <v>Fail</v>
      </c>
      <c r="BF206" t="str" cm="1">
        <f t="array" ref="BF206">IF(P206=_xlfn.XLOOKUP($B206,VmSpecs[[#All],[VM Name]],VmSpecs[[#All],[Operating System]],"Failed",0,1),"Pass","Fail")</f>
        <v>Fail</v>
      </c>
      <c r="BG206" t="str" cm="1">
        <f t="array" ref="BG206">IF(R206=_xlfn.XLOOKUP($B206,VmSpecs[[#All],[VM Name]],VmSpecs[[#All],[NIC name]],"Failed",0,1),"Pass","Fail")</f>
        <v>Fail</v>
      </c>
      <c r="BH206" t="str" cm="1">
        <f t="array" ref="BH206">IF(U206=_xlfn.XLOOKUP($B206,VmSpecs[[#All],[VM Name]],VmSpecs[[#All],[OS Disk Name]],"Failed",0,1),"Pass","Fail")</f>
        <v>Fail</v>
      </c>
      <c r="BI206" t="str" cm="1">
        <f t="array" ref="BI206">IF(W206=_xlfn.XLOOKUP($B206,VmSpecs[[#All],[VM Name]],VmSpecs[[#All],[OS Disk Size]],"Failed",0,1),"Pass","Fail")</f>
        <v>Fail</v>
      </c>
      <c r="BJ206" t="str" cm="1">
        <f t="array" ref="BJ206">IF(LEFT(X206,4)=LEFT(_xlfn.XLOOKUP($B206,VmSpecs[[#All],[VM Name]],VmSpecs[[#All],[OS Disk Type (Standard SSD etc)]],"Failed",0,1),4),"Pass","Fail")</f>
        <v>Fail</v>
      </c>
      <c r="BK206" t="str" cm="1">
        <f t="array" ref="BK206">IF(Z206=_xlfn.XLOOKUP($B206,VmSpecs[[#All],[VM Name]],VmSpecs[[#All],[Data Disk1 Name]],"Failed",0,1),"Pass","Fail")</f>
        <v>Fail</v>
      </c>
      <c r="BL206" t="str" cm="1">
        <f t="array" ref="BL206">IF(AA206=_xlfn.XLOOKUP($B206,VmSpecs[[#All],[VM Name]],VmSpecs[[#All],[Data Disk1 Size]],"Failed",0,1),"Pass","Fail")</f>
        <v>Fail</v>
      </c>
      <c r="BM206" t="str" cm="1">
        <f t="array" ref="BM206">IF(LEFT(AC206,4)=LEFT(_xlfn.XLOOKUP($B206,VmSpecs[[#All],[VM Name]],VmSpecs[[#All],[Data Disk1 Type]],"Failed",0,1),4),"Pass","Fail")</f>
        <v>Fail</v>
      </c>
      <c r="BO206" t="e">
        <f>VLOOKUP('VM Specs'!K206,'As Built'!B:B,1,FALSE)</f>
        <v>#N/A</v>
      </c>
      <c r="BP206" t="str">
        <f>IF(ISNA(Table613[[#This Row],[VM Build Sheet Check]]),'VM Specs'!K206,"")</f>
        <v>vmpfbpf2fhi07</v>
      </c>
    </row>
    <row r="207" spans="1:68" ht="33" customHeight="1" x14ac:dyDescent="0.35">
      <c r="A207" t="str">
        <f>IF(COUNTIF(AsBuilt[[#This Row],[VM Check]:[Data Disk 1 Type Check]],"Fail")&gt;0,"Fail","Pass")</f>
        <v>Fail</v>
      </c>
      <c r="B207" t="s">
        <v>2203</v>
      </c>
      <c r="C207" t="s">
        <v>754</v>
      </c>
      <c r="D207" t="s">
        <v>2100</v>
      </c>
      <c r="E207" t="s">
        <v>756</v>
      </c>
      <c r="F207" t="s">
        <v>801</v>
      </c>
      <c r="G207" t="s">
        <v>758</v>
      </c>
      <c r="H207" t="s">
        <v>2153</v>
      </c>
      <c r="J207" t="s">
        <v>760</v>
      </c>
      <c r="K207" t="s">
        <v>2102</v>
      </c>
      <c r="L207" t="s">
        <v>754</v>
      </c>
      <c r="M207" t="s">
        <v>2204</v>
      </c>
      <c r="N207" t="s">
        <v>2104</v>
      </c>
      <c r="O207" t="s">
        <v>2105</v>
      </c>
      <c r="P207" t="s">
        <v>63</v>
      </c>
      <c r="R207" t="s">
        <v>2205</v>
      </c>
      <c r="S207" t="s">
        <v>754</v>
      </c>
      <c r="U207" t="s">
        <v>2206</v>
      </c>
      <c r="V207" t="s">
        <v>767</v>
      </c>
      <c r="W207">
        <v>64</v>
      </c>
      <c r="X207" t="s">
        <v>768</v>
      </c>
      <c r="Y207">
        <v>2</v>
      </c>
      <c r="Z207" t="s">
        <v>2207</v>
      </c>
      <c r="AA207">
        <v>8</v>
      </c>
      <c r="AB207" t="s">
        <v>770</v>
      </c>
      <c r="AC207" t="s">
        <v>768</v>
      </c>
      <c r="AD207" t="s">
        <v>2208</v>
      </c>
      <c r="AE207">
        <v>32</v>
      </c>
      <c r="AF207" t="s">
        <v>770</v>
      </c>
      <c r="AG207" t="s">
        <v>768</v>
      </c>
      <c r="AT207" t="s">
        <v>2159</v>
      </c>
      <c r="AU207" t="s">
        <v>2209</v>
      </c>
      <c r="AV207" t="str" cm="1">
        <f t="array" ref="AV207">IF(B207=_xlfn.XLOOKUP(B207,VmSpecs[[#All],[VM Name]],VmSpecs[[#All],[VM Name]],"Failed",0,1),"Pass","Fail")</f>
        <v>Fail</v>
      </c>
      <c r="AW207" t="str" cm="1">
        <f t="array" ref="AW207">IF(D207=_xlfn.XLOOKUP($B207,VmSpecs[[#All],[VM Name]],VmSpecs[[#All],[Virtual Machine Resource Groups]],"Failed",0,1),"Pass","Fail")</f>
        <v>Fail</v>
      </c>
      <c r="AX207" t="str" cm="1">
        <f t="array" ref="AX207">IF(_xlfn.IFS(E207="australiacentral","Australia Central 1",E207="australiaeast","Australia East",E207="australiasoutheast","Australia SouthEast")=_xlfn.XLOOKUP($B207,VmSpecs[[#All],[VM Name]],VmSpecs[[#All],[Region]],"Failed",0,1),"Pass","Fail")</f>
        <v>Fail</v>
      </c>
      <c r="AY207" t="str" cm="1">
        <f t="array" ref="AY207">IF(F207=_xlfn.XLOOKUP($B207,VmSpecs[[#All],[VM Name]],VmSpecs[[#All],[Instance size]],"Failed",0,1),"Pass","Fail")</f>
        <v>Fail</v>
      </c>
      <c r="AZ207" t="str" cm="1">
        <f t="array" ref="AZ207">IF(LOWER(H207)=_xlfn.XLOOKUP($B207,VmSpecs[[#All],[VM Name]],VmSpecs[[#All],[Availability Set Name]],"Failed",0,1),"Pass","Fail")</f>
        <v>Fail</v>
      </c>
      <c r="BA207" t="str" cm="1">
        <f t="array" ref="BA207">IF(J207=_xlfn.XLOOKUP($B207,VmSpecs[[#All],[VM Name]],VmSpecs[[#All],[Virtual Network]],"Failed",0,1),"Pass","Fail")</f>
        <v>Fail</v>
      </c>
      <c r="BB207" t="str" cm="1">
        <f t="array" ref="BB207">IF(K207=_xlfn.XLOOKUP($B207,VmSpecs[[#All],[VM Name]],VmSpecs[[#All],[Subnet]],"Failed",0,1),"Pass","Fail")</f>
        <v>Fail</v>
      </c>
      <c r="BC207" t="str" cm="1">
        <f t="array" ref="BC207">IF(M207=_xlfn.XLOOKUP($B207,VmSpecs[[#All],[VM Name]],VmSpecs[[#All],[IP]],"Failed",0,1),"Pass","Fail")</f>
        <v>Fail</v>
      </c>
      <c r="BD207" t="str" cm="1">
        <f t="array" ref="BD207">IF(N207=_xlfn.XLOOKUP($B207,VmSpecs[[#All],[VM Name]],VmSpecs[[#All],[Network Security Group]],"Failed",0,1),"Pass","Fail")</f>
        <v>Fail</v>
      </c>
      <c r="BE207" t="str" cm="1">
        <f t="array" ref="BE207">IF(O207=_xlfn.XLOOKUP($B207,VmSpecs[[#All],[VM Name]],VmSpecs[[#All],[Route Table Name]],"Failed",0,1),"Pass","Fail")</f>
        <v>Fail</v>
      </c>
      <c r="BF207" t="str" cm="1">
        <f t="array" ref="BF207">IF(P207=_xlfn.XLOOKUP($B207,VmSpecs[[#All],[VM Name]],VmSpecs[[#All],[Operating System]],"Failed",0,1),"Pass","Fail")</f>
        <v>Fail</v>
      </c>
      <c r="BG207" t="str" cm="1">
        <f t="array" ref="BG207">IF(R207=_xlfn.XLOOKUP($B207,VmSpecs[[#All],[VM Name]],VmSpecs[[#All],[NIC name]],"Failed",0,1),"Pass","Fail")</f>
        <v>Fail</v>
      </c>
      <c r="BH207" t="str" cm="1">
        <f t="array" ref="BH207">IF(U207=_xlfn.XLOOKUP($B207,VmSpecs[[#All],[VM Name]],VmSpecs[[#All],[OS Disk Name]],"Failed",0,1),"Pass","Fail")</f>
        <v>Fail</v>
      </c>
      <c r="BI207" t="str" cm="1">
        <f t="array" ref="BI207">IF(W207=_xlfn.XLOOKUP($B207,VmSpecs[[#All],[VM Name]],VmSpecs[[#All],[OS Disk Size]],"Failed",0,1),"Pass","Fail")</f>
        <v>Fail</v>
      </c>
      <c r="BJ207" t="str" cm="1">
        <f t="array" ref="BJ207">IF(LEFT(X207,4)=LEFT(_xlfn.XLOOKUP($B207,VmSpecs[[#All],[VM Name]],VmSpecs[[#All],[OS Disk Type (Standard SSD etc)]],"Failed",0,1),4),"Pass","Fail")</f>
        <v>Fail</v>
      </c>
      <c r="BK207" t="str" cm="1">
        <f t="array" ref="BK207">IF(Z207=_xlfn.XLOOKUP($B207,VmSpecs[[#All],[VM Name]],VmSpecs[[#All],[Data Disk1 Name]],"Failed",0,1),"Pass","Fail")</f>
        <v>Fail</v>
      </c>
      <c r="BL207" t="str" cm="1">
        <f t="array" ref="BL207">IF(AA207=_xlfn.XLOOKUP($B207,VmSpecs[[#All],[VM Name]],VmSpecs[[#All],[Data Disk1 Size]],"Failed",0,1),"Pass","Fail")</f>
        <v>Fail</v>
      </c>
      <c r="BM207" t="str" cm="1">
        <f t="array" ref="BM207">IF(LEFT(AC207,4)=LEFT(_xlfn.XLOOKUP($B207,VmSpecs[[#All],[VM Name]],VmSpecs[[#All],[Data Disk1 Type]],"Failed",0,1),4),"Pass","Fail")</f>
        <v>Fail</v>
      </c>
      <c r="BO207" t="e">
        <f>VLOOKUP('VM Specs'!K207,'As Built'!B:B,1,FALSE)</f>
        <v>#N/A</v>
      </c>
      <c r="BP207" t="str">
        <f>IF(ISNA(Table613[[#This Row],[VM Build Sheet Check]]),'VM Specs'!K207,"")</f>
        <v>vmpfbpf2fhi08</v>
      </c>
    </row>
    <row r="208" spans="1:68" ht="33" customHeight="1" x14ac:dyDescent="0.35">
      <c r="A208" t="str">
        <f>IF(COUNTIF(AsBuilt[[#This Row],[VM Check]:[Data Disk 1 Type Check]],"Fail")&gt;0,"Fail","Pass")</f>
        <v>Fail</v>
      </c>
      <c r="B208" t="s">
        <v>2210</v>
      </c>
      <c r="C208" t="s">
        <v>754</v>
      </c>
      <c r="D208" t="s">
        <v>2100</v>
      </c>
      <c r="E208" t="s">
        <v>756</v>
      </c>
      <c r="F208" t="s">
        <v>757</v>
      </c>
      <c r="G208" t="s">
        <v>758</v>
      </c>
      <c r="H208" t="s">
        <v>2211</v>
      </c>
      <c r="J208" t="s">
        <v>760</v>
      </c>
      <c r="K208" t="s">
        <v>2102</v>
      </c>
      <c r="L208" t="s">
        <v>754</v>
      </c>
      <c r="M208" t="s">
        <v>2212</v>
      </c>
      <c r="N208" t="s">
        <v>2104</v>
      </c>
      <c r="O208" t="s">
        <v>2105</v>
      </c>
      <c r="P208" t="s">
        <v>521</v>
      </c>
      <c r="R208" t="s">
        <v>2213</v>
      </c>
      <c r="S208" t="s">
        <v>754</v>
      </c>
      <c r="U208" t="s">
        <v>2214</v>
      </c>
      <c r="V208" t="s">
        <v>767</v>
      </c>
      <c r="W208">
        <v>128</v>
      </c>
      <c r="X208" t="s">
        <v>768</v>
      </c>
      <c r="Y208">
        <v>2</v>
      </c>
      <c r="Z208" t="s">
        <v>2215</v>
      </c>
      <c r="AA208">
        <v>8</v>
      </c>
      <c r="AB208" t="s">
        <v>770</v>
      </c>
      <c r="AC208" t="s">
        <v>768</v>
      </c>
      <c r="AD208" t="s">
        <v>2216</v>
      </c>
      <c r="AE208">
        <v>32</v>
      </c>
      <c r="AF208" t="s">
        <v>770</v>
      </c>
      <c r="AG208" t="s">
        <v>768</v>
      </c>
      <c r="AT208" t="s">
        <v>2217</v>
      </c>
      <c r="AU208" t="s">
        <v>2218</v>
      </c>
      <c r="AV208" t="str" cm="1">
        <f t="array" ref="AV208">IF(B208=_xlfn.XLOOKUP(B208,VmSpecs[[#All],[VM Name]],VmSpecs[[#All],[VM Name]],"Failed",0,1),"Pass","Fail")</f>
        <v>Fail</v>
      </c>
      <c r="AW208" t="str" cm="1">
        <f t="array" ref="AW208">IF(D208=_xlfn.XLOOKUP($B208,VmSpecs[[#All],[VM Name]],VmSpecs[[#All],[Virtual Machine Resource Groups]],"Failed",0,1),"Pass","Fail")</f>
        <v>Fail</v>
      </c>
      <c r="AX208" t="str" cm="1">
        <f t="array" ref="AX208">IF(_xlfn.IFS(E208="australiacentral","Australia Central 1",E208="australiaeast","Australia East",E208="australiasoutheast","Australia SouthEast")=_xlfn.XLOOKUP($B208,VmSpecs[[#All],[VM Name]],VmSpecs[[#All],[Region]],"Failed",0,1),"Pass","Fail")</f>
        <v>Fail</v>
      </c>
      <c r="AY208" t="str" cm="1">
        <f t="array" ref="AY208">IF(F208=_xlfn.XLOOKUP($B208,VmSpecs[[#All],[VM Name]],VmSpecs[[#All],[Instance size]],"Failed",0,1),"Pass","Fail")</f>
        <v>Fail</v>
      </c>
      <c r="AZ208" t="str" cm="1">
        <f t="array" ref="AZ208">IF(LOWER(H208)=_xlfn.XLOOKUP($B208,VmSpecs[[#All],[VM Name]],VmSpecs[[#All],[Availability Set Name]],"Failed",0,1),"Pass","Fail")</f>
        <v>Fail</v>
      </c>
      <c r="BA208" t="str" cm="1">
        <f t="array" ref="BA208">IF(J208=_xlfn.XLOOKUP($B208,VmSpecs[[#All],[VM Name]],VmSpecs[[#All],[Virtual Network]],"Failed",0,1),"Pass","Fail")</f>
        <v>Fail</v>
      </c>
      <c r="BB208" t="str" cm="1">
        <f t="array" ref="BB208">IF(K208=_xlfn.XLOOKUP($B208,VmSpecs[[#All],[VM Name]],VmSpecs[[#All],[Subnet]],"Failed",0,1),"Pass","Fail")</f>
        <v>Fail</v>
      </c>
      <c r="BC208" t="str" cm="1">
        <f t="array" ref="BC208">IF(M208=_xlfn.XLOOKUP($B208,VmSpecs[[#All],[VM Name]],VmSpecs[[#All],[IP]],"Failed",0,1),"Pass","Fail")</f>
        <v>Fail</v>
      </c>
      <c r="BD208" t="str" cm="1">
        <f t="array" ref="BD208">IF(N208=_xlfn.XLOOKUP($B208,VmSpecs[[#All],[VM Name]],VmSpecs[[#All],[Network Security Group]],"Failed",0,1),"Pass","Fail")</f>
        <v>Fail</v>
      </c>
      <c r="BE208" t="str" cm="1">
        <f t="array" ref="BE208">IF(O208=_xlfn.XLOOKUP($B208,VmSpecs[[#All],[VM Name]],VmSpecs[[#All],[Route Table Name]],"Failed",0,1),"Pass","Fail")</f>
        <v>Fail</v>
      </c>
      <c r="BF208" t="str" cm="1">
        <f t="array" ref="BF208">IF(P208=_xlfn.XLOOKUP($B208,VmSpecs[[#All],[VM Name]],VmSpecs[[#All],[Operating System]],"Failed",0,1),"Pass","Fail")</f>
        <v>Fail</v>
      </c>
      <c r="BG208" t="str" cm="1">
        <f t="array" ref="BG208">IF(R208=_xlfn.XLOOKUP($B208,VmSpecs[[#All],[VM Name]],VmSpecs[[#All],[NIC name]],"Failed",0,1),"Pass","Fail")</f>
        <v>Fail</v>
      </c>
      <c r="BH208" t="str" cm="1">
        <f t="array" ref="BH208">IF(U208=_xlfn.XLOOKUP($B208,VmSpecs[[#All],[VM Name]],VmSpecs[[#All],[OS Disk Name]],"Failed",0,1),"Pass","Fail")</f>
        <v>Fail</v>
      </c>
      <c r="BI208" t="str" cm="1">
        <f t="array" ref="BI208">IF(W208=_xlfn.XLOOKUP($B208,VmSpecs[[#All],[VM Name]],VmSpecs[[#All],[OS Disk Size]],"Failed",0,1),"Pass","Fail")</f>
        <v>Fail</v>
      </c>
      <c r="BJ208" t="str" cm="1">
        <f t="array" ref="BJ208">IF(LEFT(X208,4)=LEFT(_xlfn.XLOOKUP($B208,VmSpecs[[#All],[VM Name]],VmSpecs[[#All],[OS Disk Type (Standard SSD etc)]],"Failed",0,1),4),"Pass","Fail")</f>
        <v>Fail</v>
      </c>
      <c r="BK208" t="str" cm="1">
        <f t="array" ref="BK208">IF(Z208=_xlfn.XLOOKUP($B208,VmSpecs[[#All],[VM Name]],VmSpecs[[#All],[Data Disk1 Name]],"Failed",0,1),"Pass","Fail")</f>
        <v>Fail</v>
      </c>
      <c r="BL208" t="str" cm="1">
        <f t="array" ref="BL208">IF(AA208=_xlfn.XLOOKUP($B208,VmSpecs[[#All],[VM Name]],VmSpecs[[#All],[Data Disk1 Size]],"Failed",0,1),"Pass","Fail")</f>
        <v>Fail</v>
      </c>
      <c r="BM208" t="str" cm="1">
        <f t="array" ref="BM208">IF(LEFT(AC208,4)=LEFT(_xlfn.XLOOKUP($B208,VmSpecs[[#All],[VM Name]],VmSpecs[[#All],[Data Disk1 Type]],"Failed",0,1),4),"Pass","Fail")</f>
        <v>Fail</v>
      </c>
      <c r="BO208" t="e">
        <f>VLOOKUP('VM Specs'!K208,'As Built'!B:B,1,FALSE)</f>
        <v>#N/A</v>
      </c>
      <c r="BP208" t="str">
        <f>IF(ISNA(Table613[[#This Row],[VM Build Sheet Check]]),'VM Specs'!K208,"")</f>
        <v>vmpfbpf2inj01</v>
      </c>
    </row>
    <row r="209" spans="1:68" ht="33" customHeight="1" x14ac:dyDescent="0.35">
      <c r="A209" t="str">
        <f>IF(COUNTIF(AsBuilt[[#This Row],[VM Check]:[Data Disk 1 Type Check]],"Fail")&gt;0,"Fail","Pass")</f>
        <v>Fail</v>
      </c>
      <c r="B209" t="s">
        <v>2219</v>
      </c>
      <c r="C209" t="s">
        <v>754</v>
      </c>
      <c r="D209" t="s">
        <v>2100</v>
      </c>
      <c r="E209" t="s">
        <v>756</v>
      </c>
      <c r="F209" t="s">
        <v>1067</v>
      </c>
      <c r="G209" t="s">
        <v>758</v>
      </c>
      <c r="H209" t="s">
        <v>2211</v>
      </c>
      <c r="J209" t="s">
        <v>760</v>
      </c>
      <c r="K209" t="s">
        <v>2102</v>
      </c>
      <c r="L209" t="s">
        <v>754</v>
      </c>
      <c r="M209" t="s">
        <v>2220</v>
      </c>
      <c r="N209" t="s">
        <v>2104</v>
      </c>
      <c r="O209" t="s">
        <v>2105</v>
      </c>
      <c r="P209" t="s">
        <v>521</v>
      </c>
      <c r="R209" t="s">
        <v>2221</v>
      </c>
      <c r="S209" t="s">
        <v>754</v>
      </c>
      <c r="U209" t="s">
        <v>2222</v>
      </c>
      <c r="V209" t="s">
        <v>767</v>
      </c>
      <c r="W209">
        <v>128</v>
      </c>
      <c r="X209" t="s">
        <v>768</v>
      </c>
      <c r="Y209">
        <v>2</v>
      </c>
      <c r="Z209" t="s">
        <v>2223</v>
      </c>
      <c r="AA209">
        <v>8</v>
      </c>
      <c r="AB209" t="s">
        <v>770</v>
      </c>
      <c r="AC209" t="s">
        <v>768</v>
      </c>
      <c r="AD209" t="s">
        <v>2224</v>
      </c>
      <c r="AE209">
        <v>32</v>
      </c>
      <c r="AF209" t="s">
        <v>770</v>
      </c>
      <c r="AG209" t="s">
        <v>768</v>
      </c>
      <c r="AT209" t="s">
        <v>2217</v>
      </c>
      <c r="AU209" t="s">
        <v>2225</v>
      </c>
      <c r="AV209" t="str" cm="1">
        <f t="array" ref="AV209">IF(B209=_xlfn.XLOOKUP(B209,VmSpecs[[#All],[VM Name]],VmSpecs[[#All],[VM Name]],"Failed",0,1),"Pass","Fail")</f>
        <v>Fail</v>
      </c>
      <c r="AW209" t="str" cm="1">
        <f t="array" ref="AW209">IF(D209=_xlfn.XLOOKUP($B209,VmSpecs[[#All],[VM Name]],VmSpecs[[#All],[Virtual Machine Resource Groups]],"Failed",0,1),"Pass","Fail")</f>
        <v>Fail</v>
      </c>
      <c r="AX209" t="str" cm="1">
        <f t="array" ref="AX209">IF(_xlfn.IFS(E209="australiacentral","Australia Central 1",E209="australiaeast","Australia East",E209="australiasoutheast","Australia SouthEast")=_xlfn.XLOOKUP($B209,VmSpecs[[#All],[VM Name]],VmSpecs[[#All],[Region]],"Failed",0,1),"Pass","Fail")</f>
        <v>Fail</v>
      </c>
      <c r="AY209" t="str" cm="1">
        <f t="array" ref="AY209">IF(F209=_xlfn.XLOOKUP($B209,VmSpecs[[#All],[VM Name]],VmSpecs[[#All],[Instance size]],"Failed",0,1),"Pass","Fail")</f>
        <v>Fail</v>
      </c>
      <c r="AZ209" t="str" cm="1">
        <f t="array" ref="AZ209">IF(LOWER(H209)=_xlfn.XLOOKUP($B209,VmSpecs[[#All],[VM Name]],VmSpecs[[#All],[Availability Set Name]],"Failed",0,1),"Pass","Fail")</f>
        <v>Fail</v>
      </c>
      <c r="BA209" t="str" cm="1">
        <f t="array" ref="BA209">IF(J209=_xlfn.XLOOKUP($B209,VmSpecs[[#All],[VM Name]],VmSpecs[[#All],[Virtual Network]],"Failed",0,1),"Pass","Fail")</f>
        <v>Fail</v>
      </c>
      <c r="BB209" t="str" cm="1">
        <f t="array" ref="BB209">IF(K209=_xlfn.XLOOKUP($B209,VmSpecs[[#All],[VM Name]],VmSpecs[[#All],[Subnet]],"Failed",0,1),"Pass","Fail")</f>
        <v>Fail</v>
      </c>
      <c r="BC209" t="str" cm="1">
        <f t="array" ref="BC209">IF(M209=_xlfn.XLOOKUP($B209,VmSpecs[[#All],[VM Name]],VmSpecs[[#All],[IP]],"Failed",0,1),"Pass","Fail")</f>
        <v>Fail</v>
      </c>
      <c r="BD209" t="str" cm="1">
        <f t="array" ref="BD209">IF(N209=_xlfn.XLOOKUP($B209,VmSpecs[[#All],[VM Name]],VmSpecs[[#All],[Network Security Group]],"Failed",0,1),"Pass","Fail")</f>
        <v>Fail</v>
      </c>
      <c r="BE209" t="str" cm="1">
        <f t="array" ref="BE209">IF(O209=_xlfn.XLOOKUP($B209,VmSpecs[[#All],[VM Name]],VmSpecs[[#All],[Route Table Name]],"Failed",0,1),"Pass","Fail")</f>
        <v>Fail</v>
      </c>
      <c r="BF209" t="str" cm="1">
        <f t="array" ref="BF209">IF(P209=_xlfn.XLOOKUP($B209,VmSpecs[[#All],[VM Name]],VmSpecs[[#All],[Operating System]],"Failed",0,1),"Pass","Fail")</f>
        <v>Fail</v>
      </c>
      <c r="BG209" t="str" cm="1">
        <f t="array" ref="BG209">IF(R209=_xlfn.XLOOKUP($B209,VmSpecs[[#All],[VM Name]],VmSpecs[[#All],[NIC name]],"Failed",0,1),"Pass","Fail")</f>
        <v>Fail</v>
      </c>
      <c r="BH209" t="str" cm="1">
        <f t="array" ref="BH209">IF(U209=_xlfn.XLOOKUP($B209,VmSpecs[[#All],[VM Name]],VmSpecs[[#All],[OS Disk Name]],"Failed",0,1),"Pass","Fail")</f>
        <v>Fail</v>
      </c>
      <c r="BI209" t="str" cm="1">
        <f t="array" ref="BI209">IF(W209=_xlfn.XLOOKUP($B209,VmSpecs[[#All],[VM Name]],VmSpecs[[#All],[OS Disk Size]],"Failed",0,1),"Pass","Fail")</f>
        <v>Fail</v>
      </c>
      <c r="BJ209" t="str" cm="1">
        <f t="array" ref="BJ209">IF(LEFT(X209,4)=LEFT(_xlfn.XLOOKUP($B209,VmSpecs[[#All],[VM Name]],VmSpecs[[#All],[OS Disk Type (Standard SSD etc)]],"Failed",0,1),4),"Pass","Fail")</f>
        <v>Fail</v>
      </c>
      <c r="BK209" t="str" cm="1">
        <f t="array" ref="BK209">IF(Z209=_xlfn.XLOOKUP($B209,VmSpecs[[#All],[VM Name]],VmSpecs[[#All],[Data Disk1 Name]],"Failed",0,1),"Pass","Fail")</f>
        <v>Fail</v>
      </c>
      <c r="BL209" t="str" cm="1">
        <f t="array" ref="BL209">IF(AA209=_xlfn.XLOOKUP($B209,VmSpecs[[#All],[VM Name]],VmSpecs[[#All],[Data Disk1 Size]],"Failed",0,1),"Pass","Fail")</f>
        <v>Fail</v>
      </c>
      <c r="BM209" t="str" cm="1">
        <f t="array" ref="BM209">IF(LEFT(AC209,4)=LEFT(_xlfn.XLOOKUP($B209,VmSpecs[[#All],[VM Name]],VmSpecs[[#All],[Data Disk1 Type]],"Failed",0,1),4),"Pass","Fail")</f>
        <v>Fail</v>
      </c>
      <c r="BO209" t="e">
        <f>VLOOKUP('VM Specs'!K209,'As Built'!B:B,1,FALSE)</f>
        <v>#N/A</v>
      </c>
      <c r="BP209" t="str">
        <f>IF(ISNA(Table613[[#This Row],[VM Build Sheet Check]]),'VM Specs'!K209,"")</f>
        <v>vmpfbpf2inj02</v>
      </c>
    </row>
    <row r="210" spans="1:68" ht="33" customHeight="1" x14ac:dyDescent="0.35">
      <c r="A210" t="str">
        <f>IF(COUNTIF(AsBuilt[[#This Row],[VM Check]:[Data Disk 1 Type Check]],"Fail")&gt;0,"Fail","Pass")</f>
        <v>Fail</v>
      </c>
      <c r="B210" t="s">
        <v>2226</v>
      </c>
      <c r="C210" t="s">
        <v>754</v>
      </c>
      <c r="D210" t="s">
        <v>2100</v>
      </c>
      <c r="E210" t="s">
        <v>756</v>
      </c>
      <c r="F210" t="s">
        <v>1067</v>
      </c>
      <c r="G210" t="s">
        <v>758</v>
      </c>
      <c r="H210" t="s">
        <v>2211</v>
      </c>
      <c r="J210" t="s">
        <v>760</v>
      </c>
      <c r="K210" t="s">
        <v>2102</v>
      </c>
      <c r="L210" t="s">
        <v>754</v>
      </c>
      <c r="M210" t="s">
        <v>2227</v>
      </c>
      <c r="N210" t="s">
        <v>2104</v>
      </c>
      <c r="O210" t="s">
        <v>2105</v>
      </c>
      <c r="P210" t="s">
        <v>521</v>
      </c>
      <c r="R210" t="s">
        <v>2228</v>
      </c>
      <c r="S210" t="s">
        <v>754</v>
      </c>
      <c r="U210" t="s">
        <v>2229</v>
      </c>
      <c r="V210" t="s">
        <v>767</v>
      </c>
      <c r="W210">
        <v>128</v>
      </c>
      <c r="X210" t="s">
        <v>768</v>
      </c>
      <c r="Y210">
        <v>2</v>
      </c>
      <c r="Z210" t="s">
        <v>2230</v>
      </c>
      <c r="AA210">
        <v>8</v>
      </c>
      <c r="AB210" t="s">
        <v>770</v>
      </c>
      <c r="AC210" t="s">
        <v>768</v>
      </c>
      <c r="AD210" t="s">
        <v>2231</v>
      </c>
      <c r="AE210">
        <v>32</v>
      </c>
      <c r="AF210" t="s">
        <v>770</v>
      </c>
      <c r="AG210" t="s">
        <v>768</v>
      </c>
      <c r="AT210" t="s">
        <v>2217</v>
      </c>
      <c r="AU210" t="s">
        <v>2232</v>
      </c>
      <c r="AV210" t="str" cm="1">
        <f t="array" ref="AV210">IF(B210=_xlfn.XLOOKUP(B210,VmSpecs[[#All],[VM Name]],VmSpecs[[#All],[VM Name]],"Failed",0,1),"Pass","Fail")</f>
        <v>Fail</v>
      </c>
      <c r="AW210" t="str" cm="1">
        <f t="array" ref="AW210">IF(D210=_xlfn.XLOOKUP($B210,VmSpecs[[#All],[VM Name]],VmSpecs[[#All],[Virtual Machine Resource Groups]],"Failed",0,1),"Pass","Fail")</f>
        <v>Fail</v>
      </c>
      <c r="AX210" t="str" cm="1">
        <f t="array" ref="AX210">IF(_xlfn.IFS(E210="australiacentral","Australia Central 1",E210="australiaeast","Australia East",E210="australiasoutheast","Australia SouthEast")=_xlfn.XLOOKUP($B210,VmSpecs[[#All],[VM Name]],VmSpecs[[#All],[Region]],"Failed",0,1),"Pass","Fail")</f>
        <v>Fail</v>
      </c>
      <c r="AY210" t="str" cm="1">
        <f t="array" ref="AY210">IF(F210=_xlfn.XLOOKUP($B210,VmSpecs[[#All],[VM Name]],VmSpecs[[#All],[Instance size]],"Failed",0,1),"Pass","Fail")</f>
        <v>Fail</v>
      </c>
      <c r="AZ210" t="str" cm="1">
        <f t="array" ref="AZ210">IF(LOWER(H210)=_xlfn.XLOOKUP($B210,VmSpecs[[#All],[VM Name]],VmSpecs[[#All],[Availability Set Name]],"Failed",0,1),"Pass","Fail")</f>
        <v>Fail</v>
      </c>
      <c r="BA210" t="str" cm="1">
        <f t="array" ref="BA210">IF(J210=_xlfn.XLOOKUP($B210,VmSpecs[[#All],[VM Name]],VmSpecs[[#All],[Virtual Network]],"Failed",0,1),"Pass","Fail")</f>
        <v>Fail</v>
      </c>
      <c r="BB210" t="str" cm="1">
        <f t="array" ref="BB210">IF(K210=_xlfn.XLOOKUP($B210,VmSpecs[[#All],[VM Name]],VmSpecs[[#All],[Subnet]],"Failed",0,1),"Pass","Fail")</f>
        <v>Fail</v>
      </c>
      <c r="BC210" t="str" cm="1">
        <f t="array" ref="BC210">IF(M210=_xlfn.XLOOKUP($B210,VmSpecs[[#All],[VM Name]],VmSpecs[[#All],[IP]],"Failed",0,1),"Pass","Fail")</f>
        <v>Fail</v>
      </c>
      <c r="BD210" t="str" cm="1">
        <f t="array" ref="BD210">IF(N210=_xlfn.XLOOKUP($B210,VmSpecs[[#All],[VM Name]],VmSpecs[[#All],[Network Security Group]],"Failed",0,1),"Pass","Fail")</f>
        <v>Fail</v>
      </c>
      <c r="BE210" t="str" cm="1">
        <f t="array" ref="BE210">IF(O210=_xlfn.XLOOKUP($B210,VmSpecs[[#All],[VM Name]],VmSpecs[[#All],[Route Table Name]],"Failed",0,1),"Pass","Fail")</f>
        <v>Fail</v>
      </c>
      <c r="BF210" t="str" cm="1">
        <f t="array" ref="BF210">IF(P210=_xlfn.XLOOKUP($B210,VmSpecs[[#All],[VM Name]],VmSpecs[[#All],[Operating System]],"Failed",0,1),"Pass","Fail")</f>
        <v>Fail</v>
      </c>
      <c r="BG210" t="str" cm="1">
        <f t="array" ref="BG210">IF(R210=_xlfn.XLOOKUP($B210,VmSpecs[[#All],[VM Name]],VmSpecs[[#All],[NIC name]],"Failed",0,1),"Pass","Fail")</f>
        <v>Fail</v>
      </c>
      <c r="BH210" t="str" cm="1">
        <f t="array" ref="BH210">IF(U210=_xlfn.XLOOKUP($B210,VmSpecs[[#All],[VM Name]],VmSpecs[[#All],[OS Disk Name]],"Failed",0,1),"Pass","Fail")</f>
        <v>Fail</v>
      </c>
      <c r="BI210" t="str" cm="1">
        <f t="array" ref="BI210">IF(W210=_xlfn.XLOOKUP($B210,VmSpecs[[#All],[VM Name]],VmSpecs[[#All],[OS Disk Size]],"Failed",0,1),"Pass","Fail")</f>
        <v>Fail</v>
      </c>
      <c r="BJ210" t="str" cm="1">
        <f t="array" ref="BJ210">IF(LEFT(X210,4)=LEFT(_xlfn.XLOOKUP($B210,VmSpecs[[#All],[VM Name]],VmSpecs[[#All],[OS Disk Type (Standard SSD etc)]],"Failed",0,1),4),"Pass","Fail")</f>
        <v>Fail</v>
      </c>
      <c r="BK210" t="str" cm="1">
        <f t="array" ref="BK210">IF(Z210=_xlfn.XLOOKUP($B210,VmSpecs[[#All],[VM Name]],VmSpecs[[#All],[Data Disk1 Name]],"Failed",0,1),"Pass","Fail")</f>
        <v>Fail</v>
      </c>
      <c r="BL210" t="str" cm="1">
        <f t="array" ref="BL210">IF(AA210=_xlfn.XLOOKUP($B210,VmSpecs[[#All],[VM Name]],VmSpecs[[#All],[Data Disk1 Size]],"Failed",0,1),"Pass","Fail")</f>
        <v>Fail</v>
      </c>
      <c r="BM210" t="str" cm="1">
        <f t="array" ref="BM210">IF(LEFT(AC210,4)=LEFT(_xlfn.XLOOKUP($B210,VmSpecs[[#All],[VM Name]],VmSpecs[[#All],[Data Disk1 Type]],"Failed",0,1),4),"Pass","Fail")</f>
        <v>Fail</v>
      </c>
      <c r="BO210" t="e">
        <f>VLOOKUP('VM Specs'!K210,'As Built'!B:B,1,FALSE)</f>
        <v>#N/A</v>
      </c>
      <c r="BP210" t="str">
        <f>IF(ISNA(Table613[[#This Row],[VM Build Sheet Check]]),'VM Specs'!K210,"")</f>
        <v>vmpfbpf2inj03</v>
      </c>
    </row>
    <row r="211" spans="1:68" ht="33" customHeight="1" x14ac:dyDescent="0.35">
      <c r="A211" t="str">
        <f>IF(COUNTIF(AsBuilt[[#This Row],[VM Check]:[Data Disk 1 Type Check]],"Fail")&gt;0,"Fail","Pass")</f>
        <v>Fail</v>
      </c>
      <c r="B211" t="s">
        <v>2233</v>
      </c>
      <c r="C211" t="s">
        <v>754</v>
      </c>
      <c r="D211" t="s">
        <v>2100</v>
      </c>
      <c r="E211" t="s">
        <v>756</v>
      </c>
      <c r="F211" t="s">
        <v>1067</v>
      </c>
      <c r="G211" t="s">
        <v>758</v>
      </c>
      <c r="H211" t="s">
        <v>2211</v>
      </c>
      <c r="J211" t="s">
        <v>760</v>
      </c>
      <c r="K211" t="s">
        <v>2102</v>
      </c>
      <c r="L211" t="s">
        <v>754</v>
      </c>
      <c r="M211" t="s">
        <v>2234</v>
      </c>
      <c r="N211" t="s">
        <v>2104</v>
      </c>
      <c r="O211" t="s">
        <v>2105</v>
      </c>
      <c r="P211" t="s">
        <v>521</v>
      </c>
      <c r="R211" t="s">
        <v>2235</v>
      </c>
      <c r="S211" t="s">
        <v>754</v>
      </c>
      <c r="U211" t="s">
        <v>2236</v>
      </c>
      <c r="V211" t="s">
        <v>767</v>
      </c>
      <c r="W211">
        <v>128</v>
      </c>
      <c r="X211" t="s">
        <v>768</v>
      </c>
      <c r="Y211">
        <v>2</v>
      </c>
      <c r="Z211" t="s">
        <v>2237</v>
      </c>
      <c r="AA211">
        <v>8</v>
      </c>
      <c r="AB211" t="s">
        <v>770</v>
      </c>
      <c r="AC211" t="s">
        <v>768</v>
      </c>
      <c r="AD211" t="s">
        <v>2238</v>
      </c>
      <c r="AE211">
        <v>32</v>
      </c>
      <c r="AF211" t="s">
        <v>770</v>
      </c>
      <c r="AG211" t="s">
        <v>768</v>
      </c>
      <c r="AT211" t="s">
        <v>2217</v>
      </c>
      <c r="AU211" t="s">
        <v>2239</v>
      </c>
      <c r="AV211" t="str" cm="1">
        <f t="array" ref="AV211">IF(B211=_xlfn.XLOOKUP(B211,VmSpecs[[#All],[VM Name]],VmSpecs[[#All],[VM Name]],"Failed",0,1),"Pass","Fail")</f>
        <v>Fail</v>
      </c>
      <c r="AW211" t="str" cm="1">
        <f t="array" ref="AW211">IF(D211=_xlfn.XLOOKUP($B211,VmSpecs[[#All],[VM Name]],VmSpecs[[#All],[Virtual Machine Resource Groups]],"Failed",0,1),"Pass","Fail")</f>
        <v>Fail</v>
      </c>
      <c r="AX211" t="str" cm="1">
        <f t="array" ref="AX211">IF(_xlfn.IFS(E211="australiacentral","Australia Central 1",E211="australiaeast","Australia East",E211="australiasoutheast","Australia SouthEast")=_xlfn.XLOOKUP($B211,VmSpecs[[#All],[VM Name]],VmSpecs[[#All],[Region]],"Failed",0,1),"Pass","Fail")</f>
        <v>Fail</v>
      </c>
      <c r="AY211" t="str" cm="1">
        <f t="array" ref="AY211">IF(F211=_xlfn.XLOOKUP($B211,VmSpecs[[#All],[VM Name]],VmSpecs[[#All],[Instance size]],"Failed",0,1),"Pass","Fail")</f>
        <v>Fail</v>
      </c>
      <c r="AZ211" t="str" cm="1">
        <f t="array" ref="AZ211">IF(LOWER(H211)=_xlfn.XLOOKUP($B211,VmSpecs[[#All],[VM Name]],VmSpecs[[#All],[Availability Set Name]],"Failed",0,1),"Pass","Fail")</f>
        <v>Fail</v>
      </c>
      <c r="BA211" t="str" cm="1">
        <f t="array" ref="BA211">IF(J211=_xlfn.XLOOKUP($B211,VmSpecs[[#All],[VM Name]],VmSpecs[[#All],[Virtual Network]],"Failed",0,1),"Pass","Fail")</f>
        <v>Fail</v>
      </c>
      <c r="BB211" t="str" cm="1">
        <f t="array" ref="BB211">IF(K211=_xlfn.XLOOKUP($B211,VmSpecs[[#All],[VM Name]],VmSpecs[[#All],[Subnet]],"Failed",0,1),"Pass","Fail")</f>
        <v>Fail</v>
      </c>
      <c r="BC211" t="str" cm="1">
        <f t="array" ref="BC211">IF(M211=_xlfn.XLOOKUP($B211,VmSpecs[[#All],[VM Name]],VmSpecs[[#All],[IP]],"Failed",0,1),"Pass","Fail")</f>
        <v>Fail</v>
      </c>
      <c r="BD211" t="str" cm="1">
        <f t="array" ref="BD211">IF(N211=_xlfn.XLOOKUP($B211,VmSpecs[[#All],[VM Name]],VmSpecs[[#All],[Network Security Group]],"Failed",0,1),"Pass","Fail")</f>
        <v>Fail</v>
      </c>
      <c r="BE211" t="str" cm="1">
        <f t="array" ref="BE211">IF(O211=_xlfn.XLOOKUP($B211,VmSpecs[[#All],[VM Name]],VmSpecs[[#All],[Route Table Name]],"Failed",0,1),"Pass","Fail")</f>
        <v>Fail</v>
      </c>
      <c r="BF211" t="str" cm="1">
        <f t="array" ref="BF211">IF(P211=_xlfn.XLOOKUP($B211,VmSpecs[[#All],[VM Name]],VmSpecs[[#All],[Operating System]],"Failed",0,1),"Pass","Fail")</f>
        <v>Fail</v>
      </c>
      <c r="BG211" t="str" cm="1">
        <f t="array" ref="BG211">IF(R211=_xlfn.XLOOKUP($B211,VmSpecs[[#All],[VM Name]],VmSpecs[[#All],[NIC name]],"Failed",0,1),"Pass","Fail")</f>
        <v>Fail</v>
      </c>
      <c r="BH211" t="str" cm="1">
        <f t="array" ref="BH211">IF(U211=_xlfn.XLOOKUP($B211,VmSpecs[[#All],[VM Name]],VmSpecs[[#All],[OS Disk Name]],"Failed",0,1),"Pass","Fail")</f>
        <v>Fail</v>
      </c>
      <c r="BI211" t="str" cm="1">
        <f t="array" ref="BI211">IF(W211=_xlfn.XLOOKUP($B211,VmSpecs[[#All],[VM Name]],VmSpecs[[#All],[OS Disk Size]],"Failed",0,1),"Pass","Fail")</f>
        <v>Fail</v>
      </c>
      <c r="BJ211" t="str" cm="1">
        <f t="array" ref="BJ211">IF(LEFT(X211,4)=LEFT(_xlfn.XLOOKUP($B211,VmSpecs[[#All],[VM Name]],VmSpecs[[#All],[OS Disk Type (Standard SSD etc)]],"Failed",0,1),4),"Pass","Fail")</f>
        <v>Fail</v>
      </c>
      <c r="BK211" t="str" cm="1">
        <f t="array" ref="BK211">IF(Z211=_xlfn.XLOOKUP($B211,VmSpecs[[#All],[VM Name]],VmSpecs[[#All],[Data Disk1 Name]],"Failed",0,1),"Pass","Fail")</f>
        <v>Fail</v>
      </c>
      <c r="BL211" t="str" cm="1">
        <f t="array" ref="BL211">IF(AA211=_xlfn.XLOOKUP($B211,VmSpecs[[#All],[VM Name]],VmSpecs[[#All],[Data Disk1 Size]],"Failed",0,1),"Pass","Fail")</f>
        <v>Fail</v>
      </c>
      <c r="BM211" t="str" cm="1">
        <f t="array" ref="BM211">IF(LEFT(AC211,4)=LEFT(_xlfn.XLOOKUP($B211,VmSpecs[[#All],[VM Name]],VmSpecs[[#All],[Data Disk1 Type]],"Failed",0,1),4),"Pass","Fail")</f>
        <v>Fail</v>
      </c>
      <c r="BO211" t="e">
        <f>VLOOKUP('VM Specs'!K211,'As Built'!B:B,1,FALSE)</f>
        <v>#N/A</v>
      </c>
      <c r="BP211" t="str">
        <f>IF(ISNA(Table613[[#This Row],[VM Build Sheet Check]]),'VM Specs'!K211,"")</f>
        <v>vmpfbpf2inj04</v>
      </c>
    </row>
    <row r="212" spans="1:68" ht="33" customHeight="1" x14ac:dyDescent="0.35">
      <c r="A212" t="str">
        <f>IF(COUNTIF(AsBuilt[[#This Row],[VM Check]:[Data Disk 1 Type Check]],"Fail")&gt;0,"Fail","Pass")</f>
        <v>Fail</v>
      </c>
      <c r="B212" t="s">
        <v>2240</v>
      </c>
      <c r="C212" t="s">
        <v>754</v>
      </c>
      <c r="D212" t="s">
        <v>2100</v>
      </c>
      <c r="E212" t="s">
        <v>756</v>
      </c>
      <c r="F212" t="s">
        <v>1067</v>
      </c>
      <c r="G212" t="s">
        <v>758</v>
      </c>
      <c r="H212" t="s">
        <v>2211</v>
      </c>
      <c r="J212" t="s">
        <v>760</v>
      </c>
      <c r="K212" t="s">
        <v>2102</v>
      </c>
      <c r="L212" t="s">
        <v>754</v>
      </c>
      <c r="M212" t="s">
        <v>2241</v>
      </c>
      <c r="N212" t="s">
        <v>2104</v>
      </c>
      <c r="O212" t="s">
        <v>2105</v>
      </c>
      <c r="P212" t="s">
        <v>521</v>
      </c>
      <c r="R212" t="s">
        <v>2242</v>
      </c>
      <c r="S212" t="s">
        <v>754</v>
      </c>
      <c r="U212" t="s">
        <v>2243</v>
      </c>
      <c r="V212" t="s">
        <v>767</v>
      </c>
      <c r="W212">
        <v>128</v>
      </c>
      <c r="X212" t="s">
        <v>768</v>
      </c>
      <c r="Y212">
        <v>2</v>
      </c>
      <c r="Z212" t="s">
        <v>2244</v>
      </c>
      <c r="AA212">
        <v>8</v>
      </c>
      <c r="AB212" t="s">
        <v>770</v>
      </c>
      <c r="AC212" t="s">
        <v>768</v>
      </c>
      <c r="AD212" t="s">
        <v>2245</v>
      </c>
      <c r="AE212">
        <v>32</v>
      </c>
      <c r="AF212" t="s">
        <v>770</v>
      </c>
      <c r="AG212" t="s">
        <v>768</v>
      </c>
      <c r="AT212" t="s">
        <v>2217</v>
      </c>
      <c r="AU212" t="s">
        <v>2246</v>
      </c>
      <c r="AV212" t="str" cm="1">
        <f t="array" ref="AV212">IF(B212=_xlfn.XLOOKUP(B212,VmSpecs[[#All],[VM Name]],VmSpecs[[#All],[VM Name]],"Failed",0,1),"Pass","Fail")</f>
        <v>Fail</v>
      </c>
      <c r="AW212" t="str" cm="1">
        <f t="array" ref="AW212">IF(D212=_xlfn.XLOOKUP($B212,VmSpecs[[#All],[VM Name]],VmSpecs[[#All],[Virtual Machine Resource Groups]],"Failed",0,1),"Pass","Fail")</f>
        <v>Fail</v>
      </c>
      <c r="AX212" t="str" cm="1">
        <f t="array" ref="AX212">IF(_xlfn.IFS(E212="australiacentral","Australia Central 1",E212="australiaeast","Australia East",E212="australiasoutheast","Australia SouthEast")=_xlfn.XLOOKUP($B212,VmSpecs[[#All],[VM Name]],VmSpecs[[#All],[Region]],"Failed",0,1),"Pass","Fail")</f>
        <v>Fail</v>
      </c>
      <c r="AY212" t="str" cm="1">
        <f t="array" ref="AY212">IF(F212=_xlfn.XLOOKUP($B212,VmSpecs[[#All],[VM Name]],VmSpecs[[#All],[Instance size]],"Failed",0,1),"Pass","Fail")</f>
        <v>Fail</v>
      </c>
      <c r="AZ212" t="str" cm="1">
        <f t="array" ref="AZ212">IF(LOWER(H212)=_xlfn.XLOOKUP($B212,VmSpecs[[#All],[VM Name]],VmSpecs[[#All],[Availability Set Name]],"Failed",0,1),"Pass","Fail")</f>
        <v>Fail</v>
      </c>
      <c r="BA212" t="str" cm="1">
        <f t="array" ref="BA212">IF(J212=_xlfn.XLOOKUP($B212,VmSpecs[[#All],[VM Name]],VmSpecs[[#All],[Virtual Network]],"Failed",0,1),"Pass","Fail")</f>
        <v>Fail</v>
      </c>
      <c r="BB212" t="str" cm="1">
        <f t="array" ref="BB212">IF(K212=_xlfn.XLOOKUP($B212,VmSpecs[[#All],[VM Name]],VmSpecs[[#All],[Subnet]],"Failed",0,1),"Pass","Fail")</f>
        <v>Fail</v>
      </c>
      <c r="BC212" t="str" cm="1">
        <f t="array" ref="BC212">IF(M212=_xlfn.XLOOKUP($B212,VmSpecs[[#All],[VM Name]],VmSpecs[[#All],[IP]],"Failed",0,1),"Pass","Fail")</f>
        <v>Fail</v>
      </c>
      <c r="BD212" t="str" cm="1">
        <f t="array" ref="BD212">IF(N212=_xlfn.XLOOKUP($B212,VmSpecs[[#All],[VM Name]],VmSpecs[[#All],[Network Security Group]],"Failed",0,1),"Pass","Fail")</f>
        <v>Fail</v>
      </c>
      <c r="BE212" t="str" cm="1">
        <f t="array" ref="BE212">IF(O212=_xlfn.XLOOKUP($B212,VmSpecs[[#All],[VM Name]],VmSpecs[[#All],[Route Table Name]],"Failed",0,1),"Pass","Fail")</f>
        <v>Fail</v>
      </c>
      <c r="BF212" t="str" cm="1">
        <f t="array" ref="BF212">IF(P212=_xlfn.XLOOKUP($B212,VmSpecs[[#All],[VM Name]],VmSpecs[[#All],[Operating System]],"Failed",0,1),"Pass","Fail")</f>
        <v>Fail</v>
      </c>
      <c r="BG212" t="str" cm="1">
        <f t="array" ref="BG212">IF(R212=_xlfn.XLOOKUP($B212,VmSpecs[[#All],[VM Name]],VmSpecs[[#All],[NIC name]],"Failed",0,1),"Pass","Fail")</f>
        <v>Fail</v>
      </c>
      <c r="BH212" t="str" cm="1">
        <f t="array" ref="BH212">IF(U212=_xlfn.XLOOKUP($B212,VmSpecs[[#All],[VM Name]],VmSpecs[[#All],[OS Disk Name]],"Failed",0,1),"Pass","Fail")</f>
        <v>Fail</v>
      </c>
      <c r="BI212" t="str" cm="1">
        <f t="array" ref="BI212">IF(W212=_xlfn.XLOOKUP($B212,VmSpecs[[#All],[VM Name]],VmSpecs[[#All],[OS Disk Size]],"Failed",0,1),"Pass","Fail")</f>
        <v>Fail</v>
      </c>
      <c r="BJ212" t="str" cm="1">
        <f t="array" ref="BJ212">IF(LEFT(X212,4)=LEFT(_xlfn.XLOOKUP($B212,VmSpecs[[#All],[VM Name]],VmSpecs[[#All],[OS Disk Type (Standard SSD etc)]],"Failed",0,1),4),"Pass","Fail")</f>
        <v>Fail</v>
      </c>
      <c r="BK212" t="str" cm="1">
        <f t="array" ref="BK212">IF(Z212=_xlfn.XLOOKUP($B212,VmSpecs[[#All],[VM Name]],VmSpecs[[#All],[Data Disk1 Name]],"Failed",0,1),"Pass","Fail")</f>
        <v>Fail</v>
      </c>
      <c r="BL212" t="str" cm="1">
        <f t="array" ref="BL212">IF(AA212=_xlfn.XLOOKUP($B212,VmSpecs[[#All],[VM Name]],VmSpecs[[#All],[Data Disk1 Size]],"Failed",0,1),"Pass","Fail")</f>
        <v>Fail</v>
      </c>
      <c r="BM212" t="str" cm="1">
        <f t="array" ref="BM212">IF(LEFT(AC212,4)=LEFT(_xlfn.XLOOKUP($B212,VmSpecs[[#All],[VM Name]],VmSpecs[[#All],[Data Disk1 Type]],"Failed",0,1),4),"Pass","Fail")</f>
        <v>Fail</v>
      </c>
      <c r="BO212" t="e">
        <f>VLOOKUP('VM Specs'!K212,'As Built'!B:B,1,FALSE)</f>
        <v>#N/A</v>
      </c>
      <c r="BP212" t="str">
        <f>IF(ISNA(Table613[[#This Row],[VM Build Sheet Check]]),'VM Specs'!K212,"")</f>
        <v>vmpfbpf2inj05</v>
      </c>
    </row>
    <row r="213" spans="1:68" ht="33" customHeight="1" x14ac:dyDescent="0.35">
      <c r="A213" t="str">
        <f>IF(COUNTIF(AsBuilt[[#This Row],[VM Check]:[Data Disk 1 Type Check]],"Fail")&gt;0,"Fail","Pass")</f>
        <v>Fail</v>
      </c>
      <c r="B213" t="s">
        <v>2247</v>
      </c>
      <c r="C213" t="s">
        <v>754</v>
      </c>
      <c r="D213" t="s">
        <v>2100</v>
      </c>
      <c r="E213" t="s">
        <v>756</v>
      </c>
      <c r="F213" t="s">
        <v>1067</v>
      </c>
      <c r="G213" t="s">
        <v>758</v>
      </c>
      <c r="H213" t="s">
        <v>2211</v>
      </c>
      <c r="J213" t="s">
        <v>760</v>
      </c>
      <c r="K213" t="s">
        <v>2102</v>
      </c>
      <c r="L213" t="s">
        <v>754</v>
      </c>
      <c r="M213" t="s">
        <v>2248</v>
      </c>
      <c r="N213" t="s">
        <v>2104</v>
      </c>
      <c r="O213" t="s">
        <v>2105</v>
      </c>
      <c r="P213" t="s">
        <v>521</v>
      </c>
      <c r="R213" t="s">
        <v>2249</v>
      </c>
      <c r="S213" t="s">
        <v>754</v>
      </c>
      <c r="U213" t="s">
        <v>2250</v>
      </c>
      <c r="V213" t="s">
        <v>767</v>
      </c>
      <c r="W213">
        <v>128</v>
      </c>
      <c r="X213" t="s">
        <v>768</v>
      </c>
      <c r="Y213">
        <v>2</v>
      </c>
      <c r="Z213" t="s">
        <v>2251</v>
      </c>
      <c r="AA213">
        <v>8</v>
      </c>
      <c r="AB213" t="s">
        <v>770</v>
      </c>
      <c r="AC213" t="s">
        <v>768</v>
      </c>
      <c r="AD213" t="s">
        <v>2252</v>
      </c>
      <c r="AE213">
        <v>32</v>
      </c>
      <c r="AF213" t="s">
        <v>770</v>
      </c>
      <c r="AG213" t="s">
        <v>768</v>
      </c>
      <c r="AT213" t="s">
        <v>2217</v>
      </c>
      <c r="AU213" t="s">
        <v>2253</v>
      </c>
      <c r="AV213" t="str" cm="1">
        <f t="array" ref="AV213">IF(B213=_xlfn.XLOOKUP(B213,VmSpecs[[#All],[VM Name]],VmSpecs[[#All],[VM Name]],"Failed",0,1),"Pass","Fail")</f>
        <v>Fail</v>
      </c>
      <c r="AW213" t="str" cm="1">
        <f t="array" ref="AW213">IF(D213=_xlfn.XLOOKUP($B213,VmSpecs[[#All],[VM Name]],VmSpecs[[#All],[Virtual Machine Resource Groups]],"Failed",0,1),"Pass","Fail")</f>
        <v>Fail</v>
      </c>
      <c r="AX213" t="str" cm="1">
        <f t="array" ref="AX213">IF(_xlfn.IFS(E213="australiacentral","Australia Central 1",E213="australiaeast","Australia East",E213="australiasoutheast","Australia SouthEast")=_xlfn.XLOOKUP($B213,VmSpecs[[#All],[VM Name]],VmSpecs[[#All],[Region]],"Failed",0,1),"Pass","Fail")</f>
        <v>Fail</v>
      </c>
      <c r="AY213" t="str" cm="1">
        <f t="array" ref="AY213">IF(F213=_xlfn.XLOOKUP($B213,VmSpecs[[#All],[VM Name]],VmSpecs[[#All],[Instance size]],"Failed",0,1),"Pass","Fail")</f>
        <v>Fail</v>
      </c>
      <c r="AZ213" t="str" cm="1">
        <f t="array" ref="AZ213">IF(LOWER(H213)=_xlfn.XLOOKUP($B213,VmSpecs[[#All],[VM Name]],VmSpecs[[#All],[Availability Set Name]],"Failed",0,1),"Pass","Fail")</f>
        <v>Fail</v>
      </c>
      <c r="BA213" t="str" cm="1">
        <f t="array" ref="BA213">IF(J213=_xlfn.XLOOKUP($B213,VmSpecs[[#All],[VM Name]],VmSpecs[[#All],[Virtual Network]],"Failed",0,1),"Pass","Fail")</f>
        <v>Fail</v>
      </c>
      <c r="BB213" t="str" cm="1">
        <f t="array" ref="BB213">IF(K213=_xlfn.XLOOKUP($B213,VmSpecs[[#All],[VM Name]],VmSpecs[[#All],[Subnet]],"Failed",0,1),"Pass","Fail")</f>
        <v>Fail</v>
      </c>
      <c r="BC213" t="str" cm="1">
        <f t="array" ref="BC213">IF(M213=_xlfn.XLOOKUP($B213,VmSpecs[[#All],[VM Name]],VmSpecs[[#All],[IP]],"Failed",0,1),"Pass","Fail")</f>
        <v>Fail</v>
      </c>
      <c r="BD213" t="str" cm="1">
        <f t="array" ref="BD213">IF(N213=_xlfn.XLOOKUP($B213,VmSpecs[[#All],[VM Name]],VmSpecs[[#All],[Network Security Group]],"Failed",0,1),"Pass","Fail")</f>
        <v>Fail</v>
      </c>
      <c r="BE213" t="str" cm="1">
        <f t="array" ref="BE213">IF(O213=_xlfn.XLOOKUP($B213,VmSpecs[[#All],[VM Name]],VmSpecs[[#All],[Route Table Name]],"Failed",0,1),"Pass","Fail")</f>
        <v>Fail</v>
      </c>
      <c r="BF213" t="str" cm="1">
        <f t="array" ref="BF213">IF(P213=_xlfn.XLOOKUP($B213,VmSpecs[[#All],[VM Name]],VmSpecs[[#All],[Operating System]],"Failed",0,1),"Pass","Fail")</f>
        <v>Fail</v>
      </c>
      <c r="BG213" t="str" cm="1">
        <f t="array" ref="BG213">IF(R213=_xlfn.XLOOKUP($B213,VmSpecs[[#All],[VM Name]],VmSpecs[[#All],[NIC name]],"Failed",0,1),"Pass","Fail")</f>
        <v>Fail</v>
      </c>
      <c r="BH213" t="str" cm="1">
        <f t="array" ref="BH213">IF(U213=_xlfn.XLOOKUP($B213,VmSpecs[[#All],[VM Name]],VmSpecs[[#All],[OS Disk Name]],"Failed",0,1),"Pass","Fail")</f>
        <v>Fail</v>
      </c>
      <c r="BI213" t="str" cm="1">
        <f t="array" ref="BI213">IF(W213=_xlfn.XLOOKUP($B213,VmSpecs[[#All],[VM Name]],VmSpecs[[#All],[OS Disk Size]],"Failed",0,1),"Pass","Fail")</f>
        <v>Fail</v>
      </c>
      <c r="BJ213" t="str" cm="1">
        <f t="array" ref="BJ213">IF(LEFT(X213,4)=LEFT(_xlfn.XLOOKUP($B213,VmSpecs[[#All],[VM Name]],VmSpecs[[#All],[OS Disk Type (Standard SSD etc)]],"Failed",0,1),4),"Pass","Fail")</f>
        <v>Fail</v>
      </c>
      <c r="BK213" t="str" cm="1">
        <f t="array" ref="BK213">IF(Z213=_xlfn.XLOOKUP($B213,VmSpecs[[#All],[VM Name]],VmSpecs[[#All],[Data Disk1 Name]],"Failed",0,1),"Pass","Fail")</f>
        <v>Fail</v>
      </c>
      <c r="BL213" t="str" cm="1">
        <f t="array" ref="BL213">IF(AA213=_xlfn.XLOOKUP($B213,VmSpecs[[#All],[VM Name]],VmSpecs[[#All],[Data Disk1 Size]],"Failed",0,1),"Pass","Fail")</f>
        <v>Fail</v>
      </c>
      <c r="BM213" t="str" cm="1">
        <f t="array" ref="BM213">IF(LEFT(AC213,4)=LEFT(_xlfn.XLOOKUP($B213,VmSpecs[[#All],[VM Name]],VmSpecs[[#All],[Data Disk1 Type]],"Failed",0,1),4),"Pass","Fail")</f>
        <v>Fail</v>
      </c>
      <c r="BO213" t="e">
        <f>VLOOKUP('VM Specs'!K213,'As Built'!B:B,1,FALSE)</f>
        <v>#N/A</v>
      </c>
      <c r="BP213" t="str">
        <f>IF(ISNA(Table613[[#This Row],[VM Build Sheet Check]]),'VM Specs'!K213,"")</f>
        <v>vmpfbpf2inj06</v>
      </c>
    </row>
    <row r="214" spans="1:68" ht="33" customHeight="1" x14ac:dyDescent="0.35">
      <c r="A214" t="str">
        <f>IF(COUNTIF(AsBuilt[[#This Row],[VM Check]:[Data Disk 1 Type Check]],"Fail")&gt;0,"Fail","Pass")</f>
        <v>Fail</v>
      </c>
      <c r="B214" t="s">
        <v>2254</v>
      </c>
      <c r="C214" t="s">
        <v>754</v>
      </c>
      <c r="D214" t="s">
        <v>2100</v>
      </c>
      <c r="E214" t="s">
        <v>756</v>
      </c>
      <c r="F214" t="s">
        <v>1067</v>
      </c>
      <c r="G214" t="s">
        <v>758</v>
      </c>
      <c r="H214" t="s">
        <v>2211</v>
      </c>
      <c r="J214" t="s">
        <v>760</v>
      </c>
      <c r="K214" t="s">
        <v>2102</v>
      </c>
      <c r="L214" t="s">
        <v>754</v>
      </c>
      <c r="M214" t="s">
        <v>2255</v>
      </c>
      <c r="N214" t="s">
        <v>2104</v>
      </c>
      <c r="O214" t="s">
        <v>2105</v>
      </c>
      <c r="P214" t="s">
        <v>521</v>
      </c>
      <c r="R214" t="s">
        <v>2256</v>
      </c>
      <c r="S214" t="s">
        <v>754</v>
      </c>
      <c r="U214" t="s">
        <v>2257</v>
      </c>
      <c r="V214" t="s">
        <v>767</v>
      </c>
      <c r="W214">
        <v>128</v>
      </c>
      <c r="X214" t="s">
        <v>768</v>
      </c>
      <c r="Y214">
        <v>2</v>
      </c>
      <c r="Z214" t="s">
        <v>2258</v>
      </c>
      <c r="AA214">
        <v>8</v>
      </c>
      <c r="AB214" t="s">
        <v>770</v>
      </c>
      <c r="AC214" t="s">
        <v>768</v>
      </c>
      <c r="AD214" t="s">
        <v>2259</v>
      </c>
      <c r="AE214">
        <v>32</v>
      </c>
      <c r="AF214" t="s">
        <v>770</v>
      </c>
      <c r="AG214" t="s">
        <v>768</v>
      </c>
      <c r="AT214" t="s">
        <v>2217</v>
      </c>
      <c r="AU214" t="s">
        <v>2260</v>
      </c>
      <c r="AV214" t="str" cm="1">
        <f t="array" ref="AV214">IF(B214=_xlfn.XLOOKUP(B214,VmSpecs[[#All],[VM Name]],VmSpecs[[#All],[VM Name]],"Failed",0,1),"Pass","Fail")</f>
        <v>Fail</v>
      </c>
      <c r="AW214" t="str" cm="1">
        <f t="array" ref="AW214">IF(D214=_xlfn.XLOOKUP($B214,VmSpecs[[#All],[VM Name]],VmSpecs[[#All],[Virtual Machine Resource Groups]],"Failed",0,1),"Pass","Fail")</f>
        <v>Fail</v>
      </c>
      <c r="AX214" t="str" cm="1">
        <f t="array" ref="AX214">IF(_xlfn.IFS(E214="australiacentral","Australia Central 1",E214="australiaeast","Australia East",E214="australiasoutheast","Australia SouthEast")=_xlfn.XLOOKUP($B214,VmSpecs[[#All],[VM Name]],VmSpecs[[#All],[Region]],"Failed",0,1),"Pass","Fail")</f>
        <v>Fail</v>
      </c>
      <c r="AY214" t="str" cm="1">
        <f t="array" ref="AY214">IF(F214=_xlfn.XLOOKUP($B214,VmSpecs[[#All],[VM Name]],VmSpecs[[#All],[Instance size]],"Failed",0,1),"Pass","Fail")</f>
        <v>Fail</v>
      </c>
      <c r="AZ214" t="str" cm="1">
        <f t="array" ref="AZ214">IF(LOWER(H214)=_xlfn.XLOOKUP($B214,VmSpecs[[#All],[VM Name]],VmSpecs[[#All],[Availability Set Name]],"Failed",0,1),"Pass","Fail")</f>
        <v>Fail</v>
      </c>
      <c r="BA214" t="str" cm="1">
        <f t="array" ref="BA214">IF(J214=_xlfn.XLOOKUP($B214,VmSpecs[[#All],[VM Name]],VmSpecs[[#All],[Virtual Network]],"Failed",0,1),"Pass","Fail")</f>
        <v>Fail</v>
      </c>
      <c r="BB214" t="str" cm="1">
        <f t="array" ref="BB214">IF(K214=_xlfn.XLOOKUP($B214,VmSpecs[[#All],[VM Name]],VmSpecs[[#All],[Subnet]],"Failed",0,1),"Pass","Fail")</f>
        <v>Fail</v>
      </c>
      <c r="BC214" t="str" cm="1">
        <f t="array" ref="BC214">IF(M214=_xlfn.XLOOKUP($B214,VmSpecs[[#All],[VM Name]],VmSpecs[[#All],[IP]],"Failed",0,1),"Pass","Fail")</f>
        <v>Fail</v>
      </c>
      <c r="BD214" t="str" cm="1">
        <f t="array" ref="BD214">IF(N214=_xlfn.XLOOKUP($B214,VmSpecs[[#All],[VM Name]],VmSpecs[[#All],[Network Security Group]],"Failed",0,1),"Pass","Fail")</f>
        <v>Fail</v>
      </c>
      <c r="BE214" t="str" cm="1">
        <f t="array" ref="BE214">IF(O214=_xlfn.XLOOKUP($B214,VmSpecs[[#All],[VM Name]],VmSpecs[[#All],[Route Table Name]],"Failed",0,1),"Pass","Fail")</f>
        <v>Fail</v>
      </c>
      <c r="BF214" t="str" cm="1">
        <f t="array" ref="BF214">IF(P214=_xlfn.XLOOKUP($B214,VmSpecs[[#All],[VM Name]],VmSpecs[[#All],[Operating System]],"Failed",0,1),"Pass","Fail")</f>
        <v>Fail</v>
      </c>
      <c r="BG214" t="str" cm="1">
        <f t="array" ref="BG214">IF(R214=_xlfn.XLOOKUP($B214,VmSpecs[[#All],[VM Name]],VmSpecs[[#All],[NIC name]],"Failed",0,1),"Pass","Fail")</f>
        <v>Fail</v>
      </c>
      <c r="BH214" t="str" cm="1">
        <f t="array" ref="BH214">IF(U214=_xlfn.XLOOKUP($B214,VmSpecs[[#All],[VM Name]],VmSpecs[[#All],[OS Disk Name]],"Failed",0,1),"Pass","Fail")</f>
        <v>Fail</v>
      </c>
      <c r="BI214" t="str" cm="1">
        <f t="array" ref="BI214">IF(W214=_xlfn.XLOOKUP($B214,VmSpecs[[#All],[VM Name]],VmSpecs[[#All],[OS Disk Size]],"Failed",0,1),"Pass","Fail")</f>
        <v>Fail</v>
      </c>
      <c r="BJ214" t="str" cm="1">
        <f t="array" ref="BJ214">IF(LEFT(X214,4)=LEFT(_xlfn.XLOOKUP($B214,VmSpecs[[#All],[VM Name]],VmSpecs[[#All],[OS Disk Type (Standard SSD etc)]],"Failed",0,1),4),"Pass","Fail")</f>
        <v>Fail</v>
      </c>
      <c r="BK214" t="str" cm="1">
        <f t="array" ref="BK214">IF(Z214=_xlfn.XLOOKUP($B214,VmSpecs[[#All],[VM Name]],VmSpecs[[#All],[Data Disk1 Name]],"Failed",0,1),"Pass","Fail")</f>
        <v>Fail</v>
      </c>
      <c r="BL214" t="str" cm="1">
        <f t="array" ref="BL214">IF(AA214=_xlfn.XLOOKUP($B214,VmSpecs[[#All],[VM Name]],VmSpecs[[#All],[Data Disk1 Size]],"Failed",0,1),"Pass","Fail")</f>
        <v>Fail</v>
      </c>
      <c r="BM214" t="str" cm="1">
        <f t="array" ref="BM214">IF(LEFT(AC214,4)=LEFT(_xlfn.XLOOKUP($B214,VmSpecs[[#All],[VM Name]],VmSpecs[[#All],[Data Disk1 Type]],"Failed",0,1),4),"Pass","Fail")</f>
        <v>Fail</v>
      </c>
      <c r="BO214" t="e">
        <f>VLOOKUP('VM Specs'!K214,'As Built'!B:B,1,FALSE)</f>
        <v>#N/A</v>
      </c>
      <c r="BP214" t="str">
        <f>IF(ISNA(Table613[[#This Row],[VM Build Sheet Check]]),'VM Specs'!K214,"")</f>
        <v>vmpfbpf2inj07</v>
      </c>
    </row>
    <row r="215" spans="1:68" ht="33" customHeight="1" x14ac:dyDescent="0.35">
      <c r="A215" t="str">
        <f>IF(COUNTIF(AsBuilt[[#This Row],[VM Check]:[Data Disk 1 Type Check]],"Fail")&gt;0,"Fail","Pass")</f>
        <v>Fail</v>
      </c>
      <c r="B215" t="s">
        <v>2261</v>
      </c>
      <c r="C215" t="s">
        <v>754</v>
      </c>
      <c r="D215" t="s">
        <v>2100</v>
      </c>
      <c r="E215" t="s">
        <v>756</v>
      </c>
      <c r="F215" t="s">
        <v>1067</v>
      </c>
      <c r="G215" t="s">
        <v>758</v>
      </c>
      <c r="H215" t="s">
        <v>2211</v>
      </c>
      <c r="J215" t="s">
        <v>760</v>
      </c>
      <c r="K215" t="s">
        <v>2102</v>
      </c>
      <c r="L215" t="s">
        <v>754</v>
      </c>
      <c r="M215" t="s">
        <v>2262</v>
      </c>
      <c r="N215" t="s">
        <v>2104</v>
      </c>
      <c r="O215" t="s">
        <v>2105</v>
      </c>
      <c r="P215" t="s">
        <v>521</v>
      </c>
      <c r="R215" t="s">
        <v>2263</v>
      </c>
      <c r="S215" t="s">
        <v>754</v>
      </c>
      <c r="U215" t="s">
        <v>2264</v>
      </c>
      <c r="V215" t="s">
        <v>767</v>
      </c>
      <c r="W215">
        <v>128</v>
      </c>
      <c r="X215" t="s">
        <v>768</v>
      </c>
      <c r="Y215">
        <v>2</v>
      </c>
      <c r="Z215" t="s">
        <v>2265</v>
      </c>
      <c r="AA215">
        <v>8</v>
      </c>
      <c r="AB215" t="s">
        <v>770</v>
      </c>
      <c r="AC215" t="s">
        <v>768</v>
      </c>
      <c r="AD215" t="s">
        <v>2266</v>
      </c>
      <c r="AE215">
        <v>32</v>
      </c>
      <c r="AF215" t="s">
        <v>770</v>
      </c>
      <c r="AG215" t="s">
        <v>768</v>
      </c>
      <c r="AT215" t="s">
        <v>2217</v>
      </c>
      <c r="AU215" t="s">
        <v>2267</v>
      </c>
      <c r="AV215" t="str" cm="1">
        <f t="array" ref="AV215">IF(B215=_xlfn.XLOOKUP(B215,VmSpecs[[#All],[VM Name]],VmSpecs[[#All],[VM Name]],"Failed",0,1),"Pass","Fail")</f>
        <v>Fail</v>
      </c>
      <c r="AW215" t="str" cm="1">
        <f t="array" ref="AW215">IF(D215=_xlfn.XLOOKUP($B215,VmSpecs[[#All],[VM Name]],VmSpecs[[#All],[Virtual Machine Resource Groups]],"Failed",0,1),"Pass","Fail")</f>
        <v>Fail</v>
      </c>
      <c r="AX215" t="str" cm="1">
        <f t="array" ref="AX215">IF(_xlfn.IFS(E215="australiacentral","Australia Central 1",E215="australiaeast","Australia East",E215="australiasoutheast","Australia SouthEast")=_xlfn.XLOOKUP($B215,VmSpecs[[#All],[VM Name]],VmSpecs[[#All],[Region]],"Failed",0,1),"Pass","Fail")</f>
        <v>Fail</v>
      </c>
      <c r="AY215" t="str" cm="1">
        <f t="array" ref="AY215">IF(F215=_xlfn.XLOOKUP($B215,VmSpecs[[#All],[VM Name]],VmSpecs[[#All],[Instance size]],"Failed",0,1),"Pass","Fail")</f>
        <v>Fail</v>
      </c>
      <c r="AZ215" t="str" cm="1">
        <f t="array" ref="AZ215">IF(LOWER(H215)=_xlfn.XLOOKUP($B215,VmSpecs[[#All],[VM Name]],VmSpecs[[#All],[Availability Set Name]],"Failed",0,1),"Pass","Fail")</f>
        <v>Fail</v>
      </c>
      <c r="BA215" t="str" cm="1">
        <f t="array" ref="BA215">IF(J215=_xlfn.XLOOKUP($B215,VmSpecs[[#All],[VM Name]],VmSpecs[[#All],[Virtual Network]],"Failed",0,1),"Pass","Fail")</f>
        <v>Fail</v>
      </c>
      <c r="BB215" t="str" cm="1">
        <f t="array" ref="BB215">IF(K215=_xlfn.XLOOKUP($B215,VmSpecs[[#All],[VM Name]],VmSpecs[[#All],[Subnet]],"Failed",0,1),"Pass","Fail")</f>
        <v>Fail</v>
      </c>
      <c r="BC215" t="str" cm="1">
        <f t="array" ref="BC215">IF(M215=_xlfn.XLOOKUP($B215,VmSpecs[[#All],[VM Name]],VmSpecs[[#All],[IP]],"Failed",0,1),"Pass","Fail")</f>
        <v>Fail</v>
      </c>
      <c r="BD215" t="str" cm="1">
        <f t="array" ref="BD215">IF(N215=_xlfn.XLOOKUP($B215,VmSpecs[[#All],[VM Name]],VmSpecs[[#All],[Network Security Group]],"Failed",0,1),"Pass","Fail")</f>
        <v>Fail</v>
      </c>
      <c r="BE215" t="str" cm="1">
        <f t="array" ref="BE215">IF(O215=_xlfn.XLOOKUP($B215,VmSpecs[[#All],[VM Name]],VmSpecs[[#All],[Route Table Name]],"Failed",0,1),"Pass","Fail")</f>
        <v>Fail</v>
      </c>
      <c r="BF215" t="str" cm="1">
        <f t="array" ref="BF215">IF(P215=_xlfn.XLOOKUP($B215,VmSpecs[[#All],[VM Name]],VmSpecs[[#All],[Operating System]],"Failed",0,1),"Pass","Fail")</f>
        <v>Fail</v>
      </c>
      <c r="BG215" t="str" cm="1">
        <f t="array" ref="BG215">IF(R215=_xlfn.XLOOKUP($B215,VmSpecs[[#All],[VM Name]],VmSpecs[[#All],[NIC name]],"Failed",0,1),"Pass","Fail")</f>
        <v>Fail</v>
      </c>
      <c r="BH215" t="str" cm="1">
        <f t="array" ref="BH215">IF(U215=_xlfn.XLOOKUP($B215,VmSpecs[[#All],[VM Name]],VmSpecs[[#All],[OS Disk Name]],"Failed",0,1),"Pass","Fail")</f>
        <v>Fail</v>
      </c>
      <c r="BI215" t="str" cm="1">
        <f t="array" ref="BI215">IF(W215=_xlfn.XLOOKUP($B215,VmSpecs[[#All],[VM Name]],VmSpecs[[#All],[OS Disk Size]],"Failed",0,1),"Pass","Fail")</f>
        <v>Fail</v>
      </c>
      <c r="BJ215" t="str" cm="1">
        <f t="array" ref="BJ215">IF(LEFT(X215,4)=LEFT(_xlfn.XLOOKUP($B215,VmSpecs[[#All],[VM Name]],VmSpecs[[#All],[OS Disk Type (Standard SSD etc)]],"Failed",0,1),4),"Pass","Fail")</f>
        <v>Fail</v>
      </c>
      <c r="BK215" t="str" cm="1">
        <f t="array" ref="BK215">IF(Z215=_xlfn.XLOOKUP($B215,VmSpecs[[#All],[VM Name]],VmSpecs[[#All],[Data Disk1 Name]],"Failed",0,1),"Pass","Fail")</f>
        <v>Fail</v>
      </c>
      <c r="BL215" t="str" cm="1">
        <f t="array" ref="BL215">IF(AA215=_xlfn.XLOOKUP($B215,VmSpecs[[#All],[VM Name]],VmSpecs[[#All],[Data Disk1 Size]],"Failed",0,1),"Pass","Fail")</f>
        <v>Fail</v>
      </c>
      <c r="BM215" t="str" cm="1">
        <f t="array" ref="BM215">IF(LEFT(AC215,4)=LEFT(_xlfn.XLOOKUP($B215,VmSpecs[[#All],[VM Name]],VmSpecs[[#All],[Data Disk1 Type]],"Failed",0,1),4),"Pass","Fail")</f>
        <v>Fail</v>
      </c>
      <c r="BO215" t="e">
        <f>VLOOKUP('VM Specs'!K215,'As Built'!B:B,1,FALSE)</f>
        <v>#N/A</v>
      </c>
      <c r="BP215" t="str">
        <f>IF(ISNA(Table613[[#This Row],[VM Build Sheet Check]]),'VM Specs'!K215,"")</f>
        <v>vmpfbpf2inj08</v>
      </c>
    </row>
    <row r="216" spans="1:68" ht="33" customHeight="1" x14ac:dyDescent="0.35">
      <c r="A216" t="str">
        <f>IF(COUNTIF(AsBuilt[[#This Row],[VM Check]:[Data Disk 1 Type Check]],"Fail")&gt;0,"Fail","Pass")</f>
        <v>Fail</v>
      </c>
      <c r="B216" t="s">
        <v>2268</v>
      </c>
      <c r="C216" t="s">
        <v>754</v>
      </c>
      <c r="D216" t="s">
        <v>2100</v>
      </c>
      <c r="E216" t="s">
        <v>756</v>
      </c>
      <c r="F216" t="s">
        <v>757</v>
      </c>
      <c r="G216" t="s">
        <v>758</v>
      </c>
      <c r="H216" t="s">
        <v>2211</v>
      </c>
      <c r="J216" t="s">
        <v>760</v>
      </c>
      <c r="K216" t="s">
        <v>2102</v>
      </c>
      <c r="L216" t="s">
        <v>754</v>
      </c>
      <c r="M216" t="s">
        <v>2269</v>
      </c>
      <c r="N216" t="s">
        <v>2104</v>
      </c>
      <c r="O216" t="s">
        <v>2105</v>
      </c>
      <c r="P216" t="s">
        <v>521</v>
      </c>
      <c r="R216" t="s">
        <v>2270</v>
      </c>
      <c r="S216" t="s">
        <v>754</v>
      </c>
      <c r="U216" t="s">
        <v>2271</v>
      </c>
      <c r="V216" t="s">
        <v>767</v>
      </c>
      <c r="W216">
        <v>128</v>
      </c>
      <c r="X216" t="s">
        <v>768</v>
      </c>
      <c r="Y216">
        <v>2</v>
      </c>
      <c r="Z216" t="s">
        <v>2272</v>
      </c>
      <c r="AA216">
        <v>8</v>
      </c>
      <c r="AB216" t="s">
        <v>770</v>
      </c>
      <c r="AC216" t="s">
        <v>768</v>
      </c>
      <c r="AD216" t="s">
        <v>2273</v>
      </c>
      <c r="AE216">
        <v>32</v>
      </c>
      <c r="AF216" t="s">
        <v>770</v>
      </c>
      <c r="AG216" t="s">
        <v>768</v>
      </c>
      <c r="AT216" t="s">
        <v>2217</v>
      </c>
      <c r="AU216" t="s">
        <v>2274</v>
      </c>
      <c r="AV216" t="str" cm="1">
        <f t="array" ref="AV216">IF(B216=_xlfn.XLOOKUP(B216,VmSpecs[[#All],[VM Name]],VmSpecs[[#All],[VM Name]],"Failed",0,1),"Pass","Fail")</f>
        <v>Fail</v>
      </c>
      <c r="AW216" t="str" cm="1">
        <f t="array" ref="AW216">IF(D216=_xlfn.XLOOKUP($B216,VmSpecs[[#All],[VM Name]],VmSpecs[[#All],[Virtual Machine Resource Groups]],"Failed",0,1),"Pass","Fail")</f>
        <v>Fail</v>
      </c>
      <c r="AX216" t="str" cm="1">
        <f t="array" ref="AX216">IF(_xlfn.IFS(E216="australiacentral","Australia Central 1",E216="australiaeast","Australia East",E216="australiasoutheast","Australia SouthEast")=_xlfn.XLOOKUP($B216,VmSpecs[[#All],[VM Name]],VmSpecs[[#All],[Region]],"Failed",0,1),"Pass","Fail")</f>
        <v>Fail</v>
      </c>
      <c r="AY216" t="str" cm="1">
        <f t="array" ref="AY216">IF(F216=_xlfn.XLOOKUP($B216,VmSpecs[[#All],[VM Name]],VmSpecs[[#All],[Instance size]],"Failed",0,1),"Pass","Fail")</f>
        <v>Fail</v>
      </c>
      <c r="AZ216" t="str" cm="1">
        <f t="array" ref="AZ216">IF(LOWER(H216)=_xlfn.XLOOKUP($B216,VmSpecs[[#All],[VM Name]],VmSpecs[[#All],[Availability Set Name]],"Failed",0,1),"Pass","Fail")</f>
        <v>Fail</v>
      </c>
      <c r="BA216" t="str" cm="1">
        <f t="array" ref="BA216">IF(J216=_xlfn.XLOOKUP($B216,VmSpecs[[#All],[VM Name]],VmSpecs[[#All],[Virtual Network]],"Failed",0,1),"Pass","Fail")</f>
        <v>Fail</v>
      </c>
      <c r="BB216" t="str" cm="1">
        <f t="array" ref="BB216">IF(K216=_xlfn.XLOOKUP($B216,VmSpecs[[#All],[VM Name]],VmSpecs[[#All],[Subnet]],"Failed",0,1),"Pass","Fail")</f>
        <v>Fail</v>
      </c>
      <c r="BC216" t="str" cm="1">
        <f t="array" ref="BC216">IF(M216=_xlfn.XLOOKUP($B216,VmSpecs[[#All],[VM Name]],VmSpecs[[#All],[IP]],"Failed",0,1),"Pass","Fail")</f>
        <v>Fail</v>
      </c>
      <c r="BD216" t="str" cm="1">
        <f t="array" ref="BD216">IF(N216=_xlfn.XLOOKUP($B216,VmSpecs[[#All],[VM Name]],VmSpecs[[#All],[Network Security Group]],"Failed",0,1),"Pass","Fail")</f>
        <v>Fail</v>
      </c>
      <c r="BE216" t="str" cm="1">
        <f t="array" ref="BE216">IF(O216=_xlfn.XLOOKUP($B216,VmSpecs[[#All],[VM Name]],VmSpecs[[#All],[Route Table Name]],"Failed",0,1),"Pass","Fail")</f>
        <v>Fail</v>
      </c>
      <c r="BF216" t="str" cm="1">
        <f t="array" ref="BF216">IF(P216=_xlfn.XLOOKUP($B216,VmSpecs[[#All],[VM Name]],VmSpecs[[#All],[Operating System]],"Failed",0,1),"Pass","Fail")</f>
        <v>Fail</v>
      </c>
      <c r="BG216" t="str" cm="1">
        <f t="array" ref="BG216">IF(R216=_xlfn.XLOOKUP($B216,VmSpecs[[#All],[VM Name]],VmSpecs[[#All],[NIC name]],"Failed",0,1),"Pass","Fail")</f>
        <v>Fail</v>
      </c>
      <c r="BH216" t="str" cm="1">
        <f t="array" ref="BH216">IF(U216=_xlfn.XLOOKUP($B216,VmSpecs[[#All],[VM Name]],VmSpecs[[#All],[OS Disk Name]],"Failed",0,1),"Pass","Fail")</f>
        <v>Fail</v>
      </c>
      <c r="BI216" t="str" cm="1">
        <f t="array" ref="BI216">IF(W216=_xlfn.XLOOKUP($B216,VmSpecs[[#All],[VM Name]],VmSpecs[[#All],[OS Disk Size]],"Failed",0,1),"Pass","Fail")</f>
        <v>Fail</v>
      </c>
      <c r="BJ216" t="str" cm="1">
        <f t="array" ref="BJ216">IF(LEFT(X216,4)=LEFT(_xlfn.XLOOKUP($B216,VmSpecs[[#All],[VM Name]],VmSpecs[[#All],[OS Disk Type (Standard SSD etc)]],"Failed",0,1),4),"Pass","Fail")</f>
        <v>Fail</v>
      </c>
      <c r="BK216" t="str" cm="1">
        <f t="array" ref="BK216">IF(Z216=_xlfn.XLOOKUP($B216,VmSpecs[[#All],[VM Name]],VmSpecs[[#All],[Data Disk1 Name]],"Failed",0,1),"Pass","Fail")</f>
        <v>Fail</v>
      </c>
      <c r="BL216" t="str" cm="1">
        <f t="array" ref="BL216">IF(AA216=_xlfn.XLOOKUP($B216,VmSpecs[[#All],[VM Name]],VmSpecs[[#All],[Data Disk1 Size]],"Failed",0,1),"Pass","Fail")</f>
        <v>Fail</v>
      </c>
      <c r="BM216" t="str" cm="1">
        <f t="array" ref="BM216">IF(LEFT(AC216,4)=LEFT(_xlfn.XLOOKUP($B216,VmSpecs[[#All],[VM Name]],VmSpecs[[#All],[Data Disk1 Type]],"Failed",0,1),4),"Pass","Fail")</f>
        <v>Fail</v>
      </c>
      <c r="BO216" t="e">
        <f>VLOOKUP('VM Specs'!K216,'As Built'!B:B,1,FALSE)</f>
        <v>#N/A</v>
      </c>
      <c r="BP216" t="str">
        <f>IF(ISNA(Table613[[#This Row],[VM Build Sheet Check]]),'VM Specs'!K216,"")</f>
        <v>vmpfbpf2inj09</v>
      </c>
    </row>
    <row r="217" spans="1:68" ht="33" customHeight="1" x14ac:dyDescent="0.35">
      <c r="A217" t="str">
        <f>IF(COUNTIF(AsBuilt[[#This Row],[VM Check]:[Data Disk 1 Type Check]],"Fail")&gt;0,"Fail","Pass")</f>
        <v>Fail</v>
      </c>
      <c r="B217" t="s">
        <v>2275</v>
      </c>
      <c r="C217" t="s">
        <v>754</v>
      </c>
      <c r="D217" t="s">
        <v>2100</v>
      </c>
      <c r="E217" t="s">
        <v>756</v>
      </c>
      <c r="F217" t="s">
        <v>757</v>
      </c>
      <c r="G217" t="s">
        <v>758</v>
      </c>
      <c r="H217" t="s">
        <v>2211</v>
      </c>
      <c r="J217" t="s">
        <v>760</v>
      </c>
      <c r="K217" t="s">
        <v>2102</v>
      </c>
      <c r="L217" t="s">
        <v>754</v>
      </c>
      <c r="M217" t="s">
        <v>2276</v>
      </c>
      <c r="N217" t="s">
        <v>2104</v>
      </c>
      <c r="O217" t="s">
        <v>2105</v>
      </c>
      <c r="P217" t="s">
        <v>521</v>
      </c>
      <c r="R217" t="s">
        <v>2277</v>
      </c>
      <c r="S217" t="s">
        <v>754</v>
      </c>
      <c r="U217" t="s">
        <v>2278</v>
      </c>
      <c r="V217" t="s">
        <v>767</v>
      </c>
      <c r="W217">
        <v>128</v>
      </c>
      <c r="X217" t="s">
        <v>768</v>
      </c>
      <c r="Y217">
        <v>2</v>
      </c>
      <c r="Z217" t="s">
        <v>2279</v>
      </c>
      <c r="AA217">
        <v>8</v>
      </c>
      <c r="AB217" t="s">
        <v>770</v>
      </c>
      <c r="AC217" t="s">
        <v>768</v>
      </c>
      <c r="AD217" t="s">
        <v>2280</v>
      </c>
      <c r="AE217">
        <v>32</v>
      </c>
      <c r="AF217" t="s">
        <v>770</v>
      </c>
      <c r="AG217" t="s">
        <v>768</v>
      </c>
      <c r="AT217" t="s">
        <v>2217</v>
      </c>
      <c r="AU217" t="s">
        <v>2281</v>
      </c>
      <c r="AV217" t="str" cm="1">
        <f t="array" ref="AV217">IF(B217=_xlfn.XLOOKUP(B217,VmSpecs[[#All],[VM Name]],VmSpecs[[#All],[VM Name]],"Failed",0,1),"Pass","Fail")</f>
        <v>Fail</v>
      </c>
      <c r="AW217" t="str" cm="1">
        <f t="array" ref="AW217">IF(D217=_xlfn.XLOOKUP($B217,VmSpecs[[#All],[VM Name]],VmSpecs[[#All],[Virtual Machine Resource Groups]],"Failed",0,1),"Pass","Fail")</f>
        <v>Fail</v>
      </c>
      <c r="AX217" t="str" cm="1">
        <f t="array" ref="AX217">IF(_xlfn.IFS(E217="australiacentral","Australia Central 1",E217="australiaeast","Australia East",E217="australiasoutheast","Australia SouthEast")=_xlfn.XLOOKUP($B217,VmSpecs[[#All],[VM Name]],VmSpecs[[#All],[Region]],"Failed",0,1),"Pass","Fail")</f>
        <v>Fail</v>
      </c>
      <c r="AY217" t="str" cm="1">
        <f t="array" ref="AY217">IF(F217=_xlfn.XLOOKUP($B217,VmSpecs[[#All],[VM Name]],VmSpecs[[#All],[Instance size]],"Failed",0,1),"Pass","Fail")</f>
        <v>Fail</v>
      </c>
      <c r="AZ217" t="str" cm="1">
        <f t="array" ref="AZ217">IF(LOWER(H217)=_xlfn.XLOOKUP($B217,VmSpecs[[#All],[VM Name]],VmSpecs[[#All],[Availability Set Name]],"Failed",0,1),"Pass","Fail")</f>
        <v>Fail</v>
      </c>
      <c r="BA217" t="str" cm="1">
        <f t="array" ref="BA217">IF(J217=_xlfn.XLOOKUP($B217,VmSpecs[[#All],[VM Name]],VmSpecs[[#All],[Virtual Network]],"Failed",0,1),"Pass","Fail")</f>
        <v>Fail</v>
      </c>
      <c r="BB217" t="str" cm="1">
        <f t="array" ref="BB217">IF(K217=_xlfn.XLOOKUP($B217,VmSpecs[[#All],[VM Name]],VmSpecs[[#All],[Subnet]],"Failed",0,1),"Pass","Fail")</f>
        <v>Fail</v>
      </c>
      <c r="BC217" t="str" cm="1">
        <f t="array" ref="BC217">IF(M217=_xlfn.XLOOKUP($B217,VmSpecs[[#All],[VM Name]],VmSpecs[[#All],[IP]],"Failed",0,1),"Pass","Fail")</f>
        <v>Fail</v>
      </c>
      <c r="BD217" t="str" cm="1">
        <f t="array" ref="BD217">IF(N217=_xlfn.XLOOKUP($B217,VmSpecs[[#All],[VM Name]],VmSpecs[[#All],[Network Security Group]],"Failed",0,1),"Pass","Fail")</f>
        <v>Fail</v>
      </c>
      <c r="BE217" t="str" cm="1">
        <f t="array" ref="BE217">IF(O217=_xlfn.XLOOKUP($B217,VmSpecs[[#All],[VM Name]],VmSpecs[[#All],[Route Table Name]],"Failed",0,1),"Pass","Fail")</f>
        <v>Fail</v>
      </c>
      <c r="BF217" t="str" cm="1">
        <f t="array" ref="BF217">IF(P217=_xlfn.XLOOKUP($B217,VmSpecs[[#All],[VM Name]],VmSpecs[[#All],[Operating System]],"Failed",0,1),"Pass","Fail")</f>
        <v>Fail</v>
      </c>
      <c r="BG217" t="str" cm="1">
        <f t="array" ref="BG217">IF(R217=_xlfn.XLOOKUP($B217,VmSpecs[[#All],[VM Name]],VmSpecs[[#All],[NIC name]],"Failed",0,1),"Pass","Fail")</f>
        <v>Fail</v>
      </c>
      <c r="BH217" t="str" cm="1">
        <f t="array" ref="BH217">IF(U217=_xlfn.XLOOKUP($B217,VmSpecs[[#All],[VM Name]],VmSpecs[[#All],[OS Disk Name]],"Failed",0,1),"Pass","Fail")</f>
        <v>Fail</v>
      </c>
      <c r="BI217" t="str" cm="1">
        <f t="array" ref="BI217">IF(W217=_xlfn.XLOOKUP($B217,VmSpecs[[#All],[VM Name]],VmSpecs[[#All],[OS Disk Size]],"Failed",0,1),"Pass","Fail")</f>
        <v>Fail</v>
      </c>
      <c r="BJ217" t="str" cm="1">
        <f t="array" ref="BJ217">IF(LEFT(X217,4)=LEFT(_xlfn.XLOOKUP($B217,VmSpecs[[#All],[VM Name]],VmSpecs[[#All],[OS Disk Type (Standard SSD etc)]],"Failed",0,1),4),"Pass","Fail")</f>
        <v>Fail</v>
      </c>
      <c r="BK217" t="str" cm="1">
        <f t="array" ref="BK217">IF(Z217=_xlfn.XLOOKUP($B217,VmSpecs[[#All],[VM Name]],VmSpecs[[#All],[Data Disk1 Name]],"Failed",0,1),"Pass","Fail")</f>
        <v>Fail</v>
      </c>
      <c r="BL217" t="str" cm="1">
        <f t="array" ref="BL217">IF(AA217=_xlfn.XLOOKUP($B217,VmSpecs[[#All],[VM Name]],VmSpecs[[#All],[Data Disk1 Size]],"Failed",0,1),"Pass","Fail")</f>
        <v>Fail</v>
      </c>
      <c r="BM217" t="str" cm="1">
        <f t="array" ref="BM217">IF(LEFT(AC217,4)=LEFT(_xlfn.XLOOKUP($B217,VmSpecs[[#All],[VM Name]],VmSpecs[[#All],[Data Disk1 Type]],"Failed",0,1),4),"Pass","Fail")</f>
        <v>Fail</v>
      </c>
      <c r="BO217" t="e">
        <f>VLOOKUP('VM Specs'!K217,'As Built'!B:B,1,FALSE)</f>
        <v>#N/A</v>
      </c>
      <c r="BP217" t="str">
        <f>IF(ISNA(Table613[[#This Row],[VM Build Sheet Check]]),'VM Specs'!K217,"")</f>
        <v>vmpfbpf2inj10</v>
      </c>
    </row>
    <row r="218" spans="1:68" ht="33" customHeight="1" x14ac:dyDescent="0.35">
      <c r="A218" t="str">
        <f>IF(COUNTIF(AsBuilt[[#This Row],[VM Check]:[Data Disk 1 Type Check]],"Fail")&gt;0,"Fail","Pass")</f>
        <v>Fail</v>
      </c>
      <c r="B218" t="s">
        <v>2282</v>
      </c>
      <c r="C218" t="s">
        <v>754</v>
      </c>
      <c r="D218" t="s">
        <v>2100</v>
      </c>
      <c r="E218" t="s">
        <v>756</v>
      </c>
      <c r="F218" t="s">
        <v>757</v>
      </c>
      <c r="G218" t="s">
        <v>758</v>
      </c>
      <c r="H218" t="s">
        <v>2211</v>
      </c>
      <c r="J218" t="s">
        <v>760</v>
      </c>
      <c r="K218" t="s">
        <v>2102</v>
      </c>
      <c r="L218" t="s">
        <v>754</v>
      </c>
      <c r="M218" t="s">
        <v>2283</v>
      </c>
      <c r="N218" t="s">
        <v>2104</v>
      </c>
      <c r="O218" t="s">
        <v>2105</v>
      </c>
      <c r="P218" t="s">
        <v>521</v>
      </c>
      <c r="R218" t="s">
        <v>2284</v>
      </c>
      <c r="S218" t="s">
        <v>754</v>
      </c>
      <c r="U218" t="s">
        <v>2285</v>
      </c>
      <c r="V218" t="s">
        <v>767</v>
      </c>
      <c r="W218">
        <v>128</v>
      </c>
      <c r="X218" t="s">
        <v>768</v>
      </c>
      <c r="Y218">
        <v>2</v>
      </c>
      <c r="Z218" t="s">
        <v>2286</v>
      </c>
      <c r="AA218">
        <v>8</v>
      </c>
      <c r="AB218" t="s">
        <v>770</v>
      </c>
      <c r="AC218" t="s">
        <v>768</v>
      </c>
      <c r="AD218" t="s">
        <v>2287</v>
      </c>
      <c r="AE218">
        <v>32</v>
      </c>
      <c r="AF218" t="s">
        <v>770</v>
      </c>
      <c r="AG218" t="s">
        <v>768</v>
      </c>
      <c r="AT218" t="s">
        <v>2217</v>
      </c>
      <c r="AU218" t="s">
        <v>2288</v>
      </c>
      <c r="AV218" t="str" cm="1">
        <f t="array" ref="AV218">IF(B218=_xlfn.XLOOKUP(B218,VmSpecs[[#All],[VM Name]],VmSpecs[[#All],[VM Name]],"Failed",0,1),"Pass","Fail")</f>
        <v>Fail</v>
      </c>
      <c r="AW218" t="str" cm="1">
        <f t="array" ref="AW218">IF(D218=_xlfn.XLOOKUP($B218,VmSpecs[[#All],[VM Name]],VmSpecs[[#All],[Virtual Machine Resource Groups]],"Failed",0,1),"Pass","Fail")</f>
        <v>Fail</v>
      </c>
      <c r="AX218" t="str" cm="1">
        <f t="array" ref="AX218">IF(_xlfn.IFS(E218="australiacentral","Australia Central 1",E218="australiaeast","Australia East",E218="australiasoutheast","Australia SouthEast")=_xlfn.XLOOKUP($B218,VmSpecs[[#All],[VM Name]],VmSpecs[[#All],[Region]],"Failed",0,1),"Pass","Fail")</f>
        <v>Fail</v>
      </c>
      <c r="AY218" t="str" cm="1">
        <f t="array" ref="AY218">IF(F218=_xlfn.XLOOKUP($B218,VmSpecs[[#All],[VM Name]],VmSpecs[[#All],[Instance size]],"Failed",0,1),"Pass","Fail")</f>
        <v>Fail</v>
      </c>
      <c r="AZ218" t="str" cm="1">
        <f t="array" ref="AZ218">IF(LOWER(H218)=_xlfn.XLOOKUP($B218,VmSpecs[[#All],[VM Name]],VmSpecs[[#All],[Availability Set Name]],"Failed",0,1),"Pass","Fail")</f>
        <v>Fail</v>
      </c>
      <c r="BA218" t="str" cm="1">
        <f t="array" ref="BA218">IF(J218=_xlfn.XLOOKUP($B218,VmSpecs[[#All],[VM Name]],VmSpecs[[#All],[Virtual Network]],"Failed",0,1),"Pass","Fail")</f>
        <v>Fail</v>
      </c>
      <c r="BB218" t="str" cm="1">
        <f t="array" ref="BB218">IF(K218=_xlfn.XLOOKUP($B218,VmSpecs[[#All],[VM Name]],VmSpecs[[#All],[Subnet]],"Failed",0,1),"Pass","Fail")</f>
        <v>Fail</v>
      </c>
      <c r="BC218" t="str" cm="1">
        <f t="array" ref="BC218">IF(M218=_xlfn.XLOOKUP($B218,VmSpecs[[#All],[VM Name]],VmSpecs[[#All],[IP]],"Failed",0,1),"Pass","Fail")</f>
        <v>Fail</v>
      </c>
      <c r="BD218" t="str" cm="1">
        <f t="array" ref="BD218">IF(N218=_xlfn.XLOOKUP($B218,VmSpecs[[#All],[VM Name]],VmSpecs[[#All],[Network Security Group]],"Failed",0,1),"Pass","Fail")</f>
        <v>Fail</v>
      </c>
      <c r="BE218" t="str" cm="1">
        <f t="array" ref="BE218">IF(O218=_xlfn.XLOOKUP($B218,VmSpecs[[#All],[VM Name]],VmSpecs[[#All],[Route Table Name]],"Failed",0,1),"Pass","Fail")</f>
        <v>Fail</v>
      </c>
      <c r="BF218" t="str" cm="1">
        <f t="array" ref="BF218">IF(P218=_xlfn.XLOOKUP($B218,VmSpecs[[#All],[VM Name]],VmSpecs[[#All],[Operating System]],"Failed",0,1),"Pass","Fail")</f>
        <v>Fail</v>
      </c>
      <c r="BG218" t="str" cm="1">
        <f t="array" ref="BG218">IF(R218=_xlfn.XLOOKUP($B218,VmSpecs[[#All],[VM Name]],VmSpecs[[#All],[NIC name]],"Failed",0,1),"Pass","Fail")</f>
        <v>Fail</v>
      </c>
      <c r="BH218" t="str" cm="1">
        <f t="array" ref="BH218">IF(U218=_xlfn.XLOOKUP($B218,VmSpecs[[#All],[VM Name]],VmSpecs[[#All],[OS Disk Name]],"Failed",0,1),"Pass","Fail")</f>
        <v>Fail</v>
      </c>
      <c r="BI218" t="str" cm="1">
        <f t="array" ref="BI218">IF(W218=_xlfn.XLOOKUP($B218,VmSpecs[[#All],[VM Name]],VmSpecs[[#All],[OS Disk Size]],"Failed",0,1),"Pass","Fail")</f>
        <v>Fail</v>
      </c>
      <c r="BJ218" t="str" cm="1">
        <f t="array" ref="BJ218">IF(LEFT(X218,4)=LEFT(_xlfn.XLOOKUP($B218,VmSpecs[[#All],[VM Name]],VmSpecs[[#All],[OS Disk Type (Standard SSD etc)]],"Failed",0,1),4),"Pass","Fail")</f>
        <v>Fail</v>
      </c>
      <c r="BK218" t="str" cm="1">
        <f t="array" ref="BK218">IF(Z218=_xlfn.XLOOKUP($B218,VmSpecs[[#All],[VM Name]],VmSpecs[[#All],[Data Disk1 Name]],"Failed",0,1),"Pass","Fail")</f>
        <v>Fail</v>
      </c>
      <c r="BL218" t="str" cm="1">
        <f t="array" ref="BL218">IF(AA218=_xlfn.XLOOKUP($B218,VmSpecs[[#All],[VM Name]],VmSpecs[[#All],[Data Disk1 Size]],"Failed",0,1),"Pass","Fail")</f>
        <v>Fail</v>
      </c>
      <c r="BM218" t="str" cm="1">
        <f t="array" ref="BM218">IF(LEFT(AC218,4)=LEFT(_xlfn.XLOOKUP($B218,VmSpecs[[#All],[VM Name]],VmSpecs[[#All],[Data Disk1 Type]],"Failed",0,1),4),"Pass","Fail")</f>
        <v>Fail</v>
      </c>
      <c r="BO218" t="e">
        <f>VLOOKUP('VM Specs'!K218,'As Built'!B:B,1,FALSE)</f>
        <v>#N/A</v>
      </c>
      <c r="BP218" t="str">
        <f>IF(ISNA(Table613[[#This Row],[VM Build Sheet Check]]),'VM Specs'!K218,"")</f>
        <v>vmpfbpf2inj11</v>
      </c>
    </row>
    <row r="219" spans="1:68" ht="33" customHeight="1" x14ac:dyDescent="0.35">
      <c r="A219" t="str">
        <f>IF(COUNTIF(AsBuilt[[#This Row],[VM Check]:[Data Disk 1 Type Check]],"Fail")&gt;0,"Fail","Pass")</f>
        <v>Fail</v>
      </c>
      <c r="B219" t="s">
        <v>2289</v>
      </c>
      <c r="C219" t="s">
        <v>754</v>
      </c>
      <c r="D219" t="s">
        <v>2100</v>
      </c>
      <c r="E219" t="s">
        <v>756</v>
      </c>
      <c r="F219" t="s">
        <v>757</v>
      </c>
      <c r="G219" t="s">
        <v>758</v>
      </c>
      <c r="H219" t="s">
        <v>2211</v>
      </c>
      <c r="J219" t="s">
        <v>760</v>
      </c>
      <c r="K219" t="s">
        <v>2102</v>
      </c>
      <c r="L219" t="s">
        <v>754</v>
      </c>
      <c r="M219" t="s">
        <v>2290</v>
      </c>
      <c r="N219" t="s">
        <v>2104</v>
      </c>
      <c r="O219" t="s">
        <v>2105</v>
      </c>
      <c r="P219" t="s">
        <v>521</v>
      </c>
      <c r="R219" t="s">
        <v>2291</v>
      </c>
      <c r="S219" t="s">
        <v>754</v>
      </c>
      <c r="U219" t="s">
        <v>2292</v>
      </c>
      <c r="V219" t="s">
        <v>767</v>
      </c>
      <c r="W219">
        <v>128</v>
      </c>
      <c r="X219" t="s">
        <v>768</v>
      </c>
      <c r="Y219">
        <v>2</v>
      </c>
      <c r="Z219" t="s">
        <v>2293</v>
      </c>
      <c r="AA219">
        <v>8</v>
      </c>
      <c r="AB219" t="s">
        <v>770</v>
      </c>
      <c r="AC219" t="s">
        <v>768</v>
      </c>
      <c r="AD219" t="s">
        <v>2294</v>
      </c>
      <c r="AE219">
        <v>32</v>
      </c>
      <c r="AF219" t="s">
        <v>770</v>
      </c>
      <c r="AG219" t="s">
        <v>768</v>
      </c>
      <c r="AT219" t="s">
        <v>2217</v>
      </c>
      <c r="AU219" t="s">
        <v>2295</v>
      </c>
      <c r="AV219" t="str" cm="1">
        <f t="array" ref="AV219">IF(B219=_xlfn.XLOOKUP(B219,VmSpecs[[#All],[VM Name]],VmSpecs[[#All],[VM Name]],"Failed",0,1),"Pass","Fail")</f>
        <v>Fail</v>
      </c>
      <c r="AW219" t="str" cm="1">
        <f t="array" ref="AW219">IF(D219=_xlfn.XLOOKUP($B219,VmSpecs[[#All],[VM Name]],VmSpecs[[#All],[Virtual Machine Resource Groups]],"Failed",0,1),"Pass","Fail")</f>
        <v>Fail</v>
      </c>
      <c r="AX219" t="str" cm="1">
        <f t="array" ref="AX219">IF(_xlfn.IFS(E219="australiacentral","Australia Central 1",E219="australiaeast","Australia East",E219="australiasoutheast","Australia SouthEast")=_xlfn.XLOOKUP($B219,VmSpecs[[#All],[VM Name]],VmSpecs[[#All],[Region]],"Failed",0,1),"Pass","Fail")</f>
        <v>Fail</v>
      </c>
      <c r="AY219" t="str" cm="1">
        <f t="array" ref="AY219">IF(F219=_xlfn.XLOOKUP($B219,VmSpecs[[#All],[VM Name]],VmSpecs[[#All],[Instance size]],"Failed",0,1),"Pass","Fail")</f>
        <v>Fail</v>
      </c>
      <c r="AZ219" t="str" cm="1">
        <f t="array" ref="AZ219">IF(LOWER(H219)=_xlfn.XLOOKUP($B219,VmSpecs[[#All],[VM Name]],VmSpecs[[#All],[Availability Set Name]],"Failed",0,1),"Pass","Fail")</f>
        <v>Fail</v>
      </c>
      <c r="BA219" t="str" cm="1">
        <f t="array" ref="BA219">IF(J219=_xlfn.XLOOKUP($B219,VmSpecs[[#All],[VM Name]],VmSpecs[[#All],[Virtual Network]],"Failed",0,1),"Pass","Fail")</f>
        <v>Fail</v>
      </c>
      <c r="BB219" t="str" cm="1">
        <f t="array" ref="BB219">IF(K219=_xlfn.XLOOKUP($B219,VmSpecs[[#All],[VM Name]],VmSpecs[[#All],[Subnet]],"Failed",0,1),"Pass","Fail")</f>
        <v>Fail</v>
      </c>
      <c r="BC219" t="str" cm="1">
        <f t="array" ref="BC219">IF(M219=_xlfn.XLOOKUP($B219,VmSpecs[[#All],[VM Name]],VmSpecs[[#All],[IP]],"Failed",0,1),"Pass","Fail")</f>
        <v>Fail</v>
      </c>
      <c r="BD219" t="str" cm="1">
        <f t="array" ref="BD219">IF(N219=_xlfn.XLOOKUP($B219,VmSpecs[[#All],[VM Name]],VmSpecs[[#All],[Network Security Group]],"Failed",0,1),"Pass","Fail")</f>
        <v>Fail</v>
      </c>
      <c r="BE219" t="str" cm="1">
        <f t="array" ref="BE219">IF(O219=_xlfn.XLOOKUP($B219,VmSpecs[[#All],[VM Name]],VmSpecs[[#All],[Route Table Name]],"Failed",0,1),"Pass","Fail")</f>
        <v>Fail</v>
      </c>
      <c r="BF219" t="str" cm="1">
        <f t="array" ref="BF219">IF(P219=_xlfn.XLOOKUP($B219,VmSpecs[[#All],[VM Name]],VmSpecs[[#All],[Operating System]],"Failed",0,1),"Pass","Fail")</f>
        <v>Fail</v>
      </c>
      <c r="BG219" t="str" cm="1">
        <f t="array" ref="BG219">IF(R219=_xlfn.XLOOKUP($B219,VmSpecs[[#All],[VM Name]],VmSpecs[[#All],[NIC name]],"Failed",0,1),"Pass","Fail")</f>
        <v>Fail</v>
      </c>
      <c r="BH219" t="str" cm="1">
        <f t="array" ref="BH219">IF(U219=_xlfn.XLOOKUP($B219,VmSpecs[[#All],[VM Name]],VmSpecs[[#All],[OS Disk Name]],"Failed",0,1),"Pass","Fail")</f>
        <v>Fail</v>
      </c>
      <c r="BI219" t="str" cm="1">
        <f t="array" ref="BI219">IF(W219=_xlfn.XLOOKUP($B219,VmSpecs[[#All],[VM Name]],VmSpecs[[#All],[OS Disk Size]],"Failed",0,1),"Pass","Fail")</f>
        <v>Fail</v>
      </c>
      <c r="BJ219" t="str" cm="1">
        <f t="array" ref="BJ219">IF(LEFT(X219,4)=LEFT(_xlfn.XLOOKUP($B219,VmSpecs[[#All],[VM Name]],VmSpecs[[#All],[OS Disk Type (Standard SSD etc)]],"Failed",0,1),4),"Pass","Fail")</f>
        <v>Fail</v>
      </c>
      <c r="BK219" t="str" cm="1">
        <f t="array" ref="BK219">IF(Z219=_xlfn.XLOOKUP($B219,VmSpecs[[#All],[VM Name]],VmSpecs[[#All],[Data Disk1 Name]],"Failed",0,1),"Pass","Fail")</f>
        <v>Fail</v>
      </c>
      <c r="BL219" t="str" cm="1">
        <f t="array" ref="BL219">IF(AA219=_xlfn.XLOOKUP($B219,VmSpecs[[#All],[VM Name]],VmSpecs[[#All],[Data Disk1 Size]],"Failed",0,1),"Pass","Fail")</f>
        <v>Fail</v>
      </c>
      <c r="BM219" t="str" cm="1">
        <f t="array" ref="BM219">IF(LEFT(AC219,4)=LEFT(_xlfn.XLOOKUP($B219,VmSpecs[[#All],[VM Name]],VmSpecs[[#All],[Data Disk1 Type]],"Failed",0,1),4),"Pass","Fail")</f>
        <v>Fail</v>
      </c>
      <c r="BO219" t="e">
        <f>VLOOKUP('VM Specs'!K219,'As Built'!B:B,1,FALSE)</f>
        <v>#N/A</v>
      </c>
      <c r="BP219" t="str">
        <f>IF(ISNA(Table613[[#This Row],[VM Build Sheet Check]]),'VM Specs'!K219,"")</f>
        <v>vmpfbpf2inj12</v>
      </c>
    </row>
    <row r="220" spans="1:68" ht="33" customHeight="1" x14ac:dyDescent="0.35">
      <c r="A220" t="str">
        <f>IF(COUNTIF(AsBuilt[[#This Row],[VM Check]:[Data Disk 1 Type Check]],"Fail")&gt;0,"Fail","Pass")</f>
        <v>Fail</v>
      </c>
      <c r="B220" t="s">
        <v>2296</v>
      </c>
      <c r="C220" t="s">
        <v>754</v>
      </c>
      <c r="D220" t="s">
        <v>2100</v>
      </c>
      <c r="E220" t="s">
        <v>756</v>
      </c>
      <c r="F220" t="s">
        <v>757</v>
      </c>
      <c r="G220" t="s">
        <v>758</v>
      </c>
      <c r="H220" t="s">
        <v>2211</v>
      </c>
      <c r="J220" t="s">
        <v>760</v>
      </c>
      <c r="K220" t="s">
        <v>2102</v>
      </c>
      <c r="L220" t="s">
        <v>754</v>
      </c>
      <c r="M220" t="s">
        <v>2297</v>
      </c>
      <c r="N220" t="s">
        <v>2104</v>
      </c>
      <c r="O220" t="s">
        <v>2105</v>
      </c>
      <c r="P220" t="s">
        <v>521</v>
      </c>
      <c r="R220" t="s">
        <v>2298</v>
      </c>
      <c r="S220" t="s">
        <v>754</v>
      </c>
      <c r="U220" t="s">
        <v>2299</v>
      </c>
      <c r="V220" t="s">
        <v>767</v>
      </c>
      <c r="W220">
        <v>128</v>
      </c>
      <c r="X220" t="s">
        <v>768</v>
      </c>
      <c r="Y220">
        <v>2</v>
      </c>
      <c r="Z220" t="s">
        <v>2300</v>
      </c>
      <c r="AA220">
        <v>8</v>
      </c>
      <c r="AB220" t="s">
        <v>770</v>
      </c>
      <c r="AC220" t="s">
        <v>768</v>
      </c>
      <c r="AD220" t="s">
        <v>2301</v>
      </c>
      <c r="AE220">
        <v>32</v>
      </c>
      <c r="AF220" t="s">
        <v>770</v>
      </c>
      <c r="AG220" t="s">
        <v>768</v>
      </c>
      <c r="AT220" t="s">
        <v>2217</v>
      </c>
      <c r="AU220" t="s">
        <v>2302</v>
      </c>
      <c r="AV220" t="str" cm="1">
        <f t="array" ref="AV220">IF(B220=_xlfn.XLOOKUP(B220,VmSpecs[[#All],[VM Name]],VmSpecs[[#All],[VM Name]],"Failed",0,1),"Pass","Fail")</f>
        <v>Fail</v>
      </c>
      <c r="AW220" t="str" cm="1">
        <f t="array" ref="AW220">IF(D220=_xlfn.XLOOKUP($B220,VmSpecs[[#All],[VM Name]],VmSpecs[[#All],[Virtual Machine Resource Groups]],"Failed",0,1),"Pass","Fail")</f>
        <v>Fail</v>
      </c>
      <c r="AX220" t="str" cm="1">
        <f t="array" ref="AX220">IF(_xlfn.IFS(E220="australiacentral","Australia Central 1",E220="australiaeast","Australia East",E220="australiasoutheast","Australia SouthEast")=_xlfn.XLOOKUP($B220,VmSpecs[[#All],[VM Name]],VmSpecs[[#All],[Region]],"Failed",0,1),"Pass","Fail")</f>
        <v>Fail</v>
      </c>
      <c r="AY220" t="str" cm="1">
        <f t="array" ref="AY220">IF(F220=_xlfn.XLOOKUP($B220,VmSpecs[[#All],[VM Name]],VmSpecs[[#All],[Instance size]],"Failed",0,1),"Pass","Fail")</f>
        <v>Fail</v>
      </c>
      <c r="AZ220" t="str" cm="1">
        <f t="array" ref="AZ220">IF(LOWER(H220)=_xlfn.XLOOKUP($B220,VmSpecs[[#All],[VM Name]],VmSpecs[[#All],[Availability Set Name]],"Failed",0,1),"Pass","Fail")</f>
        <v>Fail</v>
      </c>
      <c r="BA220" t="str" cm="1">
        <f t="array" ref="BA220">IF(J220=_xlfn.XLOOKUP($B220,VmSpecs[[#All],[VM Name]],VmSpecs[[#All],[Virtual Network]],"Failed",0,1),"Pass","Fail")</f>
        <v>Fail</v>
      </c>
      <c r="BB220" t="str" cm="1">
        <f t="array" ref="BB220">IF(K220=_xlfn.XLOOKUP($B220,VmSpecs[[#All],[VM Name]],VmSpecs[[#All],[Subnet]],"Failed",0,1),"Pass","Fail")</f>
        <v>Fail</v>
      </c>
      <c r="BC220" t="str" cm="1">
        <f t="array" ref="BC220">IF(M220=_xlfn.XLOOKUP($B220,VmSpecs[[#All],[VM Name]],VmSpecs[[#All],[IP]],"Failed",0,1),"Pass","Fail")</f>
        <v>Fail</v>
      </c>
      <c r="BD220" t="str" cm="1">
        <f t="array" ref="BD220">IF(N220=_xlfn.XLOOKUP($B220,VmSpecs[[#All],[VM Name]],VmSpecs[[#All],[Network Security Group]],"Failed",0,1),"Pass","Fail")</f>
        <v>Fail</v>
      </c>
      <c r="BE220" t="str" cm="1">
        <f t="array" ref="BE220">IF(O220=_xlfn.XLOOKUP($B220,VmSpecs[[#All],[VM Name]],VmSpecs[[#All],[Route Table Name]],"Failed",0,1),"Pass","Fail")</f>
        <v>Fail</v>
      </c>
      <c r="BF220" t="str" cm="1">
        <f t="array" ref="BF220">IF(P220=_xlfn.XLOOKUP($B220,VmSpecs[[#All],[VM Name]],VmSpecs[[#All],[Operating System]],"Failed",0,1),"Pass","Fail")</f>
        <v>Fail</v>
      </c>
      <c r="BG220" t="str" cm="1">
        <f t="array" ref="BG220">IF(R220=_xlfn.XLOOKUP($B220,VmSpecs[[#All],[VM Name]],VmSpecs[[#All],[NIC name]],"Failed",0,1),"Pass","Fail")</f>
        <v>Fail</v>
      </c>
      <c r="BH220" t="str" cm="1">
        <f t="array" ref="BH220">IF(U220=_xlfn.XLOOKUP($B220,VmSpecs[[#All],[VM Name]],VmSpecs[[#All],[OS Disk Name]],"Failed",0,1),"Pass","Fail")</f>
        <v>Fail</v>
      </c>
      <c r="BI220" t="str" cm="1">
        <f t="array" ref="BI220">IF(W220=_xlfn.XLOOKUP($B220,VmSpecs[[#All],[VM Name]],VmSpecs[[#All],[OS Disk Size]],"Failed",0,1),"Pass","Fail")</f>
        <v>Fail</v>
      </c>
      <c r="BJ220" t="str" cm="1">
        <f t="array" ref="BJ220">IF(LEFT(X220,4)=LEFT(_xlfn.XLOOKUP($B220,VmSpecs[[#All],[VM Name]],VmSpecs[[#All],[OS Disk Type (Standard SSD etc)]],"Failed",0,1),4),"Pass","Fail")</f>
        <v>Fail</v>
      </c>
      <c r="BK220" t="str" cm="1">
        <f t="array" ref="BK220">IF(Z220=_xlfn.XLOOKUP($B220,VmSpecs[[#All],[VM Name]],VmSpecs[[#All],[Data Disk1 Name]],"Failed",0,1),"Pass","Fail")</f>
        <v>Fail</v>
      </c>
      <c r="BL220" t="str" cm="1">
        <f t="array" ref="BL220">IF(AA220=_xlfn.XLOOKUP($B220,VmSpecs[[#All],[VM Name]],VmSpecs[[#All],[Data Disk1 Size]],"Failed",0,1),"Pass","Fail")</f>
        <v>Fail</v>
      </c>
      <c r="BM220" t="str" cm="1">
        <f t="array" ref="BM220">IF(LEFT(AC220,4)=LEFT(_xlfn.XLOOKUP($B220,VmSpecs[[#All],[VM Name]],VmSpecs[[#All],[Data Disk1 Type]],"Failed",0,1),4),"Pass","Fail")</f>
        <v>Fail</v>
      </c>
      <c r="BO220" t="e">
        <f>VLOOKUP('VM Specs'!K220,'As Built'!B:B,1,FALSE)</f>
        <v>#N/A</v>
      </c>
      <c r="BP220" t="str">
        <f>IF(ISNA(Table613[[#This Row],[VM Build Sheet Check]]),'VM Specs'!K220,"")</f>
        <v>vmpfbpf2inj13</v>
      </c>
    </row>
    <row r="221" spans="1:68" ht="33" customHeight="1" x14ac:dyDescent="0.35">
      <c r="A221" t="str">
        <f>IF(COUNTIF(AsBuilt[[#This Row],[VM Check]:[Data Disk 1 Type Check]],"Fail")&gt;0,"Fail","Pass")</f>
        <v>Fail</v>
      </c>
      <c r="B221" t="s">
        <v>2303</v>
      </c>
      <c r="C221" t="s">
        <v>754</v>
      </c>
      <c r="D221" t="s">
        <v>2100</v>
      </c>
      <c r="E221" t="s">
        <v>756</v>
      </c>
      <c r="F221" t="s">
        <v>757</v>
      </c>
      <c r="G221" t="s">
        <v>758</v>
      </c>
      <c r="H221" t="s">
        <v>2211</v>
      </c>
      <c r="J221" t="s">
        <v>760</v>
      </c>
      <c r="K221" t="s">
        <v>2102</v>
      </c>
      <c r="L221" t="s">
        <v>754</v>
      </c>
      <c r="M221" t="s">
        <v>2304</v>
      </c>
      <c r="N221" t="s">
        <v>2104</v>
      </c>
      <c r="O221" t="s">
        <v>2105</v>
      </c>
      <c r="P221" t="s">
        <v>521</v>
      </c>
      <c r="R221" t="s">
        <v>2305</v>
      </c>
      <c r="S221" t="s">
        <v>754</v>
      </c>
      <c r="U221" t="s">
        <v>2306</v>
      </c>
      <c r="V221" t="s">
        <v>767</v>
      </c>
      <c r="W221">
        <v>128</v>
      </c>
      <c r="X221" t="s">
        <v>768</v>
      </c>
      <c r="Y221">
        <v>2</v>
      </c>
      <c r="Z221" t="s">
        <v>2307</v>
      </c>
      <c r="AA221">
        <v>8</v>
      </c>
      <c r="AB221" t="s">
        <v>770</v>
      </c>
      <c r="AC221" t="s">
        <v>768</v>
      </c>
      <c r="AD221" t="s">
        <v>2308</v>
      </c>
      <c r="AE221">
        <v>32</v>
      </c>
      <c r="AF221" t="s">
        <v>770</v>
      </c>
      <c r="AG221" t="s">
        <v>768</v>
      </c>
      <c r="AT221" t="s">
        <v>2217</v>
      </c>
      <c r="AU221" t="s">
        <v>2309</v>
      </c>
      <c r="AV221" t="str" cm="1">
        <f t="array" ref="AV221">IF(B221=_xlfn.XLOOKUP(B221,VmSpecs[[#All],[VM Name]],VmSpecs[[#All],[VM Name]],"Failed",0,1),"Pass","Fail")</f>
        <v>Fail</v>
      </c>
      <c r="AW221" t="str" cm="1">
        <f t="array" ref="AW221">IF(D221=_xlfn.XLOOKUP($B221,VmSpecs[[#All],[VM Name]],VmSpecs[[#All],[Virtual Machine Resource Groups]],"Failed",0,1),"Pass","Fail")</f>
        <v>Fail</v>
      </c>
      <c r="AX221" t="str" cm="1">
        <f t="array" ref="AX221">IF(_xlfn.IFS(E221="australiacentral","Australia Central 1",E221="australiaeast","Australia East",E221="australiasoutheast","Australia SouthEast")=_xlfn.XLOOKUP($B221,VmSpecs[[#All],[VM Name]],VmSpecs[[#All],[Region]],"Failed",0,1),"Pass","Fail")</f>
        <v>Fail</v>
      </c>
      <c r="AY221" t="str" cm="1">
        <f t="array" ref="AY221">IF(F221=_xlfn.XLOOKUP($B221,VmSpecs[[#All],[VM Name]],VmSpecs[[#All],[Instance size]],"Failed",0,1),"Pass","Fail")</f>
        <v>Fail</v>
      </c>
      <c r="AZ221" t="str" cm="1">
        <f t="array" ref="AZ221">IF(LOWER(H221)=_xlfn.XLOOKUP($B221,VmSpecs[[#All],[VM Name]],VmSpecs[[#All],[Availability Set Name]],"Failed",0,1),"Pass","Fail")</f>
        <v>Fail</v>
      </c>
      <c r="BA221" t="str" cm="1">
        <f t="array" ref="BA221">IF(J221=_xlfn.XLOOKUP($B221,VmSpecs[[#All],[VM Name]],VmSpecs[[#All],[Virtual Network]],"Failed",0,1),"Pass","Fail")</f>
        <v>Fail</v>
      </c>
      <c r="BB221" t="str" cm="1">
        <f t="array" ref="BB221">IF(K221=_xlfn.XLOOKUP($B221,VmSpecs[[#All],[VM Name]],VmSpecs[[#All],[Subnet]],"Failed",0,1),"Pass","Fail")</f>
        <v>Fail</v>
      </c>
      <c r="BC221" t="str" cm="1">
        <f t="array" ref="BC221">IF(M221=_xlfn.XLOOKUP($B221,VmSpecs[[#All],[VM Name]],VmSpecs[[#All],[IP]],"Failed",0,1),"Pass","Fail")</f>
        <v>Fail</v>
      </c>
      <c r="BD221" t="str" cm="1">
        <f t="array" ref="BD221">IF(N221=_xlfn.XLOOKUP($B221,VmSpecs[[#All],[VM Name]],VmSpecs[[#All],[Network Security Group]],"Failed",0,1),"Pass","Fail")</f>
        <v>Fail</v>
      </c>
      <c r="BE221" t="str" cm="1">
        <f t="array" ref="BE221">IF(O221=_xlfn.XLOOKUP($B221,VmSpecs[[#All],[VM Name]],VmSpecs[[#All],[Route Table Name]],"Failed",0,1),"Pass","Fail")</f>
        <v>Fail</v>
      </c>
      <c r="BF221" t="str" cm="1">
        <f t="array" ref="BF221">IF(P221=_xlfn.XLOOKUP($B221,VmSpecs[[#All],[VM Name]],VmSpecs[[#All],[Operating System]],"Failed",0,1),"Pass","Fail")</f>
        <v>Fail</v>
      </c>
      <c r="BG221" t="str" cm="1">
        <f t="array" ref="BG221">IF(R221=_xlfn.XLOOKUP($B221,VmSpecs[[#All],[VM Name]],VmSpecs[[#All],[NIC name]],"Failed",0,1),"Pass","Fail")</f>
        <v>Fail</v>
      </c>
      <c r="BH221" t="str" cm="1">
        <f t="array" ref="BH221">IF(U221=_xlfn.XLOOKUP($B221,VmSpecs[[#All],[VM Name]],VmSpecs[[#All],[OS Disk Name]],"Failed",0,1),"Pass","Fail")</f>
        <v>Fail</v>
      </c>
      <c r="BI221" t="str" cm="1">
        <f t="array" ref="BI221">IF(W221=_xlfn.XLOOKUP($B221,VmSpecs[[#All],[VM Name]],VmSpecs[[#All],[OS Disk Size]],"Failed",0,1),"Pass","Fail")</f>
        <v>Fail</v>
      </c>
      <c r="BJ221" t="str" cm="1">
        <f t="array" ref="BJ221">IF(LEFT(X221,4)=LEFT(_xlfn.XLOOKUP($B221,VmSpecs[[#All],[VM Name]],VmSpecs[[#All],[OS Disk Type (Standard SSD etc)]],"Failed",0,1),4),"Pass","Fail")</f>
        <v>Fail</v>
      </c>
      <c r="BK221" t="str" cm="1">
        <f t="array" ref="BK221">IF(Z221=_xlfn.XLOOKUP($B221,VmSpecs[[#All],[VM Name]],VmSpecs[[#All],[Data Disk1 Name]],"Failed",0,1),"Pass","Fail")</f>
        <v>Fail</v>
      </c>
      <c r="BL221" t="str" cm="1">
        <f t="array" ref="BL221">IF(AA221=_xlfn.XLOOKUP($B221,VmSpecs[[#All],[VM Name]],VmSpecs[[#All],[Data Disk1 Size]],"Failed",0,1),"Pass","Fail")</f>
        <v>Fail</v>
      </c>
      <c r="BM221" t="str" cm="1">
        <f t="array" ref="BM221">IF(LEFT(AC221,4)=LEFT(_xlfn.XLOOKUP($B221,VmSpecs[[#All],[VM Name]],VmSpecs[[#All],[Data Disk1 Type]],"Failed",0,1),4),"Pass","Fail")</f>
        <v>Fail</v>
      </c>
      <c r="BO221" t="e">
        <f>VLOOKUP('VM Specs'!K221,'As Built'!B:B,1,FALSE)</f>
        <v>#N/A</v>
      </c>
      <c r="BP221" t="str">
        <f>IF(ISNA(Table613[[#This Row],[VM Build Sheet Check]]),'VM Specs'!K221,"")</f>
        <v>vmpfbpf2inj14</v>
      </c>
    </row>
    <row r="222" spans="1:68" ht="33" customHeight="1" x14ac:dyDescent="0.35">
      <c r="A222" t="str">
        <f>IF(COUNTIF(AsBuilt[[#This Row],[VM Check]:[Data Disk 1 Type Check]],"Fail")&gt;0,"Fail","Pass")</f>
        <v>Fail</v>
      </c>
      <c r="B222" t="s">
        <v>2310</v>
      </c>
      <c r="C222" t="s">
        <v>754</v>
      </c>
      <c r="D222" t="s">
        <v>2100</v>
      </c>
      <c r="E222" t="s">
        <v>756</v>
      </c>
      <c r="F222" t="s">
        <v>757</v>
      </c>
      <c r="G222" t="s">
        <v>758</v>
      </c>
      <c r="H222" t="s">
        <v>2211</v>
      </c>
      <c r="J222" t="s">
        <v>760</v>
      </c>
      <c r="K222" t="s">
        <v>2102</v>
      </c>
      <c r="L222" t="s">
        <v>754</v>
      </c>
      <c r="M222" t="s">
        <v>2311</v>
      </c>
      <c r="N222" t="s">
        <v>2104</v>
      </c>
      <c r="O222" t="s">
        <v>2105</v>
      </c>
      <c r="P222" t="s">
        <v>521</v>
      </c>
      <c r="R222" t="s">
        <v>2312</v>
      </c>
      <c r="S222" t="s">
        <v>754</v>
      </c>
      <c r="U222" t="s">
        <v>2313</v>
      </c>
      <c r="V222" t="s">
        <v>767</v>
      </c>
      <c r="W222">
        <v>128</v>
      </c>
      <c r="X222" t="s">
        <v>768</v>
      </c>
      <c r="Y222">
        <v>2</v>
      </c>
      <c r="Z222" t="s">
        <v>2314</v>
      </c>
      <c r="AA222">
        <v>8</v>
      </c>
      <c r="AB222" t="s">
        <v>770</v>
      </c>
      <c r="AC222" t="s">
        <v>768</v>
      </c>
      <c r="AD222" t="s">
        <v>2315</v>
      </c>
      <c r="AE222">
        <v>32</v>
      </c>
      <c r="AF222" t="s">
        <v>770</v>
      </c>
      <c r="AG222" t="s">
        <v>768</v>
      </c>
      <c r="AT222" t="s">
        <v>2217</v>
      </c>
      <c r="AU222" t="s">
        <v>2316</v>
      </c>
      <c r="AV222" t="str" cm="1">
        <f t="array" ref="AV222">IF(B222=_xlfn.XLOOKUP(B222,VmSpecs[[#All],[VM Name]],VmSpecs[[#All],[VM Name]],"Failed",0,1),"Pass","Fail")</f>
        <v>Fail</v>
      </c>
      <c r="AW222" t="str" cm="1">
        <f t="array" ref="AW222">IF(D222=_xlfn.XLOOKUP($B222,VmSpecs[[#All],[VM Name]],VmSpecs[[#All],[Virtual Machine Resource Groups]],"Failed",0,1),"Pass","Fail")</f>
        <v>Fail</v>
      </c>
      <c r="AX222" t="str" cm="1">
        <f t="array" ref="AX222">IF(_xlfn.IFS(E222="australiacentral","Australia Central 1",E222="australiaeast","Australia East",E222="australiasoutheast","Australia SouthEast")=_xlfn.XLOOKUP($B222,VmSpecs[[#All],[VM Name]],VmSpecs[[#All],[Region]],"Failed",0,1),"Pass","Fail")</f>
        <v>Fail</v>
      </c>
      <c r="AY222" t="str" cm="1">
        <f t="array" ref="AY222">IF(F222=_xlfn.XLOOKUP($B222,VmSpecs[[#All],[VM Name]],VmSpecs[[#All],[Instance size]],"Failed",0,1),"Pass","Fail")</f>
        <v>Fail</v>
      </c>
      <c r="AZ222" t="str" cm="1">
        <f t="array" ref="AZ222">IF(LOWER(H222)=_xlfn.XLOOKUP($B222,VmSpecs[[#All],[VM Name]],VmSpecs[[#All],[Availability Set Name]],"Failed",0,1),"Pass","Fail")</f>
        <v>Fail</v>
      </c>
      <c r="BA222" t="str" cm="1">
        <f t="array" ref="BA222">IF(J222=_xlfn.XLOOKUP($B222,VmSpecs[[#All],[VM Name]],VmSpecs[[#All],[Virtual Network]],"Failed",0,1),"Pass","Fail")</f>
        <v>Fail</v>
      </c>
      <c r="BB222" t="str" cm="1">
        <f t="array" ref="BB222">IF(K222=_xlfn.XLOOKUP($B222,VmSpecs[[#All],[VM Name]],VmSpecs[[#All],[Subnet]],"Failed",0,1),"Pass","Fail")</f>
        <v>Fail</v>
      </c>
      <c r="BC222" t="str" cm="1">
        <f t="array" ref="BC222">IF(M222=_xlfn.XLOOKUP($B222,VmSpecs[[#All],[VM Name]],VmSpecs[[#All],[IP]],"Failed",0,1),"Pass","Fail")</f>
        <v>Fail</v>
      </c>
      <c r="BD222" t="str" cm="1">
        <f t="array" ref="BD222">IF(N222=_xlfn.XLOOKUP($B222,VmSpecs[[#All],[VM Name]],VmSpecs[[#All],[Network Security Group]],"Failed",0,1),"Pass","Fail")</f>
        <v>Fail</v>
      </c>
      <c r="BE222" t="str" cm="1">
        <f t="array" ref="BE222">IF(O222=_xlfn.XLOOKUP($B222,VmSpecs[[#All],[VM Name]],VmSpecs[[#All],[Route Table Name]],"Failed",0,1),"Pass","Fail")</f>
        <v>Fail</v>
      </c>
      <c r="BF222" t="str" cm="1">
        <f t="array" ref="BF222">IF(P222=_xlfn.XLOOKUP($B222,VmSpecs[[#All],[VM Name]],VmSpecs[[#All],[Operating System]],"Failed",0,1),"Pass","Fail")</f>
        <v>Fail</v>
      </c>
      <c r="BG222" t="str" cm="1">
        <f t="array" ref="BG222">IF(R222=_xlfn.XLOOKUP($B222,VmSpecs[[#All],[VM Name]],VmSpecs[[#All],[NIC name]],"Failed",0,1),"Pass","Fail")</f>
        <v>Fail</v>
      </c>
      <c r="BH222" t="str" cm="1">
        <f t="array" ref="BH222">IF(U222=_xlfn.XLOOKUP($B222,VmSpecs[[#All],[VM Name]],VmSpecs[[#All],[OS Disk Name]],"Failed",0,1),"Pass","Fail")</f>
        <v>Fail</v>
      </c>
      <c r="BI222" t="str" cm="1">
        <f t="array" ref="BI222">IF(W222=_xlfn.XLOOKUP($B222,VmSpecs[[#All],[VM Name]],VmSpecs[[#All],[OS Disk Size]],"Failed",0,1),"Pass","Fail")</f>
        <v>Fail</v>
      </c>
      <c r="BJ222" t="str" cm="1">
        <f t="array" ref="BJ222">IF(LEFT(X222,4)=LEFT(_xlfn.XLOOKUP($B222,VmSpecs[[#All],[VM Name]],VmSpecs[[#All],[OS Disk Type (Standard SSD etc)]],"Failed",0,1),4),"Pass","Fail")</f>
        <v>Fail</v>
      </c>
      <c r="BK222" t="str" cm="1">
        <f t="array" ref="BK222">IF(Z222=_xlfn.XLOOKUP($B222,VmSpecs[[#All],[VM Name]],VmSpecs[[#All],[Data Disk1 Name]],"Failed",0,1),"Pass","Fail")</f>
        <v>Fail</v>
      </c>
      <c r="BL222" t="str" cm="1">
        <f t="array" ref="BL222">IF(AA222=_xlfn.XLOOKUP($B222,VmSpecs[[#All],[VM Name]],VmSpecs[[#All],[Data Disk1 Size]],"Failed",0,1),"Pass","Fail")</f>
        <v>Fail</v>
      </c>
      <c r="BM222" t="str" cm="1">
        <f t="array" ref="BM222">IF(LEFT(AC222,4)=LEFT(_xlfn.XLOOKUP($B222,VmSpecs[[#All],[VM Name]],VmSpecs[[#All],[Data Disk1 Type]],"Failed",0,1),4),"Pass","Fail")</f>
        <v>Fail</v>
      </c>
      <c r="BO222" t="e">
        <f>VLOOKUP('VM Specs'!K222,'As Built'!B:B,1,FALSE)</f>
        <v>#N/A</v>
      </c>
      <c r="BP222" t="str">
        <f>IF(ISNA(Table613[[#This Row],[VM Build Sheet Check]]),'VM Specs'!K222,"")</f>
        <v>vmpfbpf2inj15</v>
      </c>
    </row>
    <row r="223" spans="1:68" ht="33" customHeight="1" x14ac:dyDescent="0.35">
      <c r="A223" t="str">
        <f>IF(COUNTIF(AsBuilt[[#This Row],[VM Check]:[Data Disk 1 Type Check]],"Fail")&gt;0,"Fail","Pass")</f>
        <v>Fail</v>
      </c>
      <c r="B223" t="s">
        <v>2317</v>
      </c>
      <c r="C223" t="s">
        <v>754</v>
      </c>
      <c r="D223" t="s">
        <v>2100</v>
      </c>
      <c r="E223" t="s">
        <v>756</v>
      </c>
      <c r="F223" t="s">
        <v>757</v>
      </c>
      <c r="G223" t="s">
        <v>758</v>
      </c>
      <c r="H223" t="s">
        <v>2211</v>
      </c>
      <c r="J223" t="s">
        <v>760</v>
      </c>
      <c r="K223" t="s">
        <v>2102</v>
      </c>
      <c r="L223" t="s">
        <v>754</v>
      </c>
      <c r="M223" t="s">
        <v>2318</v>
      </c>
      <c r="N223" t="s">
        <v>2104</v>
      </c>
      <c r="O223" t="s">
        <v>2105</v>
      </c>
      <c r="P223" t="s">
        <v>521</v>
      </c>
      <c r="R223" t="s">
        <v>2319</v>
      </c>
      <c r="S223" t="s">
        <v>754</v>
      </c>
      <c r="U223" t="s">
        <v>2320</v>
      </c>
      <c r="V223" t="s">
        <v>767</v>
      </c>
      <c r="W223">
        <v>128</v>
      </c>
      <c r="X223" t="s">
        <v>768</v>
      </c>
      <c r="Y223">
        <v>2</v>
      </c>
      <c r="Z223" t="s">
        <v>2321</v>
      </c>
      <c r="AA223">
        <v>8</v>
      </c>
      <c r="AB223" t="s">
        <v>770</v>
      </c>
      <c r="AC223" t="s">
        <v>768</v>
      </c>
      <c r="AD223" t="s">
        <v>2322</v>
      </c>
      <c r="AE223">
        <v>32</v>
      </c>
      <c r="AF223" t="s">
        <v>770</v>
      </c>
      <c r="AG223" t="s">
        <v>768</v>
      </c>
      <c r="AT223" t="s">
        <v>2217</v>
      </c>
      <c r="AU223" t="s">
        <v>2323</v>
      </c>
      <c r="AV223" t="str" cm="1">
        <f t="array" ref="AV223">IF(B223=_xlfn.XLOOKUP(B223,VmSpecs[[#All],[VM Name]],VmSpecs[[#All],[VM Name]],"Failed",0,1),"Pass","Fail")</f>
        <v>Fail</v>
      </c>
      <c r="AW223" t="str" cm="1">
        <f t="array" ref="AW223">IF(D223=_xlfn.XLOOKUP($B223,VmSpecs[[#All],[VM Name]],VmSpecs[[#All],[Virtual Machine Resource Groups]],"Failed",0,1),"Pass","Fail")</f>
        <v>Fail</v>
      </c>
      <c r="AX223" t="str" cm="1">
        <f t="array" ref="AX223">IF(_xlfn.IFS(E223="australiacentral","Australia Central 1",E223="australiaeast","Australia East",E223="australiasoutheast","Australia SouthEast")=_xlfn.XLOOKUP($B223,VmSpecs[[#All],[VM Name]],VmSpecs[[#All],[Region]],"Failed",0,1),"Pass","Fail")</f>
        <v>Fail</v>
      </c>
      <c r="AY223" t="str" cm="1">
        <f t="array" ref="AY223">IF(F223=_xlfn.XLOOKUP($B223,VmSpecs[[#All],[VM Name]],VmSpecs[[#All],[Instance size]],"Failed",0,1),"Pass","Fail")</f>
        <v>Fail</v>
      </c>
      <c r="AZ223" t="str" cm="1">
        <f t="array" ref="AZ223">IF(LOWER(H223)=_xlfn.XLOOKUP($B223,VmSpecs[[#All],[VM Name]],VmSpecs[[#All],[Availability Set Name]],"Failed",0,1),"Pass","Fail")</f>
        <v>Fail</v>
      </c>
      <c r="BA223" t="str" cm="1">
        <f t="array" ref="BA223">IF(J223=_xlfn.XLOOKUP($B223,VmSpecs[[#All],[VM Name]],VmSpecs[[#All],[Virtual Network]],"Failed",0,1),"Pass","Fail")</f>
        <v>Fail</v>
      </c>
      <c r="BB223" t="str" cm="1">
        <f t="array" ref="BB223">IF(K223=_xlfn.XLOOKUP($B223,VmSpecs[[#All],[VM Name]],VmSpecs[[#All],[Subnet]],"Failed",0,1),"Pass","Fail")</f>
        <v>Fail</v>
      </c>
      <c r="BC223" t="str" cm="1">
        <f t="array" ref="BC223">IF(M223=_xlfn.XLOOKUP($B223,VmSpecs[[#All],[VM Name]],VmSpecs[[#All],[IP]],"Failed",0,1),"Pass","Fail")</f>
        <v>Fail</v>
      </c>
      <c r="BD223" t="str" cm="1">
        <f t="array" ref="BD223">IF(N223=_xlfn.XLOOKUP($B223,VmSpecs[[#All],[VM Name]],VmSpecs[[#All],[Network Security Group]],"Failed",0,1),"Pass","Fail")</f>
        <v>Fail</v>
      </c>
      <c r="BE223" t="str" cm="1">
        <f t="array" ref="BE223">IF(O223=_xlfn.XLOOKUP($B223,VmSpecs[[#All],[VM Name]],VmSpecs[[#All],[Route Table Name]],"Failed",0,1),"Pass","Fail")</f>
        <v>Fail</v>
      </c>
      <c r="BF223" t="str" cm="1">
        <f t="array" ref="BF223">IF(P223=_xlfn.XLOOKUP($B223,VmSpecs[[#All],[VM Name]],VmSpecs[[#All],[Operating System]],"Failed",0,1),"Pass","Fail")</f>
        <v>Fail</v>
      </c>
      <c r="BG223" t="str" cm="1">
        <f t="array" ref="BG223">IF(R223=_xlfn.XLOOKUP($B223,VmSpecs[[#All],[VM Name]],VmSpecs[[#All],[NIC name]],"Failed",0,1),"Pass","Fail")</f>
        <v>Fail</v>
      </c>
      <c r="BH223" t="str" cm="1">
        <f t="array" ref="BH223">IF(U223=_xlfn.XLOOKUP($B223,VmSpecs[[#All],[VM Name]],VmSpecs[[#All],[OS Disk Name]],"Failed",0,1),"Pass","Fail")</f>
        <v>Fail</v>
      </c>
      <c r="BI223" t="str" cm="1">
        <f t="array" ref="BI223">IF(W223=_xlfn.XLOOKUP($B223,VmSpecs[[#All],[VM Name]],VmSpecs[[#All],[OS Disk Size]],"Failed",0,1),"Pass","Fail")</f>
        <v>Fail</v>
      </c>
      <c r="BJ223" t="str" cm="1">
        <f t="array" ref="BJ223">IF(LEFT(X223,4)=LEFT(_xlfn.XLOOKUP($B223,VmSpecs[[#All],[VM Name]],VmSpecs[[#All],[OS Disk Type (Standard SSD etc)]],"Failed",0,1),4),"Pass","Fail")</f>
        <v>Fail</v>
      </c>
      <c r="BK223" t="str" cm="1">
        <f t="array" ref="BK223">IF(Z223=_xlfn.XLOOKUP($B223,VmSpecs[[#All],[VM Name]],VmSpecs[[#All],[Data Disk1 Name]],"Failed",0,1),"Pass","Fail")</f>
        <v>Fail</v>
      </c>
      <c r="BL223" t="str" cm="1">
        <f t="array" ref="BL223">IF(AA223=_xlfn.XLOOKUP($B223,VmSpecs[[#All],[VM Name]],VmSpecs[[#All],[Data Disk1 Size]],"Failed",0,1),"Pass","Fail")</f>
        <v>Fail</v>
      </c>
      <c r="BM223" t="str" cm="1">
        <f t="array" ref="BM223">IF(LEFT(AC223,4)=LEFT(_xlfn.XLOOKUP($B223,VmSpecs[[#All],[VM Name]],VmSpecs[[#All],[Data Disk1 Type]],"Failed",0,1),4),"Pass","Fail")</f>
        <v>Fail</v>
      </c>
      <c r="BO223" t="e">
        <f>VLOOKUP('VM Specs'!K223,'As Built'!B:B,1,FALSE)</f>
        <v>#N/A</v>
      </c>
      <c r="BP223" t="str">
        <f>IF(ISNA(Table613[[#This Row],[VM Build Sheet Check]]),'VM Specs'!K223,"")</f>
        <v>vmpfbpf2inj16</v>
      </c>
    </row>
    <row r="224" spans="1:68" ht="33" customHeight="1" x14ac:dyDescent="0.35">
      <c r="A224" t="str">
        <f>IF(COUNTIF(AsBuilt[[#This Row],[VM Check]:[Data Disk 1 Type Check]],"Fail")&gt;0,"Fail","Pass")</f>
        <v>Fail</v>
      </c>
      <c r="B224" t="s">
        <v>2324</v>
      </c>
      <c r="C224" t="s">
        <v>754</v>
      </c>
      <c r="D224" t="s">
        <v>2100</v>
      </c>
      <c r="E224" t="s">
        <v>756</v>
      </c>
      <c r="F224" t="s">
        <v>757</v>
      </c>
      <c r="G224" t="s">
        <v>758</v>
      </c>
      <c r="H224" t="s">
        <v>2211</v>
      </c>
      <c r="J224" t="s">
        <v>760</v>
      </c>
      <c r="K224" t="s">
        <v>2102</v>
      </c>
      <c r="L224" t="s">
        <v>754</v>
      </c>
      <c r="M224" t="s">
        <v>2325</v>
      </c>
      <c r="N224" t="s">
        <v>2104</v>
      </c>
      <c r="O224" t="s">
        <v>2105</v>
      </c>
      <c r="P224" t="s">
        <v>521</v>
      </c>
      <c r="R224" t="s">
        <v>2326</v>
      </c>
      <c r="S224" t="s">
        <v>754</v>
      </c>
      <c r="U224" t="s">
        <v>2327</v>
      </c>
      <c r="V224" t="s">
        <v>767</v>
      </c>
      <c r="W224">
        <v>128</v>
      </c>
      <c r="X224" t="s">
        <v>768</v>
      </c>
      <c r="Y224">
        <v>2</v>
      </c>
      <c r="Z224" t="s">
        <v>2328</v>
      </c>
      <c r="AA224">
        <v>8</v>
      </c>
      <c r="AB224" t="s">
        <v>770</v>
      </c>
      <c r="AC224" t="s">
        <v>768</v>
      </c>
      <c r="AD224" t="s">
        <v>2329</v>
      </c>
      <c r="AE224">
        <v>32</v>
      </c>
      <c r="AF224" t="s">
        <v>770</v>
      </c>
      <c r="AG224" t="s">
        <v>768</v>
      </c>
      <c r="AT224" t="s">
        <v>2217</v>
      </c>
      <c r="AU224" t="s">
        <v>2330</v>
      </c>
      <c r="AV224" t="str" cm="1">
        <f t="array" ref="AV224">IF(B224=_xlfn.XLOOKUP(B224,VmSpecs[[#All],[VM Name]],VmSpecs[[#All],[VM Name]],"Failed",0,1),"Pass","Fail")</f>
        <v>Fail</v>
      </c>
      <c r="AW224" t="str" cm="1">
        <f t="array" ref="AW224">IF(D224=_xlfn.XLOOKUP($B224,VmSpecs[[#All],[VM Name]],VmSpecs[[#All],[Virtual Machine Resource Groups]],"Failed",0,1),"Pass","Fail")</f>
        <v>Fail</v>
      </c>
      <c r="AX224" t="str" cm="1">
        <f t="array" ref="AX224">IF(_xlfn.IFS(E224="australiacentral","Australia Central 1",E224="australiaeast","Australia East",E224="australiasoutheast","Australia SouthEast")=_xlfn.XLOOKUP($B224,VmSpecs[[#All],[VM Name]],VmSpecs[[#All],[Region]],"Failed",0,1),"Pass","Fail")</f>
        <v>Fail</v>
      </c>
      <c r="AY224" t="str" cm="1">
        <f t="array" ref="AY224">IF(F224=_xlfn.XLOOKUP($B224,VmSpecs[[#All],[VM Name]],VmSpecs[[#All],[Instance size]],"Failed",0,1),"Pass","Fail")</f>
        <v>Fail</v>
      </c>
      <c r="AZ224" t="str" cm="1">
        <f t="array" ref="AZ224">IF(LOWER(H224)=_xlfn.XLOOKUP($B224,VmSpecs[[#All],[VM Name]],VmSpecs[[#All],[Availability Set Name]],"Failed",0,1),"Pass","Fail")</f>
        <v>Fail</v>
      </c>
      <c r="BA224" t="str" cm="1">
        <f t="array" ref="BA224">IF(J224=_xlfn.XLOOKUP($B224,VmSpecs[[#All],[VM Name]],VmSpecs[[#All],[Virtual Network]],"Failed",0,1),"Pass","Fail")</f>
        <v>Fail</v>
      </c>
      <c r="BB224" t="str" cm="1">
        <f t="array" ref="BB224">IF(K224=_xlfn.XLOOKUP($B224,VmSpecs[[#All],[VM Name]],VmSpecs[[#All],[Subnet]],"Failed",0,1),"Pass","Fail")</f>
        <v>Fail</v>
      </c>
      <c r="BC224" t="str" cm="1">
        <f t="array" ref="BC224">IF(M224=_xlfn.XLOOKUP($B224,VmSpecs[[#All],[VM Name]],VmSpecs[[#All],[IP]],"Failed",0,1),"Pass","Fail")</f>
        <v>Fail</v>
      </c>
      <c r="BD224" t="str" cm="1">
        <f t="array" ref="BD224">IF(N224=_xlfn.XLOOKUP($B224,VmSpecs[[#All],[VM Name]],VmSpecs[[#All],[Network Security Group]],"Failed",0,1),"Pass","Fail")</f>
        <v>Fail</v>
      </c>
      <c r="BE224" t="str" cm="1">
        <f t="array" ref="BE224">IF(O224=_xlfn.XLOOKUP($B224,VmSpecs[[#All],[VM Name]],VmSpecs[[#All],[Route Table Name]],"Failed",0,1),"Pass","Fail")</f>
        <v>Fail</v>
      </c>
      <c r="BF224" t="str" cm="1">
        <f t="array" ref="BF224">IF(P224=_xlfn.XLOOKUP($B224,VmSpecs[[#All],[VM Name]],VmSpecs[[#All],[Operating System]],"Failed",0,1),"Pass","Fail")</f>
        <v>Fail</v>
      </c>
      <c r="BG224" t="str" cm="1">
        <f t="array" ref="BG224">IF(R224=_xlfn.XLOOKUP($B224,VmSpecs[[#All],[VM Name]],VmSpecs[[#All],[NIC name]],"Failed",0,1),"Pass","Fail")</f>
        <v>Fail</v>
      </c>
      <c r="BH224" t="str" cm="1">
        <f t="array" ref="BH224">IF(U224=_xlfn.XLOOKUP($B224,VmSpecs[[#All],[VM Name]],VmSpecs[[#All],[OS Disk Name]],"Failed",0,1),"Pass","Fail")</f>
        <v>Fail</v>
      </c>
      <c r="BI224" t="str" cm="1">
        <f t="array" ref="BI224">IF(W224=_xlfn.XLOOKUP($B224,VmSpecs[[#All],[VM Name]],VmSpecs[[#All],[OS Disk Size]],"Failed",0,1),"Pass","Fail")</f>
        <v>Fail</v>
      </c>
      <c r="BJ224" t="str" cm="1">
        <f t="array" ref="BJ224">IF(LEFT(X224,4)=LEFT(_xlfn.XLOOKUP($B224,VmSpecs[[#All],[VM Name]],VmSpecs[[#All],[OS Disk Type (Standard SSD etc)]],"Failed",0,1),4),"Pass","Fail")</f>
        <v>Fail</v>
      </c>
      <c r="BK224" t="str" cm="1">
        <f t="array" ref="BK224">IF(Z224=_xlfn.XLOOKUP($B224,VmSpecs[[#All],[VM Name]],VmSpecs[[#All],[Data Disk1 Name]],"Failed",0,1),"Pass","Fail")</f>
        <v>Fail</v>
      </c>
      <c r="BL224" t="str" cm="1">
        <f t="array" ref="BL224">IF(AA224=_xlfn.XLOOKUP($B224,VmSpecs[[#All],[VM Name]],VmSpecs[[#All],[Data Disk1 Size]],"Failed",0,1),"Pass","Fail")</f>
        <v>Fail</v>
      </c>
      <c r="BM224" t="str" cm="1">
        <f t="array" ref="BM224">IF(LEFT(AC224,4)=LEFT(_xlfn.XLOOKUP($B224,VmSpecs[[#All],[VM Name]],VmSpecs[[#All],[Data Disk1 Type]],"Failed",0,1),4),"Pass","Fail")</f>
        <v>Fail</v>
      </c>
      <c r="BO224" t="e">
        <f>VLOOKUP('VM Specs'!K224,'As Built'!B:B,1,FALSE)</f>
        <v>#N/A</v>
      </c>
      <c r="BP224" t="str">
        <f>IF(ISNA(Table613[[#This Row],[VM Build Sheet Check]]),'VM Specs'!K224,"")</f>
        <v>vmpfbpf2inj17</v>
      </c>
    </row>
    <row r="225" spans="1:68" ht="33" customHeight="1" x14ac:dyDescent="0.35">
      <c r="A225" t="str">
        <f>IF(COUNTIF(AsBuilt[[#This Row],[VM Check]:[Data Disk 1 Type Check]],"Fail")&gt;0,"Fail","Pass")</f>
        <v>Fail</v>
      </c>
      <c r="B225" t="s">
        <v>2331</v>
      </c>
      <c r="C225" t="s">
        <v>754</v>
      </c>
      <c r="D225" t="s">
        <v>2100</v>
      </c>
      <c r="E225" t="s">
        <v>756</v>
      </c>
      <c r="F225" t="s">
        <v>757</v>
      </c>
      <c r="G225" t="s">
        <v>758</v>
      </c>
      <c r="H225" t="s">
        <v>2211</v>
      </c>
      <c r="J225" t="s">
        <v>760</v>
      </c>
      <c r="K225" t="s">
        <v>2102</v>
      </c>
      <c r="L225" t="s">
        <v>754</v>
      </c>
      <c r="M225" t="s">
        <v>2332</v>
      </c>
      <c r="N225" t="s">
        <v>2104</v>
      </c>
      <c r="O225" t="s">
        <v>2105</v>
      </c>
      <c r="P225" t="s">
        <v>521</v>
      </c>
      <c r="R225" t="s">
        <v>2333</v>
      </c>
      <c r="S225" t="s">
        <v>754</v>
      </c>
      <c r="U225" t="s">
        <v>2334</v>
      </c>
      <c r="V225" t="s">
        <v>767</v>
      </c>
      <c r="W225">
        <v>128</v>
      </c>
      <c r="X225" t="s">
        <v>768</v>
      </c>
      <c r="Y225">
        <v>2</v>
      </c>
      <c r="Z225" t="s">
        <v>2335</v>
      </c>
      <c r="AA225">
        <v>8</v>
      </c>
      <c r="AB225" t="s">
        <v>770</v>
      </c>
      <c r="AC225" t="s">
        <v>768</v>
      </c>
      <c r="AD225" t="s">
        <v>2336</v>
      </c>
      <c r="AE225">
        <v>32</v>
      </c>
      <c r="AF225" t="s">
        <v>770</v>
      </c>
      <c r="AG225" t="s">
        <v>768</v>
      </c>
      <c r="AT225" t="s">
        <v>2217</v>
      </c>
      <c r="AU225" t="s">
        <v>2337</v>
      </c>
      <c r="AV225" t="str" cm="1">
        <f t="array" ref="AV225">IF(B225=_xlfn.XLOOKUP(B225,VmSpecs[[#All],[VM Name]],VmSpecs[[#All],[VM Name]],"Failed",0,1),"Pass","Fail")</f>
        <v>Fail</v>
      </c>
      <c r="AW225" t="str" cm="1">
        <f t="array" ref="AW225">IF(D225=_xlfn.XLOOKUP($B225,VmSpecs[[#All],[VM Name]],VmSpecs[[#All],[Virtual Machine Resource Groups]],"Failed",0,1),"Pass","Fail")</f>
        <v>Fail</v>
      </c>
      <c r="AX225" t="str" cm="1">
        <f t="array" ref="AX225">IF(_xlfn.IFS(E225="australiacentral","Australia Central 1",E225="australiaeast","Australia East",E225="australiasoutheast","Australia SouthEast")=_xlfn.XLOOKUP($B225,VmSpecs[[#All],[VM Name]],VmSpecs[[#All],[Region]],"Failed",0,1),"Pass","Fail")</f>
        <v>Fail</v>
      </c>
      <c r="AY225" t="str" cm="1">
        <f t="array" ref="AY225">IF(F225=_xlfn.XLOOKUP($B225,VmSpecs[[#All],[VM Name]],VmSpecs[[#All],[Instance size]],"Failed",0,1),"Pass","Fail")</f>
        <v>Fail</v>
      </c>
      <c r="AZ225" t="str" cm="1">
        <f t="array" ref="AZ225">IF(LOWER(H225)=_xlfn.XLOOKUP($B225,VmSpecs[[#All],[VM Name]],VmSpecs[[#All],[Availability Set Name]],"Failed",0,1),"Pass","Fail")</f>
        <v>Fail</v>
      </c>
      <c r="BA225" t="str" cm="1">
        <f t="array" ref="BA225">IF(J225=_xlfn.XLOOKUP($B225,VmSpecs[[#All],[VM Name]],VmSpecs[[#All],[Virtual Network]],"Failed",0,1),"Pass","Fail")</f>
        <v>Fail</v>
      </c>
      <c r="BB225" t="str" cm="1">
        <f t="array" ref="BB225">IF(K225=_xlfn.XLOOKUP($B225,VmSpecs[[#All],[VM Name]],VmSpecs[[#All],[Subnet]],"Failed",0,1),"Pass","Fail")</f>
        <v>Fail</v>
      </c>
      <c r="BC225" t="str" cm="1">
        <f t="array" ref="BC225">IF(M225=_xlfn.XLOOKUP($B225,VmSpecs[[#All],[VM Name]],VmSpecs[[#All],[IP]],"Failed",0,1),"Pass","Fail")</f>
        <v>Fail</v>
      </c>
      <c r="BD225" t="str" cm="1">
        <f t="array" ref="BD225">IF(N225=_xlfn.XLOOKUP($B225,VmSpecs[[#All],[VM Name]],VmSpecs[[#All],[Network Security Group]],"Failed",0,1),"Pass","Fail")</f>
        <v>Fail</v>
      </c>
      <c r="BE225" t="str" cm="1">
        <f t="array" ref="BE225">IF(O225=_xlfn.XLOOKUP($B225,VmSpecs[[#All],[VM Name]],VmSpecs[[#All],[Route Table Name]],"Failed",0,1),"Pass","Fail")</f>
        <v>Fail</v>
      </c>
      <c r="BF225" t="str" cm="1">
        <f t="array" ref="BF225">IF(P225=_xlfn.XLOOKUP($B225,VmSpecs[[#All],[VM Name]],VmSpecs[[#All],[Operating System]],"Failed",0,1),"Pass","Fail")</f>
        <v>Fail</v>
      </c>
      <c r="BG225" t="str" cm="1">
        <f t="array" ref="BG225">IF(R225=_xlfn.XLOOKUP($B225,VmSpecs[[#All],[VM Name]],VmSpecs[[#All],[NIC name]],"Failed",0,1),"Pass","Fail")</f>
        <v>Fail</v>
      </c>
      <c r="BH225" t="str" cm="1">
        <f t="array" ref="BH225">IF(U225=_xlfn.XLOOKUP($B225,VmSpecs[[#All],[VM Name]],VmSpecs[[#All],[OS Disk Name]],"Failed",0,1),"Pass","Fail")</f>
        <v>Fail</v>
      </c>
      <c r="BI225" t="str" cm="1">
        <f t="array" ref="BI225">IF(W225=_xlfn.XLOOKUP($B225,VmSpecs[[#All],[VM Name]],VmSpecs[[#All],[OS Disk Size]],"Failed",0,1),"Pass","Fail")</f>
        <v>Fail</v>
      </c>
      <c r="BJ225" t="str" cm="1">
        <f t="array" ref="BJ225">IF(LEFT(X225,4)=LEFT(_xlfn.XLOOKUP($B225,VmSpecs[[#All],[VM Name]],VmSpecs[[#All],[OS Disk Type (Standard SSD etc)]],"Failed",0,1),4),"Pass","Fail")</f>
        <v>Fail</v>
      </c>
      <c r="BK225" t="str" cm="1">
        <f t="array" ref="BK225">IF(Z225=_xlfn.XLOOKUP($B225,VmSpecs[[#All],[VM Name]],VmSpecs[[#All],[Data Disk1 Name]],"Failed",0,1),"Pass","Fail")</f>
        <v>Fail</v>
      </c>
      <c r="BL225" t="str" cm="1">
        <f t="array" ref="BL225">IF(AA225=_xlfn.XLOOKUP($B225,VmSpecs[[#All],[VM Name]],VmSpecs[[#All],[Data Disk1 Size]],"Failed",0,1),"Pass","Fail")</f>
        <v>Fail</v>
      </c>
      <c r="BM225" t="str" cm="1">
        <f t="array" ref="BM225">IF(LEFT(AC225,4)=LEFT(_xlfn.XLOOKUP($B225,VmSpecs[[#All],[VM Name]],VmSpecs[[#All],[Data Disk1 Type]],"Failed",0,1),4),"Pass","Fail")</f>
        <v>Fail</v>
      </c>
      <c r="BO225" t="e">
        <f>VLOOKUP('VM Specs'!K225,'As Built'!B:B,1,FALSE)</f>
        <v>#N/A</v>
      </c>
      <c r="BP225" t="str">
        <f>IF(ISNA(Table613[[#This Row],[VM Build Sheet Check]]),'VM Specs'!K225,"")</f>
        <v>vmpfbpf2inj18</v>
      </c>
    </row>
    <row r="226" spans="1:68" ht="33" customHeight="1" x14ac:dyDescent="0.35">
      <c r="A226" t="str">
        <f>IF(COUNTIF(AsBuilt[[#This Row],[VM Check]:[Data Disk 1 Type Check]],"Fail")&gt;0,"Fail","Pass")</f>
        <v>Fail</v>
      </c>
      <c r="B226" t="s">
        <v>2338</v>
      </c>
      <c r="C226" t="s">
        <v>754</v>
      </c>
      <c r="D226" t="s">
        <v>2100</v>
      </c>
      <c r="E226" t="s">
        <v>756</v>
      </c>
      <c r="F226" t="s">
        <v>1067</v>
      </c>
      <c r="G226" t="s">
        <v>758</v>
      </c>
      <c r="H226" t="s">
        <v>2211</v>
      </c>
      <c r="J226" t="s">
        <v>760</v>
      </c>
      <c r="K226" t="s">
        <v>2102</v>
      </c>
      <c r="L226" t="s">
        <v>754</v>
      </c>
      <c r="M226" t="s">
        <v>2339</v>
      </c>
      <c r="N226" t="s">
        <v>2104</v>
      </c>
      <c r="O226" t="s">
        <v>2105</v>
      </c>
      <c r="P226" t="s">
        <v>521</v>
      </c>
      <c r="R226" t="s">
        <v>2340</v>
      </c>
      <c r="S226" t="s">
        <v>754</v>
      </c>
      <c r="U226" t="s">
        <v>2341</v>
      </c>
      <c r="V226" t="s">
        <v>767</v>
      </c>
      <c r="W226">
        <v>128</v>
      </c>
      <c r="X226" t="s">
        <v>768</v>
      </c>
      <c r="Y226">
        <v>2</v>
      </c>
      <c r="Z226" t="s">
        <v>2342</v>
      </c>
      <c r="AA226">
        <v>8</v>
      </c>
      <c r="AB226" t="s">
        <v>770</v>
      </c>
      <c r="AC226" t="s">
        <v>768</v>
      </c>
      <c r="AD226" t="s">
        <v>2343</v>
      </c>
      <c r="AE226">
        <v>32</v>
      </c>
      <c r="AF226" t="s">
        <v>770</v>
      </c>
      <c r="AG226" t="s">
        <v>768</v>
      </c>
      <c r="AT226" t="s">
        <v>2217</v>
      </c>
      <c r="AU226" t="s">
        <v>2344</v>
      </c>
      <c r="AV226" t="str" cm="1">
        <f t="array" ref="AV226">IF(B226=_xlfn.XLOOKUP(B226,VmSpecs[[#All],[VM Name]],VmSpecs[[#All],[VM Name]],"Failed",0,1),"Pass","Fail")</f>
        <v>Fail</v>
      </c>
      <c r="AW226" t="str" cm="1">
        <f t="array" ref="AW226">IF(D226=_xlfn.XLOOKUP($B226,VmSpecs[[#All],[VM Name]],VmSpecs[[#All],[Virtual Machine Resource Groups]],"Failed",0,1),"Pass","Fail")</f>
        <v>Fail</v>
      </c>
      <c r="AX226" t="str" cm="1">
        <f t="array" ref="AX226">IF(_xlfn.IFS(E226="australiacentral","Australia Central 1",E226="australiaeast","Australia East",E226="australiasoutheast","Australia SouthEast")=_xlfn.XLOOKUP($B226,VmSpecs[[#All],[VM Name]],VmSpecs[[#All],[Region]],"Failed",0,1),"Pass","Fail")</f>
        <v>Fail</v>
      </c>
      <c r="AY226" t="str" cm="1">
        <f t="array" ref="AY226">IF(F226=_xlfn.XLOOKUP($B226,VmSpecs[[#All],[VM Name]],VmSpecs[[#All],[Instance size]],"Failed",0,1),"Pass","Fail")</f>
        <v>Fail</v>
      </c>
      <c r="AZ226" t="str" cm="1">
        <f t="array" ref="AZ226">IF(LOWER(H226)=_xlfn.XLOOKUP($B226,VmSpecs[[#All],[VM Name]],VmSpecs[[#All],[Availability Set Name]],"Failed",0,1),"Pass","Fail")</f>
        <v>Fail</v>
      </c>
      <c r="BA226" t="str" cm="1">
        <f t="array" ref="BA226">IF(J226=_xlfn.XLOOKUP($B226,VmSpecs[[#All],[VM Name]],VmSpecs[[#All],[Virtual Network]],"Failed",0,1),"Pass","Fail")</f>
        <v>Fail</v>
      </c>
      <c r="BB226" t="str" cm="1">
        <f t="array" ref="BB226">IF(K226=_xlfn.XLOOKUP($B226,VmSpecs[[#All],[VM Name]],VmSpecs[[#All],[Subnet]],"Failed",0,1),"Pass","Fail")</f>
        <v>Fail</v>
      </c>
      <c r="BC226" t="str" cm="1">
        <f t="array" ref="BC226">IF(M226=_xlfn.XLOOKUP($B226,VmSpecs[[#All],[VM Name]],VmSpecs[[#All],[IP]],"Failed",0,1),"Pass","Fail")</f>
        <v>Fail</v>
      </c>
      <c r="BD226" t="str" cm="1">
        <f t="array" ref="BD226">IF(N226=_xlfn.XLOOKUP($B226,VmSpecs[[#All],[VM Name]],VmSpecs[[#All],[Network Security Group]],"Failed",0,1),"Pass","Fail")</f>
        <v>Fail</v>
      </c>
      <c r="BE226" t="str" cm="1">
        <f t="array" ref="BE226">IF(O226=_xlfn.XLOOKUP($B226,VmSpecs[[#All],[VM Name]],VmSpecs[[#All],[Route Table Name]],"Failed",0,1),"Pass","Fail")</f>
        <v>Fail</v>
      </c>
      <c r="BF226" t="str" cm="1">
        <f t="array" ref="BF226">IF(P226=_xlfn.XLOOKUP($B226,VmSpecs[[#All],[VM Name]],VmSpecs[[#All],[Operating System]],"Failed",0,1),"Pass","Fail")</f>
        <v>Fail</v>
      </c>
      <c r="BG226" t="str" cm="1">
        <f t="array" ref="BG226">IF(R226=_xlfn.XLOOKUP($B226,VmSpecs[[#All],[VM Name]],VmSpecs[[#All],[NIC name]],"Failed",0,1),"Pass","Fail")</f>
        <v>Fail</v>
      </c>
      <c r="BH226" t="str" cm="1">
        <f t="array" ref="BH226">IF(U226=_xlfn.XLOOKUP($B226,VmSpecs[[#All],[VM Name]],VmSpecs[[#All],[OS Disk Name]],"Failed",0,1),"Pass","Fail")</f>
        <v>Fail</v>
      </c>
      <c r="BI226" t="str" cm="1">
        <f t="array" ref="BI226">IF(W226=_xlfn.XLOOKUP($B226,VmSpecs[[#All],[VM Name]],VmSpecs[[#All],[OS Disk Size]],"Failed",0,1),"Pass","Fail")</f>
        <v>Fail</v>
      </c>
      <c r="BJ226" t="str" cm="1">
        <f t="array" ref="BJ226">IF(LEFT(X226,4)=LEFT(_xlfn.XLOOKUP($B226,VmSpecs[[#All],[VM Name]],VmSpecs[[#All],[OS Disk Type (Standard SSD etc)]],"Failed",0,1),4),"Pass","Fail")</f>
        <v>Fail</v>
      </c>
      <c r="BK226" t="str" cm="1">
        <f t="array" ref="BK226">IF(Z226=_xlfn.XLOOKUP($B226,VmSpecs[[#All],[VM Name]],VmSpecs[[#All],[Data Disk1 Name]],"Failed",0,1),"Pass","Fail")</f>
        <v>Fail</v>
      </c>
      <c r="BL226" t="str" cm="1">
        <f t="array" ref="BL226">IF(AA226=_xlfn.XLOOKUP($B226,VmSpecs[[#All],[VM Name]],VmSpecs[[#All],[Data Disk1 Size]],"Failed",0,1),"Pass","Fail")</f>
        <v>Fail</v>
      </c>
      <c r="BM226" t="str" cm="1">
        <f t="array" ref="BM226">IF(LEFT(AC226,4)=LEFT(_xlfn.XLOOKUP($B226,VmSpecs[[#All],[VM Name]],VmSpecs[[#All],[Data Disk1 Type]],"Failed",0,1),4),"Pass","Fail")</f>
        <v>Fail</v>
      </c>
      <c r="BO226" t="e">
        <f>VLOOKUP('VM Specs'!K226,'As Built'!B:B,1,FALSE)</f>
        <v>#N/A</v>
      </c>
      <c r="BP226" t="str">
        <f>IF(ISNA(Table613[[#This Row],[VM Build Sheet Check]]),'VM Specs'!K226,"")</f>
        <v>vmpfbpf2inj19</v>
      </c>
    </row>
    <row r="227" spans="1:68" ht="33" customHeight="1" x14ac:dyDescent="0.35">
      <c r="A227" t="str">
        <f>IF(COUNTIF(AsBuilt[[#This Row],[VM Check]:[Data Disk 1 Type Check]],"Fail")&gt;0,"Fail","Pass")</f>
        <v>Fail</v>
      </c>
      <c r="B227" t="s">
        <v>2345</v>
      </c>
      <c r="C227" t="s">
        <v>754</v>
      </c>
      <c r="D227" t="s">
        <v>2100</v>
      </c>
      <c r="E227" t="s">
        <v>756</v>
      </c>
      <c r="F227" t="s">
        <v>1067</v>
      </c>
      <c r="G227" t="s">
        <v>758</v>
      </c>
      <c r="H227" t="s">
        <v>2211</v>
      </c>
      <c r="J227" t="s">
        <v>760</v>
      </c>
      <c r="K227" t="s">
        <v>2102</v>
      </c>
      <c r="L227" t="s">
        <v>754</v>
      </c>
      <c r="M227" t="s">
        <v>2346</v>
      </c>
      <c r="N227" t="s">
        <v>2104</v>
      </c>
      <c r="O227" t="s">
        <v>2105</v>
      </c>
      <c r="P227" t="s">
        <v>521</v>
      </c>
      <c r="R227" t="s">
        <v>2347</v>
      </c>
      <c r="S227" t="s">
        <v>754</v>
      </c>
      <c r="U227" t="s">
        <v>2348</v>
      </c>
      <c r="V227" t="s">
        <v>767</v>
      </c>
      <c r="W227">
        <v>128</v>
      </c>
      <c r="X227" t="s">
        <v>768</v>
      </c>
      <c r="Y227">
        <v>2</v>
      </c>
      <c r="Z227" t="s">
        <v>2349</v>
      </c>
      <c r="AA227">
        <v>8</v>
      </c>
      <c r="AB227" t="s">
        <v>770</v>
      </c>
      <c r="AC227" t="s">
        <v>768</v>
      </c>
      <c r="AD227" t="s">
        <v>2350</v>
      </c>
      <c r="AE227">
        <v>32</v>
      </c>
      <c r="AF227" t="s">
        <v>770</v>
      </c>
      <c r="AG227" t="s">
        <v>768</v>
      </c>
      <c r="AT227" t="s">
        <v>2217</v>
      </c>
      <c r="AU227" t="s">
        <v>2351</v>
      </c>
      <c r="AV227" t="str" cm="1">
        <f t="array" ref="AV227">IF(B227=_xlfn.XLOOKUP(B227,VmSpecs[[#All],[VM Name]],VmSpecs[[#All],[VM Name]],"Failed",0,1),"Pass","Fail")</f>
        <v>Fail</v>
      </c>
      <c r="AW227" t="str" cm="1">
        <f t="array" ref="AW227">IF(D227=_xlfn.XLOOKUP($B227,VmSpecs[[#All],[VM Name]],VmSpecs[[#All],[Virtual Machine Resource Groups]],"Failed",0,1),"Pass","Fail")</f>
        <v>Fail</v>
      </c>
      <c r="AX227" t="str" cm="1">
        <f t="array" ref="AX227">IF(_xlfn.IFS(E227="australiacentral","Australia Central 1",E227="australiaeast","Australia East",E227="australiasoutheast","Australia SouthEast")=_xlfn.XLOOKUP($B227,VmSpecs[[#All],[VM Name]],VmSpecs[[#All],[Region]],"Failed",0,1),"Pass","Fail")</f>
        <v>Fail</v>
      </c>
      <c r="AY227" t="str" cm="1">
        <f t="array" ref="AY227">IF(F227=_xlfn.XLOOKUP($B227,VmSpecs[[#All],[VM Name]],VmSpecs[[#All],[Instance size]],"Failed",0,1),"Pass","Fail")</f>
        <v>Fail</v>
      </c>
      <c r="AZ227" t="str" cm="1">
        <f t="array" ref="AZ227">IF(LOWER(H227)=_xlfn.XLOOKUP($B227,VmSpecs[[#All],[VM Name]],VmSpecs[[#All],[Availability Set Name]],"Failed",0,1),"Pass","Fail")</f>
        <v>Fail</v>
      </c>
      <c r="BA227" t="str" cm="1">
        <f t="array" ref="BA227">IF(J227=_xlfn.XLOOKUP($B227,VmSpecs[[#All],[VM Name]],VmSpecs[[#All],[Virtual Network]],"Failed",0,1),"Pass","Fail")</f>
        <v>Fail</v>
      </c>
      <c r="BB227" t="str" cm="1">
        <f t="array" ref="BB227">IF(K227=_xlfn.XLOOKUP($B227,VmSpecs[[#All],[VM Name]],VmSpecs[[#All],[Subnet]],"Failed",0,1),"Pass","Fail")</f>
        <v>Fail</v>
      </c>
      <c r="BC227" t="str" cm="1">
        <f t="array" ref="BC227">IF(M227=_xlfn.XLOOKUP($B227,VmSpecs[[#All],[VM Name]],VmSpecs[[#All],[IP]],"Failed",0,1),"Pass","Fail")</f>
        <v>Fail</v>
      </c>
      <c r="BD227" t="str" cm="1">
        <f t="array" ref="BD227">IF(N227=_xlfn.XLOOKUP($B227,VmSpecs[[#All],[VM Name]],VmSpecs[[#All],[Network Security Group]],"Failed",0,1),"Pass","Fail")</f>
        <v>Fail</v>
      </c>
      <c r="BE227" t="str" cm="1">
        <f t="array" ref="BE227">IF(O227=_xlfn.XLOOKUP($B227,VmSpecs[[#All],[VM Name]],VmSpecs[[#All],[Route Table Name]],"Failed",0,1),"Pass","Fail")</f>
        <v>Fail</v>
      </c>
      <c r="BF227" t="str" cm="1">
        <f t="array" ref="BF227">IF(P227=_xlfn.XLOOKUP($B227,VmSpecs[[#All],[VM Name]],VmSpecs[[#All],[Operating System]],"Failed",0,1),"Pass","Fail")</f>
        <v>Fail</v>
      </c>
      <c r="BG227" t="str" cm="1">
        <f t="array" ref="BG227">IF(R227=_xlfn.XLOOKUP($B227,VmSpecs[[#All],[VM Name]],VmSpecs[[#All],[NIC name]],"Failed",0,1),"Pass","Fail")</f>
        <v>Fail</v>
      </c>
      <c r="BH227" t="str" cm="1">
        <f t="array" ref="BH227">IF(U227=_xlfn.XLOOKUP($B227,VmSpecs[[#All],[VM Name]],VmSpecs[[#All],[OS Disk Name]],"Failed",0,1),"Pass","Fail")</f>
        <v>Fail</v>
      </c>
      <c r="BI227" t="str" cm="1">
        <f t="array" ref="BI227">IF(W227=_xlfn.XLOOKUP($B227,VmSpecs[[#All],[VM Name]],VmSpecs[[#All],[OS Disk Size]],"Failed",0,1),"Pass","Fail")</f>
        <v>Fail</v>
      </c>
      <c r="BJ227" t="str" cm="1">
        <f t="array" ref="BJ227">IF(LEFT(X227,4)=LEFT(_xlfn.XLOOKUP($B227,VmSpecs[[#All],[VM Name]],VmSpecs[[#All],[OS Disk Type (Standard SSD etc)]],"Failed",0,1),4),"Pass","Fail")</f>
        <v>Fail</v>
      </c>
      <c r="BK227" t="str" cm="1">
        <f t="array" ref="BK227">IF(Z227=_xlfn.XLOOKUP($B227,VmSpecs[[#All],[VM Name]],VmSpecs[[#All],[Data Disk1 Name]],"Failed",0,1),"Pass","Fail")</f>
        <v>Fail</v>
      </c>
      <c r="BL227" t="str" cm="1">
        <f t="array" ref="BL227">IF(AA227=_xlfn.XLOOKUP($B227,VmSpecs[[#All],[VM Name]],VmSpecs[[#All],[Data Disk1 Size]],"Failed",0,1),"Pass","Fail")</f>
        <v>Fail</v>
      </c>
      <c r="BM227" t="str" cm="1">
        <f t="array" ref="BM227">IF(LEFT(AC227,4)=LEFT(_xlfn.XLOOKUP($B227,VmSpecs[[#All],[VM Name]],VmSpecs[[#All],[Data Disk1 Type]],"Failed",0,1),4),"Pass","Fail")</f>
        <v>Fail</v>
      </c>
      <c r="BO227" t="e">
        <f>VLOOKUP('VM Specs'!K227,'As Built'!B:B,1,FALSE)</f>
        <v>#N/A</v>
      </c>
      <c r="BP227" t="str">
        <f>IF(ISNA(Table613[[#This Row],[VM Build Sheet Check]]),'VM Specs'!K227,"")</f>
        <v>vmpfbpf2inj20</v>
      </c>
    </row>
    <row r="228" spans="1:68" ht="33" customHeight="1" x14ac:dyDescent="0.35">
      <c r="A228" t="str">
        <f>IF(COUNTIF(AsBuilt[[#This Row],[VM Check]:[Data Disk 1 Type Check]],"Fail")&gt;0,"Fail","Pass")</f>
        <v>Fail</v>
      </c>
      <c r="B228" t="s">
        <v>2352</v>
      </c>
      <c r="C228" t="s">
        <v>754</v>
      </c>
      <c r="D228" t="s">
        <v>2100</v>
      </c>
      <c r="E228" t="s">
        <v>756</v>
      </c>
      <c r="F228" t="s">
        <v>1067</v>
      </c>
      <c r="G228" t="s">
        <v>758</v>
      </c>
      <c r="H228" t="s">
        <v>2211</v>
      </c>
      <c r="J228" t="s">
        <v>760</v>
      </c>
      <c r="K228" t="s">
        <v>2102</v>
      </c>
      <c r="L228" t="s">
        <v>754</v>
      </c>
      <c r="M228" t="s">
        <v>2353</v>
      </c>
      <c r="N228" t="s">
        <v>2104</v>
      </c>
      <c r="O228" t="s">
        <v>2105</v>
      </c>
      <c r="P228" t="s">
        <v>521</v>
      </c>
      <c r="R228" t="s">
        <v>2354</v>
      </c>
      <c r="S228" t="s">
        <v>754</v>
      </c>
      <c r="U228" t="s">
        <v>2355</v>
      </c>
      <c r="V228" t="s">
        <v>767</v>
      </c>
      <c r="W228">
        <v>128</v>
      </c>
      <c r="X228" t="s">
        <v>768</v>
      </c>
      <c r="Y228">
        <v>2</v>
      </c>
      <c r="Z228" t="s">
        <v>2356</v>
      </c>
      <c r="AA228">
        <v>8</v>
      </c>
      <c r="AB228" t="s">
        <v>770</v>
      </c>
      <c r="AC228" t="s">
        <v>768</v>
      </c>
      <c r="AD228" t="s">
        <v>2357</v>
      </c>
      <c r="AE228">
        <v>32</v>
      </c>
      <c r="AF228" t="s">
        <v>770</v>
      </c>
      <c r="AG228" t="s">
        <v>768</v>
      </c>
      <c r="AT228" t="s">
        <v>2217</v>
      </c>
      <c r="AU228" t="s">
        <v>2358</v>
      </c>
      <c r="AV228" t="str" cm="1">
        <f t="array" ref="AV228">IF(B228=_xlfn.XLOOKUP(B228,VmSpecs[[#All],[VM Name]],VmSpecs[[#All],[VM Name]],"Failed",0,1),"Pass","Fail")</f>
        <v>Fail</v>
      </c>
      <c r="AW228" t="str" cm="1">
        <f t="array" ref="AW228">IF(D228=_xlfn.XLOOKUP($B228,VmSpecs[[#All],[VM Name]],VmSpecs[[#All],[Virtual Machine Resource Groups]],"Failed",0,1),"Pass","Fail")</f>
        <v>Fail</v>
      </c>
      <c r="AX228" t="str" cm="1">
        <f t="array" ref="AX228">IF(_xlfn.IFS(E228="australiacentral","Australia Central 1",E228="australiaeast","Australia East",E228="australiasoutheast","Australia SouthEast")=_xlfn.XLOOKUP($B228,VmSpecs[[#All],[VM Name]],VmSpecs[[#All],[Region]],"Failed",0,1),"Pass","Fail")</f>
        <v>Fail</v>
      </c>
      <c r="AY228" t="str" cm="1">
        <f t="array" ref="AY228">IF(F228=_xlfn.XLOOKUP($B228,VmSpecs[[#All],[VM Name]],VmSpecs[[#All],[Instance size]],"Failed",0,1),"Pass","Fail")</f>
        <v>Fail</v>
      </c>
      <c r="AZ228" t="str" cm="1">
        <f t="array" ref="AZ228">IF(LOWER(H228)=_xlfn.XLOOKUP($B228,VmSpecs[[#All],[VM Name]],VmSpecs[[#All],[Availability Set Name]],"Failed",0,1),"Pass","Fail")</f>
        <v>Fail</v>
      </c>
      <c r="BA228" t="str" cm="1">
        <f t="array" ref="BA228">IF(J228=_xlfn.XLOOKUP($B228,VmSpecs[[#All],[VM Name]],VmSpecs[[#All],[Virtual Network]],"Failed",0,1),"Pass","Fail")</f>
        <v>Fail</v>
      </c>
      <c r="BB228" t="str" cm="1">
        <f t="array" ref="BB228">IF(K228=_xlfn.XLOOKUP($B228,VmSpecs[[#All],[VM Name]],VmSpecs[[#All],[Subnet]],"Failed",0,1),"Pass","Fail")</f>
        <v>Fail</v>
      </c>
      <c r="BC228" t="str" cm="1">
        <f t="array" ref="BC228">IF(M228=_xlfn.XLOOKUP($B228,VmSpecs[[#All],[VM Name]],VmSpecs[[#All],[IP]],"Failed",0,1),"Pass","Fail")</f>
        <v>Fail</v>
      </c>
      <c r="BD228" t="str" cm="1">
        <f t="array" ref="BD228">IF(N228=_xlfn.XLOOKUP($B228,VmSpecs[[#All],[VM Name]],VmSpecs[[#All],[Network Security Group]],"Failed",0,1),"Pass","Fail")</f>
        <v>Fail</v>
      </c>
      <c r="BE228" t="str" cm="1">
        <f t="array" ref="BE228">IF(O228=_xlfn.XLOOKUP($B228,VmSpecs[[#All],[VM Name]],VmSpecs[[#All],[Route Table Name]],"Failed",0,1),"Pass","Fail")</f>
        <v>Fail</v>
      </c>
      <c r="BF228" t="str" cm="1">
        <f t="array" ref="BF228">IF(P228=_xlfn.XLOOKUP($B228,VmSpecs[[#All],[VM Name]],VmSpecs[[#All],[Operating System]],"Failed",0,1),"Pass","Fail")</f>
        <v>Fail</v>
      </c>
      <c r="BG228" t="str" cm="1">
        <f t="array" ref="BG228">IF(R228=_xlfn.XLOOKUP($B228,VmSpecs[[#All],[VM Name]],VmSpecs[[#All],[NIC name]],"Failed",0,1),"Pass","Fail")</f>
        <v>Fail</v>
      </c>
      <c r="BH228" t="str" cm="1">
        <f t="array" ref="BH228">IF(U228=_xlfn.XLOOKUP($B228,VmSpecs[[#All],[VM Name]],VmSpecs[[#All],[OS Disk Name]],"Failed",0,1),"Pass","Fail")</f>
        <v>Fail</v>
      </c>
      <c r="BI228" t="str" cm="1">
        <f t="array" ref="BI228">IF(W228=_xlfn.XLOOKUP($B228,VmSpecs[[#All],[VM Name]],VmSpecs[[#All],[OS Disk Size]],"Failed",0,1),"Pass","Fail")</f>
        <v>Fail</v>
      </c>
      <c r="BJ228" t="str" cm="1">
        <f t="array" ref="BJ228">IF(LEFT(X228,4)=LEFT(_xlfn.XLOOKUP($B228,VmSpecs[[#All],[VM Name]],VmSpecs[[#All],[OS Disk Type (Standard SSD etc)]],"Failed",0,1),4),"Pass","Fail")</f>
        <v>Fail</v>
      </c>
      <c r="BK228" t="str" cm="1">
        <f t="array" ref="BK228">IF(Z228=_xlfn.XLOOKUP($B228,VmSpecs[[#All],[VM Name]],VmSpecs[[#All],[Data Disk1 Name]],"Failed",0,1),"Pass","Fail")</f>
        <v>Fail</v>
      </c>
      <c r="BL228" t="str" cm="1">
        <f t="array" ref="BL228">IF(AA228=_xlfn.XLOOKUP($B228,VmSpecs[[#All],[VM Name]],VmSpecs[[#All],[Data Disk1 Size]],"Failed",0,1),"Pass","Fail")</f>
        <v>Fail</v>
      </c>
      <c r="BM228" t="str" cm="1">
        <f t="array" ref="BM228">IF(LEFT(AC228,4)=LEFT(_xlfn.XLOOKUP($B228,VmSpecs[[#All],[VM Name]],VmSpecs[[#All],[Data Disk1 Type]],"Failed",0,1),4),"Pass","Fail")</f>
        <v>Fail</v>
      </c>
      <c r="BO228" t="e">
        <f>VLOOKUP('VM Specs'!K228,'As Built'!B:B,1,FALSE)</f>
        <v>#N/A</v>
      </c>
      <c r="BP228" t="str">
        <f>IF(ISNA(Table613[[#This Row],[VM Build Sheet Check]]),'VM Specs'!K228,"")</f>
        <v>vmpfbpf2inj21</v>
      </c>
    </row>
    <row r="229" spans="1:68" ht="33" customHeight="1" x14ac:dyDescent="0.35">
      <c r="A229" t="str">
        <f>IF(COUNTIF(AsBuilt[[#This Row],[VM Check]:[Data Disk 1 Type Check]],"Fail")&gt;0,"Fail","Pass")</f>
        <v>Fail</v>
      </c>
      <c r="B229" t="s">
        <v>2359</v>
      </c>
      <c r="C229" t="s">
        <v>754</v>
      </c>
      <c r="D229" t="s">
        <v>2100</v>
      </c>
      <c r="E229" t="s">
        <v>756</v>
      </c>
      <c r="F229" t="s">
        <v>1067</v>
      </c>
      <c r="G229" t="s">
        <v>758</v>
      </c>
      <c r="H229" t="s">
        <v>2211</v>
      </c>
      <c r="J229" t="s">
        <v>760</v>
      </c>
      <c r="K229" t="s">
        <v>2102</v>
      </c>
      <c r="L229" t="s">
        <v>754</v>
      </c>
      <c r="M229" t="s">
        <v>2360</v>
      </c>
      <c r="N229" t="s">
        <v>2104</v>
      </c>
      <c r="O229" t="s">
        <v>2105</v>
      </c>
      <c r="P229" t="s">
        <v>521</v>
      </c>
      <c r="R229" t="s">
        <v>2361</v>
      </c>
      <c r="S229" t="s">
        <v>754</v>
      </c>
      <c r="U229" t="s">
        <v>2362</v>
      </c>
      <c r="V229" t="s">
        <v>767</v>
      </c>
      <c r="W229">
        <v>128</v>
      </c>
      <c r="X229" t="s">
        <v>768</v>
      </c>
      <c r="Y229">
        <v>2</v>
      </c>
      <c r="Z229" t="s">
        <v>2363</v>
      </c>
      <c r="AA229">
        <v>8</v>
      </c>
      <c r="AB229" t="s">
        <v>770</v>
      </c>
      <c r="AC229" t="s">
        <v>768</v>
      </c>
      <c r="AD229" t="s">
        <v>2364</v>
      </c>
      <c r="AE229">
        <v>32</v>
      </c>
      <c r="AF229" t="s">
        <v>770</v>
      </c>
      <c r="AG229" t="s">
        <v>768</v>
      </c>
      <c r="AT229" t="s">
        <v>2217</v>
      </c>
      <c r="AU229" t="s">
        <v>2365</v>
      </c>
      <c r="AV229" t="str" cm="1">
        <f t="array" ref="AV229">IF(B229=_xlfn.XLOOKUP(B229,VmSpecs[[#All],[VM Name]],VmSpecs[[#All],[VM Name]],"Failed",0,1),"Pass","Fail")</f>
        <v>Fail</v>
      </c>
      <c r="AW229" t="str" cm="1">
        <f t="array" ref="AW229">IF(D229=_xlfn.XLOOKUP($B229,VmSpecs[[#All],[VM Name]],VmSpecs[[#All],[Virtual Machine Resource Groups]],"Failed",0,1),"Pass","Fail")</f>
        <v>Fail</v>
      </c>
      <c r="AX229" t="str" cm="1">
        <f t="array" ref="AX229">IF(_xlfn.IFS(E229="australiacentral","Australia Central 1",E229="australiaeast","Australia East",E229="australiasoutheast","Australia SouthEast")=_xlfn.XLOOKUP($B229,VmSpecs[[#All],[VM Name]],VmSpecs[[#All],[Region]],"Failed",0,1),"Pass","Fail")</f>
        <v>Fail</v>
      </c>
      <c r="AY229" t="str" cm="1">
        <f t="array" ref="AY229">IF(F229=_xlfn.XLOOKUP($B229,VmSpecs[[#All],[VM Name]],VmSpecs[[#All],[Instance size]],"Failed",0,1),"Pass","Fail")</f>
        <v>Fail</v>
      </c>
      <c r="AZ229" t="str" cm="1">
        <f t="array" ref="AZ229">IF(LOWER(H229)=_xlfn.XLOOKUP($B229,VmSpecs[[#All],[VM Name]],VmSpecs[[#All],[Availability Set Name]],"Failed",0,1),"Pass","Fail")</f>
        <v>Fail</v>
      </c>
      <c r="BA229" t="str" cm="1">
        <f t="array" ref="BA229">IF(J229=_xlfn.XLOOKUP($B229,VmSpecs[[#All],[VM Name]],VmSpecs[[#All],[Virtual Network]],"Failed",0,1),"Pass","Fail")</f>
        <v>Fail</v>
      </c>
      <c r="BB229" t="str" cm="1">
        <f t="array" ref="BB229">IF(K229=_xlfn.XLOOKUP($B229,VmSpecs[[#All],[VM Name]],VmSpecs[[#All],[Subnet]],"Failed",0,1),"Pass","Fail")</f>
        <v>Fail</v>
      </c>
      <c r="BC229" t="str" cm="1">
        <f t="array" ref="BC229">IF(M229=_xlfn.XLOOKUP($B229,VmSpecs[[#All],[VM Name]],VmSpecs[[#All],[IP]],"Failed",0,1),"Pass","Fail")</f>
        <v>Fail</v>
      </c>
      <c r="BD229" t="str" cm="1">
        <f t="array" ref="BD229">IF(N229=_xlfn.XLOOKUP($B229,VmSpecs[[#All],[VM Name]],VmSpecs[[#All],[Network Security Group]],"Failed",0,1),"Pass","Fail")</f>
        <v>Fail</v>
      </c>
      <c r="BE229" t="str" cm="1">
        <f t="array" ref="BE229">IF(O229=_xlfn.XLOOKUP($B229,VmSpecs[[#All],[VM Name]],VmSpecs[[#All],[Route Table Name]],"Failed",0,1),"Pass","Fail")</f>
        <v>Fail</v>
      </c>
      <c r="BF229" t="str" cm="1">
        <f t="array" ref="BF229">IF(P229=_xlfn.XLOOKUP($B229,VmSpecs[[#All],[VM Name]],VmSpecs[[#All],[Operating System]],"Failed",0,1),"Pass","Fail")</f>
        <v>Fail</v>
      </c>
      <c r="BG229" t="str" cm="1">
        <f t="array" ref="BG229">IF(R229=_xlfn.XLOOKUP($B229,VmSpecs[[#All],[VM Name]],VmSpecs[[#All],[NIC name]],"Failed",0,1),"Pass","Fail")</f>
        <v>Fail</v>
      </c>
      <c r="BH229" t="str" cm="1">
        <f t="array" ref="BH229">IF(U229=_xlfn.XLOOKUP($B229,VmSpecs[[#All],[VM Name]],VmSpecs[[#All],[OS Disk Name]],"Failed",0,1),"Pass","Fail")</f>
        <v>Fail</v>
      </c>
      <c r="BI229" t="str" cm="1">
        <f t="array" ref="BI229">IF(W229=_xlfn.XLOOKUP($B229,VmSpecs[[#All],[VM Name]],VmSpecs[[#All],[OS Disk Size]],"Failed",0,1),"Pass","Fail")</f>
        <v>Fail</v>
      </c>
      <c r="BJ229" t="str" cm="1">
        <f t="array" ref="BJ229">IF(LEFT(X229,4)=LEFT(_xlfn.XLOOKUP($B229,VmSpecs[[#All],[VM Name]],VmSpecs[[#All],[OS Disk Type (Standard SSD etc)]],"Failed",0,1),4),"Pass","Fail")</f>
        <v>Fail</v>
      </c>
      <c r="BK229" t="str" cm="1">
        <f t="array" ref="BK229">IF(Z229=_xlfn.XLOOKUP($B229,VmSpecs[[#All],[VM Name]],VmSpecs[[#All],[Data Disk1 Name]],"Failed",0,1),"Pass","Fail")</f>
        <v>Fail</v>
      </c>
      <c r="BL229" t="str" cm="1">
        <f t="array" ref="BL229">IF(AA229=_xlfn.XLOOKUP($B229,VmSpecs[[#All],[VM Name]],VmSpecs[[#All],[Data Disk1 Size]],"Failed",0,1),"Pass","Fail")</f>
        <v>Fail</v>
      </c>
      <c r="BM229" t="str" cm="1">
        <f t="array" ref="BM229">IF(LEFT(AC229,4)=LEFT(_xlfn.XLOOKUP($B229,VmSpecs[[#All],[VM Name]],VmSpecs[[#All],[Data Disk1 Type]],"Failed",0,1),4),"Pass","Fail")</f>
        <v>Fail</v>
      </c>
      <c r="BO229" t="e">
        <f>VLOOKUP('VM Specs'!K229,'As Built'!B:B,1,FALSE)</f>
        <v>#N/A</v>
      </c>
      <c r="BP229" t="str">
        <f>IF(ISNA(Table613[[#This Row],[VM Build Sheet Check]]),'VM Specs'!K229,"")</f>
        <v>vmpfbpf2inj22</v>
      </c>
    </row>
    <row r="230" spans="1:68" ht="33" customHeight="1" x14ac:dyDescent="0.35">
      <c r="A230" t="str">
        <f>IF(COUNTIF(AsBuilt[[#This Row],[VM Check]:[Data Disk 1 Type Check]],"Fail")&gt;0,"Fail","Pass")</f>
        <v>Fail</v>
      </c>
      <c r="B230" t="s">
        <v>2366</v>
      </c>
      <c r="C230" t="s">
        <v>754</v>
      </c>
      <c r="D230" t="s">
        <v>2100</v>
      </c>
      <c r="E230" t="s">
        <v>756</v>
      </c>
      <c r="F230" t="s">
        <v>757</v>
      </c>
      <c r="G230" t="s">
        <v>758</v>
      </c>
      <c r="H230" t="s">
        <v>2211</v>
      </c>
      <c r="J230" t="s">
        <v>760</v>
      </c>
      <c r="K230" t="s">
        <v>2102</v>
      </c>
      <c r="L230" t="s">
        <v>754</v>
      </c>
      <c r="M230" t="s">
        <v>2367</v>
      </c>
      <c r="N230" t="s">
        <v>2104</v>
      </c>
      <c r="O230" t="s">
        <v>2105</v>
      </c>
      <c r="P230" t="s">
        <v>521</v>
      </c>
      <c r="R230" t="s">
        <v>2368</v>
      </c>
      <c r="S230" t="s">
        <v>754</v>
      </c>
      <c r="U230" t="s">
        <v>2369</v>
      </c>
      <c r="V230" t="s">
        <v>767</v>
      </c>
      <c r="W230">
        <v>128</v>
      </c>
      <c r="X230" t="s">
        <v>768</v>
      </c>
      <c r="Y230">
        <v>2</v>
      </c>
      <c r="Z230" t="s">
        <v>2370</v>
      </c>
      <c r="AA230">
        <v>8</v>
      </c>
      <c r="AB230" t="s">
        <v>770</v>
      </c>
      <c r="AC230" t="s">
        <v>768</v>
      </c>
      <c r="AD230" t="s">
        <v>2371</v>
      </c>
      <c r="AE230">
        <v>32</v>
      </c>
      <c r="AF230" t="s">
        <v>770</v>
      </c>
      <c r="AG230" t="s">
        <v>768</v>
      </c>
      <c r="AT230" t="s">
        <v>2217</v>
      </c>
      <c r="AU230" t="s">
        <v>2372</v>
      </c>
      <c r="AV230" t="str" cm="1">
        <f t="array" ref="AV230">IF(B230=_xlfn.XLOOKUP(B230,VmSpecs[[#All],[VM Name]],VmSpecs[[#All],[VM Name]],"Failed",0,1),"Pass","Fail")</f>
        <v>Fail</v>
      </c>
      <c r="AW230" t="str" cm="1">
        <f t="array" ref="AW230">IF(D230=_xlfn.XLOOKUP($B230,VmSpecs[[#All],[VM Name]],VmSpecs[[#All],[Virtual Machine Resource Groups]],"Failed",0,1),"Pass","Fail")</f>
        <v>Fail</v>
      </c>
      <c r="AX230" t="str" cm="1">
        <f t="array" ref="AX230">IF(_xlfn.IFS(E230="australiacentral","Australia Central 1",E230="australiaeast","Australia East",E230="australiasoutheast","Australia SouthEast")=_xlfn.XLOOKUP($B230,VmSpecs[[#All],[VM Name]],VmSpecs[[#All],[Region]],"Failed",0,1),"Pass","Fail")</f>
        <v>Fail</v>
      </c>
      <c r="AY230" t="str" cm="1">
        <f t="array" ref="AY230">IF(F230=_xlfn.XLOOKUP($B230,VmSpecs[[#All],[VM Name]],VmSpecs[[#All],[Instance size]],"Failed",0,1),"Pass","Fail")</f>
        <v>Fail</v>
      </c>
      <c r="AZ230" t="str" cm="1">
        <f t="array" ref="AZ230">IF(LOWER(H230)=_xlfn.XLOOKUP($B230,VmSpecs[[#All],[VM Name]],VmSpecs[[#All],[Availability Set Name]],"Failed",0,1),"Pass","Fail")</f>
        <v>Fail</v>
      </c>
      <c r="BA230" t="str" cm="1">
        <f t="array" ref="BA230">IF(J230=_xlfn.XLOOKUP($B230,VmSpecs[[#All],[VM Name]],VmSpecs[[#All],[Virtual Network]],"Failed",0,1),"Pass","Fail")</f>
        <v>Fail</v>
      </c>
      <c r="BB230" t="str" cm="1">
        <f t="array" ref="BB230">IF(K230=_xlfn.XLOOKUP($B230,VmSpecs[[#All],[VM Name]],VmSpecs[[#All],[Subnet]],"Failed",0,1),"Pass","Fail")</f>
        <v>Fail</v>
      </c>
      <c r="BC230" t="str" cm="1">
        <f t="array" ref="BC230">IF(M230=_xlfn.XLOOKUP($B230,VmSpecs[[#All],[VM Name]],VmSpecs[[#All],[IP]],"Failed",0,1),"Pass","Fail")</f>
        <v>Fail</v>
      </c>
      <c r="BD230" t="str" cm="1">
        <f t="array" ref="BD230">IF(N230=_xlfn.XLOOKUP($B230,VmSpecs[[#All],[VM Name]],VmSpecs[[#All],[Network Security Group]],"Failed",0,1),"Pass","Fail")</f>
        <v>Fail</v>
      </c>
      <c r="BE230" t="str" cm="1">
        <f t="array" ref="BE230">IF(O230=_xlfn.XLOOKUP($B230,VmSpecs[[#All],[VM Name]],VmSpecs[[#All],[Route Table Name]],"Failed",0,1),"Pass","Fail")</f>
        <v>Fail</v>
      </c>
      <c r="BF230" t="str" cm="1">
        <f t="array" ref="BF230">IF(P230=_xlfn.XLOOKUP($B230,VmSpecs[[#All],[VM Name]],VmSpecs[[#All],[Operating System]],"Failed",0,1),"Pass","Fail")</f>
        <v>Fail</v>
      </c>
      <c r="BG230" t="str" cm="1">
        <f t="array" ref="BG230">IF(R230=_xlfn.XLOOKUP($B230,VmSpecs[[#All],[VM Name]],VmSpecs[[#All],[NIC name]],"Failed",0,1),"Pass","Fail")</f>
        <v>Fail</v>
      </c>
      <c r="BH230" t="str" cm="1">
        <f t="array" ref="BH230">IF(U230=_xlfn.XLOOKUP($B230,VmSpecs[[#All],[VM Name]],VmSpecs[[#All],[OS Disk Name]],"Failed",0,1),"Pass","Fail")</f>
        <v>Fail</v>
      </c>
      <c r="BI230" t="str" cm="1">
        <f t="array" ref="BI230">IF(W230=_xlfn.XLOOKUP($B230,VmSpecs[[#All],[VM Name]],VmSpecs[[#All],[OS Disk Size]],"Failed",0,1),"Pass","Fail")</f>
        <v>Fail</v>
      </c>
      <c r="BJ230" t="str" cm="1">
        <f t="array" ref="BJ230">IF(LEFT(X230,4)=LEFT(_xlfn.XLOOKUP($B230,VmSpecs[[#All],[VM Name]],VmSpecs[[#All],[OS Disk Type (Standard SSD etc)]],"Failed",0,1),4),"Pass","Fail")</f>
        <v>Fail</v>
      </c>
      <c r="BK230" t="str" cm="1">
        <f t="array" ref="BK230">IF(Z230=_xlfn.XLOOKUP($B230,VmSpecs[[#All],[VM Name]],VmSpecs[[#All],[Data Disk1 Name]],"Failed",0,1),"Pass","Fail")</f>
        <v>Fail</v>
      </c>
      <c r="BL230" t="str" cm="1">
        <f t="array" ref="BL230">IF(AA230=_xlfn.XLOOKUP($B230,VmSpecs[[#All],[VM Name]],VmSpecs[[#All],[Data Disk1 Size]],"Failed",0,1),"Pass","Fail")</f>
        <v>Fail</v>
      </c>
      <c r="BM230" t="str" cm="1">
        <f t="array" ref="BM230">IF(LEFT(AC230,4)=LEFT(_xlfn.XLOOKUP($B230,VmSpecs[[#All],[VM Name]],VmSpecs[[#All],[Data Disk1 Type]],"Failed",0,1),4),"Pass","Fail")</f>
        <v>Fail</v>
      </c>
      <c r="BO230" t="e">
        <f>VLOOKUP('VM Specs'!K230,'As Built'!B:B,1,FALSE)</f>
        <v>#N/A</v>
      </c>
      <c r="BP230" t="str">
        <f>IF(ISNA(Table613[[#This Row],[VM Build Sheet Check]]),'VM Specs'!K230,"")</f>
        <v>vmpfbpf2inj23</v>
      </c>
    </row>
    <row r="231" spans="1:68" ht="33" customHeight="1" x14ac:dyDescent="0.35">
      <c r="A231" t="str">
        <f>IF(COUNTIF(AsBuilt[[#This Row],[VM Check]:[Data Disk 1 Type Check]],"Fail")&gt;0,"Fail","Pass")</f>
        <v>Fail</v>
      </c>
      <c r="B231" t="s">
        <v>2373</v>
      </c>
      <c r="C231" t="s">
        <v>754</v>
      </c>
      <c r="D231" t="s">
        <v>2100</v>
      </c>
      <c r="E231" t="s">
        <v>756</v>
      </c>
      <c r="F231" t="s">
        <v>757</v>
      </c>
      <c r="G231" t="s">
        <v>758</v>
      </c>
      <c r="H231" t="s">
        <v>2211</v>
      </c>
      <c r="J231" t="s">
        <v>760</v>
      </c>
      <c r="K231" t="s">
        <v>2102</v>
      </c>
      <c r="L231" t="s">
        <v>754</v>
      </c>
      <c r="M231" t="s">
        <v>2374</v>
      </c>
      <c r="N231" t="s">
        <v>2104</v>
      </c>
      <c r="O231" t="s">
        <v>2105</v>
      </c>
      <c r="P231" t="s">
        <v>521</v>
      </c>
      <c r="R231" t="s">
        <v>2375</v>
      </c>
      <c r="S231" t="s">
        <v>754</v>
      </c>
      <c r="U231" t="s">
        <v>2376</v>
      </c>
      <c r="V231" t="s">
        <v>767</v>
      </c>
      <c r="W231">
        <v>128</v>
      </c>
      <c r="X231" t="s">
        <v>768</v>
      </c>
      <c r="Y231">
        <v>2</v>
      </c>
      <c r="Z231" t="s">
        <v>2377</v>
      </c>
      <c r="AA231">
        <v>8</v>
      </c>
      <c r="AB231" t="s">
        <v>770</v>
      </c>
      <c r="AC231" t="s">
        <v>768</v>
      </c>
      <c r="AD231" t="s">
        <v>2378</v>
      </c>
      <c r="AE231">
        <v>32</v>
      </c>
      <c r="AF231" t="s">
        <v>770</v>
      </c>
      <c r="AG231" t="s">
        <v>768</v>
      </c>
      <c r="AT231" t="s">
        <v>2217</v>
      </c>
      <c r="AU231" t="s">
        <v>2379</v>
      </c>
      <c r="AV231" t="str" cm="1">
        <f t="array" ref="AV231">IF(B231=_xlfn.XLOOKUP(B231,VmSpecs[[#All],[VM Name]],VmSpecs[[#All],[VM Name]],"Failed",0,1),"Pass","Fail")</f>
        <v>Fail</v>
      </c>
      <c r="AW231" t="str" cm="1">
        <f t="array" ref="AW231">IF(D231=_xlfn.XLOOKUP($B231,VmSpecs[[#All],[VM Name]],VmSpecs[[#All],[Virtual Machine Resource Groups]],"Failed",0,1),"Pass","Fail")</f>
        <v>Fail</v>
      </c>
      <c r="AX231" t="str" cm="1">
        <f t="array" ref="AX231">IF(_xlfn.IFS(E231="australiacentral","Australia Central 1",E231="australiaeast","Australia East",E231="australiasoutheast","Australia SouthEast")=_xlfn.XLOOKUP($B231,VmSpecs[[#All],[VM Name]],VmSpecs[[#All],[Region]],"Failed",0,1),"Pass","Fail")</f>
        <v>Fail</v>
      </c>
      <c r="AY231" t="str" cm="1">
        <f t="array" ref="AY231">IF(F231=_xlfn.XLOOKUP($B231,VmSpecs[[#All],[VM Name]],VmSpecs[[#All],[Instance size]],"Failed",0,1),"Pass","Fail")</f>
        <v>Fail</v>
      </c>
      <c r="AZ231" t="str" cm="1">
        <f t="array" ref="AZ231">IF(LOWER(H231)=_xlfn.XLOOKUP($B231,VmSpecs[[#All],[VM Name]],VmSpecs[[#All],[Availability Set Name]],"Failed",0,1),"Pass","Fail")</f>
        <v>Fail</v>
      </c>
      <c r="BA231" t="str" cm="1">
        <f t="array" ref="BA231">IF(J231=_xlfn.XLOOKUP($B231,VmSpecs[[#All],[VM Name]],VmSpecs[[#All],[Virtual Network]],"Failed",0,1),"Pass","Fail")</f>
        <v>Fail</v>
      </c>
      <c r="BB231" t="str" cm="1">
        <f t="array" ref="BB231">IF(K231=_xlfn.XLOOKUP($B231,VmSpecs[[#All],[VM Name]],VmSpecs[[#All],[Subnet]],"Failed",0,1),"Pass","Fail")</f>
        <v>Fail</v>
      </c>
      <c r="BC231" t="str" cm="1">
        <f t="array" ref="BC231">IF(M231=_xlfn.XLOOKUP($B231,VmSpecs[[#All],[VM Name]],VmSpecs[[#All],[IP]],"Failed",0,1),"Pass","Fail")</f>
        <v>Fail</v>
      </c>
      <c r="BD231" t="str" cm="1">
        <f t="array" ref="BD231">IF(N231=_xlfn.XLOOKUP($B231,VmSpecs[[#All],[VM Name]],VmSpecs[[#All],[Network Security Group]],"Failed",0,1),"Pass","Fail")</f>
        <v>Fail</v>
      </c>
      <c r="BE231" t="str" cm="1">
        <f t="array" ref="BE231">IF(O231=_xlfn.XLOOKUP($B231,VmSpecs[[#All],[VM Name]],VmSpecs[[#All],[Route Table Name]],"Failed",0,1),"Pass","Fail")</f>
        <v>Fail</v>
      </c>
      <c r="BF231" t="str" cm="1">
        <f t="array" ref="BF231">IF(P231=_xlfn.XLOOKUP($B231,VmSpecs[[#All],[VM Name]],VmSpecs[[#All],[Operating System]],"Failed",0,1),"Pass","Fail")</f>
        <v>Fail</v>
      </c>
      <c r="BG231" t="str" cm="1">
        <f t="array" ref="BG231">IF(R231=_xlfn.XLOOKUP($B231,VmSpecs[[#All],[VM Name]],VmSpecs[[#All],[NIC name]],"Failed",0,1),"Pass","Fail")</f>
        <v>Fail</v>
      </c>
      <c r="BH231" t="str" cm="1">
        <f t="array" ref="BH231">IF(U231=_xlfn.XLOOKUP($B231,VmSpecs[[#All],[VM Name]],VmSpecs[[#All],[OS Disk Name]],"Failed",0,1),"Pass","Fail")</f>
        <v>Fail</v>
      </c>
      <c r="BI231" t="str" cm="1">
        <f t="array" ref="BI231">IF(W231=_xlfn.XLOOKUP($B231,VmSpecs[[#All],[VM Name]],VmSpecs[[#All],[OS Disk Size]],"Failed",0,1),"Pass","Fail")</f>
        <v>Fail</v>
      </c>
      <c r="BJ231" t="str" cm="1">
        <f t="array" ref="BJ231">IF(LEFT(X231,4)=LEFT(_xlfn.XLOOKUP($B231,VmSpecs[[#All],[VM Name]],VmSpecs[[#All],[OS Disk Type (Standard SSD etc)]],"Failed",0,1),4),"Pass","Fail")</f>
        <v>Fail</v>
      </c>
      <c r="BK231" t="str" cm="1">
        <f t="array" ref="BK231">IF(Z231=_xlfn.XLOOKUP($B231,VmSpecs[[#All],[VM Name]],VmSpecs[[#All],[Data Disk1 Name]],"Failed",0,1),"Pass","Fail")</f>
        <v>Fail</v>
      </c>
      <c r="BL231" t="str" cm="1">
        <f t="array" ref="BL231">IF(AA231=_xlfn.XLOOKUP($B231,VmSpecs[[#All],[VM Name]],VmSpecs[[#All],[Data Disk1 Size]],"Failed",0,1),"Pass","Fail")</f>
        <v>Fail</v>
      </c>
      <c r="BM231" t="str" cm="1">
        <f t="array" ref="BM231">IF(LEFT(AC231,4)=LEFT(_xlfn.XLOOKUP($B231,VmSpecs[[#All],[VM Name]],VmSpecs[[#All],[Data Disk1 Type]],"Failed",0,1),4),"Pass","Fail")</f>
        <v>Fail</v>
      </c>
      <c r="BO231" t="e">
        <f>VLOOKUP('VM Specs'!K231,'As Built'!B:B,1,FALSE)</f>
        <v>#N/A</v>
      </c>
      <c r="BP231" t="str">
        <f>IF(ISNA(Table613[[#This Row],[VM Build Sheet Check]]),'VM Specs'!K231,"")</f>
        <v>vmpfbpf2inj24</v>
      </c>
    </row>
    <row r="232" spans="1:68" ht="33" customHeight="1" x14ac:dyDescent="0.35">
      <c r="A232" t="str">
        <f>IF(COUNTIF(AsBuilt[[#This Row],[VM Check]:[Data Disk 1 Type Check]],"Fail")&gt;0,"Fail","Pass")</f>
        <v>Fail</v>
      </c>
      <c r="B232" t="s">
        <v>2380</v>
      </c>
      <c r="C232" t="s">
        <v>754</v>
      </c>
      <c r="D232" t="s">
        <v>2100</v>
      </c>
      <c r="E232" t="s">
        <v>756</v>
      </c>
      <c r="F232" t="s">
        <v>757</v>
      </c>
      <c r="G232" t="s">
        <v>758</v>
      </c>
      <c r="H232" t="s">
        <v>2211</v>
      </c>
      <c r="J232" t="s">
        <v>760</v>
      </c>
      <c r="K232" t="s">
        <v>2102</v>
      </c>
      <c r="L232" t="s">
        <v>754</v>
      </c>
      <c r="M232" t="s">
        <v>2381</v>
      </c>
      <c r="N232" t="s">
        <v>2104</v>
      </c>
      <c r="O232" t="s">
        <v>2105</v>
      </c>
      <c r="P232" t="s">
        <v>521</v>
      </c>
      <c r="R232" t="s">
        <v>2382</v>
      </c>
      <c r="S232" t="s">
        <v>754</v>
      </c>
      <c r="U232" t="s">
        <v>2383</v>
      </c>
      <c r="V232" t="s">
        <v>767</v>
      </c>
      <c r="W232">
        <v>128</v>
      </c>
      <c r="X232" t="s">
        <v>768</v>
      </c>
      <c r="Y232">
        <v>2</v>
      </c>
      <c r="Z232" t="s">
        <v>2384</v>
      </c>
      <c r="AA232">
        <v>8</v>
      </c>
      <c r="AB232" t="s">
        <v>770</v>
      </c>
      <c r="AC232" t="s">
        <v>768</v>
      </c>
      <c r="AD232" t="s">
        <v>2385</v>
      </c>
      <c r="AE232">
        <v>32</v>
      </c>
      <c r="AF232" t="s">
        <v>770</v>
      </c>
      <c r="AG232" t="s">
        <v>768</v>
      </c>
      <c r="AT232" t="s">
        <v>2217</v>
      </c>
      <c r="AU232" t="s">
        <v>2386</v>
      </c>
      <c r="AV232" t="str" cm="1">
        <f t="array" ref="AV232">IF(B232=_xlfn.XLOOKUP(B232,VmSpecs[[#All],[VM Name]],VmSpecs[[#All],[VM Name]],"Failed",0,1),"Pass","Fail")</f>
        <v>Fail</v>
      </c>
      <c r="AW232" t="str" cm="1">
        <f t="array" ref="AW232">IF(D232=_xlfn.XLOOKUP($B232,VmSpecs[[#All],[VM Name]],VmSpecs[[#All],[Virtual Machine Resource Groups]],"Failed",0,1),"Pass","Fail")</f>
        <v>Fail</v>
      </c>
      <c r="AX232" t="str" cm="1">
        <f t="array" ref="AX232">IF(_xlfn.IFS(E232="australiacentral","Australia Central 1",E232="australiaeast","Australia East",E232="australiasoutheast","Australia SouthEast")=_xlfn.XLOOKUP($B232,VmSpecs[[#All],[VM Name]],VmSpecs[[#All],[Region]],"Failed",0,1),"Pass","Fail")</f>
        <v>Fail</v>
      </c>
      <c r="AY232" t="str" cm="1">
        <f t="array" ref="AY232">IF(F232=_xlfn.XLOOKUP($B232,VmSpecs[[#All],[VM Name]],VmSpecs[[#All],[Instance size]],"Failed",0,1),"Pass","Fail")</f>
        <v>Fail</v>
      </c>
      <c r="AZ232" t="str" cm="1">
        <f t="array" ref="AZ232">IF(LOWER(H232)=_xlfn.XLOOKUP($B232,VmSpecs[[#All],[VM Name]],VmSpecs[[#All],[Availability Set Name]],"Failed",0,1),"Pass","Fail")</f>
        <v>Fail</v>
      </c>
      <c r="BA232" t="str" cm="1">
        <f t="array" ref="BA232">IF(J232=_xlfn.XLOOKUP($B232,VmSpecs[[#All],[VM Name]],VmSpecs[[#All],[Virtual Network]],"Failed",0,1),"Pass","Fail")</f>
        <v>Fail</v>
      </c>
      <c r="BB232" t="str" cm="1">
        <f t="array" ref="BB232">IF(K232=_xlfn.XLOOKUP($B232,VmSpecs[[#All],[VM Name]],VmSpecs[[#All],[Subnet]],"Failed",0,1),"Pass","Fail")</f>
        <v>Fail</v>
      </c>
      <c r="BC232" t="str" cm="1">
        <f t="array" ref="BC232">IF(M232=_xlfn.XLOOKUP($B232,VmSpecs[[#All],[VM Name]],VmSpecs[[#All],[IP]],"Failed",0,1),"Pass","Fail")</f>
        <v>Fail</v>
      </c>
      <c r="BD232" t="str" cm="1">
        <f t="array" ref="BD232">IF(N232=_xlfn.XLOOKUP($B232,VmSpecs[[#All],[VM Name]],VmSpecs[[#All],[Network Security Group]],"Failed",0,1),"Pass","Fail")</f>
        <v>Fail</v>
      </c>
      <c r="BE232" t="str" cm="1">
        <f t="array" ref="BE232">IF(O232=_xlfn.XLOOKUP($B232,VmSpecs[[#All],[VM Name]],VmSpecs[[#All],[Route Table Name]],"Failed",0,1),"Pass","Fail")</f>
        <v>Fail</v>
      </c>
      <c r="BF232" t="str" cm="1">
        <f t="array" ref="BF232">IF(P232=_xlfn.XLOOKUP($B232,VmSpecs[[#All],[VM Name]],VmSpecs[[#All],[Operating System]],"Failed",0,1),"Pass","Fail")</f>
        <v>Fail</v>
      </c>
      <c r="BG232" t="str" cm="1">
        <f t="array" ref="BG232">IF(R232=_xlfn.XLOOKUP($B232,VmSpecs[[#All],[VM Name]],VmSpecs[[#All],[NIC name]],"Failed",0,1),"Pass","Fail")</f>
        <v>Fail</v>
      </c>
      <c r="BH232" t="str" cm="1">
        <f t="array" ref="BH232">IF(U232=_xlfn.XLOOKUP($B232,VmSpecs[[#All],[VM Name]],VmSpecs[[#All],[OS Disk Name]],"Failed",0,1),"Pass","Fail")</f>
        <v>Fail</v>
      </c>
      <c r="BI232" t="str" cm="1">
        <f t="array" ref="BI232">IF(W232=_xlfn.XLOOKUP($B232,VmSpecs[[#All],[VM Name]],VmSpecs[[#All],[OS Disk Size]],"Failed",0,1),"Pass","Fail")</f>
        <v>Fail</v>
      </c>
      <c r="BJ232" t="str" cm="1">
        <f t="array" ref="BJ232">IF(LEFT(X232,4)=LEFT(_xlfn.XLOOKUP($B232,VmSpecs[[#All],[VM Name]],VmSpecs[[#All],[OS Disk Type (Standard SSD etc)]],"Failed",0,1),4),"Pass","Fail")</f>
        <v>Fail</v>
      </c>
      <c r="BK232" t="str" cm="1">
        <f t="array" ref="BK232">IF(Z232=_xlfn.XLOOKUP($B232,VmSpecs[[#All],[VM Name]],VmSpecs[[#All],[Data Disk1 Name]],"Failed",0,1),"Pass","Fail")</f>
        <v>Fail</v>
      </c>
      <c r="BL232" t="str" cm="1">
        <f t="array" ref="BL232">IF(AA232=_xlfn.XLOOKUP($B232,VmSpecs[[#All],[VM Name]],VmSpecs[[#All],[Data Disk1 Size]],"Failed",0,1),"Pass","Fail")</f>
        <v>Fail</v>
      </c>
      <c r="BM232" t="str" cm="1">
        <f t="array" ref="BM232">IF(LEFT(AC232,4)=LEFT(_xlfn.XLOOKUP($B232,VmSpecs[[#All],[VM Name]],VmSpecs[[#All],[Data Disk1 Type]],"Failed",0,1),4),"Pass","Fail")</f>
        <v>Fail</v>
      </c>
      <c r="BO232" t="e">
        <f>VLOOKUP('VM Specs'!K232,'As Built'!B:B,1,FALSE)</f>
        <v>#N/A</v>
      </c>
      <c r="BP232" t="str">
        <f>IF(ISNA(Table613[[#This Row],[VM Build Sheet Check]]),'VM Specs'!K232,"")</f>
        <v>vmpfbpf2inj25</v>
      </c>
    </row>
    <row r="233" spans="1:68" ht="33" customHeight="1" x14ac:dyDescent="0.35">
      <c r="A233" t="str">
        <f>IF(COUNTIF(AsBuilt[[#This Row],[VM Check]:[Data Disk 1 Type Check]],"Fail")&gt;0,"Fail","Pass")</f>
        <v>Fail</v>
      </c>
      <c r="B233" t="s">
        <v>2387</v>
      </c>
      <c r="C233" t="s">
        <v>754</v>
      </c>
      <c r="D233" t="s">
        <v>2100</v>
      </c>
      <c r="E233" t="s">
        <v>756</v>
      </c>
      <c r="F233" t="s">
        <v>757</v>
      </c>
      <c r="G233" t="s">
        <v>758</v>
      </c>
      <c r="H233" t="s">
        <v>2211</v>
      </c>
      <c r="J233" t="s">
        <v>760</v>
      </c>
      <c r="K233" t="s">
        <v>2102</v>
      </c>
      <c r="L233" t="s">
        <v>754</v>
      </c>
      <c r="M233" t="s">
        <v>2388</v>
      </c>
      <c r="N233" t="s">
        <v>2104</v>
      </c>
      <c r="O233" t="s">
        <v>2105</v>
      </c>
      <c r="P233" t="s">
        <v>521</v>
      </c>
      <c r="R233" t="s">
        <v>2389</v>
      </c>
      <c r="S233" t="s">
        <v>754</v>
      </c>
      <c r="U233" t="s">
        <v>2390</v>
      </c>
      <c r="V233" t="s">
        <v>767</v>
      </c>
      <c r="W233">
        <v>128</v>
      </c>
      <c r="X233" t="s">
        <v>768</v>
      </c>
      <c r="Y233">
        <v>2</v>
      </c>
      <c r="Z233" t="s">
        <v>2391</v>
      </c>
      <c r="AA233">
        <v>8</v>
      </c>
      <c r="AB233" t="s">
        <v>770</v>
      </c>
      <c r="AC233" t="s">
        <v>768</v>
      </c>
      <c r="AD233" t="s">
        <v>2392</v>
      </c>
      <c r="AE233">
        <v>32</v>
      </c>
      <c r="AF233" t="s">
        <v>770</v>
      </c>
      <c r="AG233" t="s">
        <v>768</v>
      </c>
      <c r="AT233" t="s">
        <v>2217</v>
      </c>
      <c r="AU233" t="s">
        <v>2393</v>
      </c>
      <c r="AV233" t="str" cm="1">
        <f t="array" ref="AV233">IF(B233=_xlfn.XLOOKUP(B233,VmSpecs[[#All],[VM Name]],VmSpecs[[#All],[VM Name]],"Failed",0,1),"Pass","Fail")</f>
        <v>Fail</v>
      </c>
      <c r="AW233" t="str" cm="1">
        <f t="array" ref="AW233">IF(D233=_xlfn.XLOOKUP($B233,VmSpecs[[#All],[VM Name]],VmSpecs[[#All],[Virtual Machine Resource Groups]],"Failed",0,1),"Pass","Fail")</f>
        <v>Fail</v>
      </c>
      <c r="AX233" t="str" cm="1">
        <f t="array" ref="AX233">IF(_xlfn.IFS(E233="australiacentral","Australia Central 1",E233="australiaeast","Australia East",E233="australiasoutheast","Australia SouthEast")=_xlfn.XLOOKUP($B233,VmSpecs[[#All],[VM Name]],VmSpecs[[#All],[Region]],"Failed",0,1),"Pass","Fail")</f>
        <v>Fail</v>
      </c>
      <c r="AY233" t="str" cm="1">
        <f t="array" ref="AY233">IF(F233=_xlfn.XLOOKUP($B233,VmSpecs[[#All],[VM Name]],VmSpecs[[#All],[Instance size]],"Failed",0,1),"Pass","Fail")</f>
        <v>Fail</v>
      </c>
      <c r="AZ233" t="str" cm="1">
        <f t="array" ref="AZ233">IF(LOWER(H233)=_xlfn.XLOOKUP($B233,VmSpecs[[#All],[VM Name]],VmSpecs[[#All],[Availability Set Name]],"Failed",0,1),"Pass","Fail")</f>
        <v>Fail</v>
      </c>
      <c r="BA233" t="str" cm="1">
        <f t="array" ref="BA233">IF(J233=_xlfn.XLOOKUP($B233,VmSpecs[[#All],[VM Name]],VmSpecs[[#All],[Virtual Network]],"Failed",0,1),"Pass","Fail")</f>
        <v>Fail</v>
      </c>
      <c r="BB233" t="str" cm="1">
        <f t="array" ref="BB233">IF(K233=_xlfn.XLOOKUP($B233,VmSpecs[[#All],[VM Name]],VmSpecs[[#All],[Subnet]],"Failed",0,1),"Pass","Fail")</f>
        <v>Fail</v>
      </c>
      <c r="BC233" t="str" cm="1">
        <f t="array" ref="BC233">IF(M233=_xlfn.XLOOKUP($B233,VmSpecs[[#All],[VM Name]],VmSpecs[[#All],[IP]],"Failed",0,1),"Pass","Fail")</f>
        <v>Fail</v>
      </c>
      <c r="BD233" t="str" cm="1">
        <f t="array" ref="BD233">IF(N233=_xlfn.XLOOKUP($B233,VmSpecs[[#All],[VM Name]],VmSpecs[[#All],[Network Security Group]],"Failed",0,1),"Pass","Fail")</f>
        <v>Fail</v>
      </c>
      <c r="BE233" t="str" cm="1">
        <f t="array" ref="BE233">IF(O233=_xlfn.XLOOKUP($B233,VmSpecs[[#All],[VM Name]],VmSpecs[[#All],[Route Table Name]],"Failed",0,1),"Pass","Fail")</f>
        <v>Fail</v>
      </c>
      <c r="BF233" t="str" cm="1">
        <f t="array" ref="BF233">IF(P233=_xlfn.XLOOKUP($B233,VmSpecs[[#All],[VM Name]],VmSpecs[[#All],[Operating System]],"Failed",0,1),"Pass","Fail")</f>
        <v>Fail</v>
      </c>
      <c r="BG233" t="str" cm="1">
        <f t="array" ref="BG233">IF(R233=_xlfn.XLOOKUP($B233,VmSpecs[[#All],[VM Name]],VmSpecs[[#All],[NIC name]],"Failed",0,1),"Pass","Fail")</f>
        <v>Fail</v>
      </c>
      <c r="BH233" t="str" cm="1">
        <f t="array" ref="BH233">IF(U233=_xlfn.XLOOKUP($B233,VmSpecs[[#All],[VM Name]],VmSpecs[[#All],[OS Disk Name]],"Failed",0,1),"Pass","Fail")</f>
        <v>Fail</v>
      </c>
      <c r="BI233" t="str" cm="1">
        <f t="array" ref="BI233">IF(W233=_xlfn.XLOOKUP($B233,VmSpecs[[#All],[VM Name]],VmSpecs[[#All],[OS Disk Size]],"Failed",0,1),"Pass","Fail")</f>
        <v>Fail</v>
      </c>
      <c r="BJ233" t="str" cm="1">
        <f t="array" ref="BJ233">IF(LEFT(X233,4)=LEFT(_xlfn.XLOOKUP($B233,VmSpecs[[#All],[VM Name]],VmSpecs[[#All],[OS Disk Type (Standard SSD etc)]],"Failed",0,1),4),"Pass","Fail")</f>
        <v>Fail</v>
      </c>
      <c r="BK233" t="str" cm="1">
        <f t="array" ref="BK233">IF(Z233=_xlfn.XLOOKUP($B233,VmSpecs[[#All],[VM Name]],VmSpecs[[#All],[Data Disk1 Name]],"Failed",0,1),"Pass","Fail")</f>
        <v>Fail</v>
      </c>
      <c r="BL233" t="str" cm="1">
        <f t="array" ref="BL233">IF(AA233=_xlfn.XLOOKUP($B233,VmSpecs[[#All],[VM Name]],VmSpecs[[#All],[Data Disk1 Size]],"Failed",0,1),"Pass","Fail")</f>
        <v>Fail</v>
      </c>
      <c r="BM233" t="str" cm="1">
        <f t="array" ref="BM233">IF(LEFT(AC233,4)=LEFT(_xlfn.XLOOKUP($B233,VmSpecs[[#All],[VM Name]],VmSpecs[[#All],[Data Disk1 Type]],"Failed",0,1),4),"Pass","Fail")</f>
        <v>Fail</v>
      </c>
      <c r="BO233" t="e">
        <f>VLOOKUP('VM Specs'!K233,'As Built'!B:B,1,FALSE)</f>
        <v>#N/A</v>
      </c>
      <c r="BP233" t="str">
        <f>IF(ISNA(Table613[[#This Row],[VM Build Sheet Check]]),'VM Specs'!K233,"")</f>
        <v>vmpfbpf2inj26</v>
      </c>
    </row>
    <row r="234" spans="1:68" ht="33" customHeight="1" x14ac:dyDescent="0.35">
      <c r="A234" t="str">
        <f>IF(COUNTIF(AsBuilt[[#This Row],[VM Check]:[Data Disk 1 Type Check]],"Fail")&gt;0,"Fail","Pass")</f>
        <v>Fail</v>
      </c>
      <c r="B234" t="s">
        <v>2394</v>
      </c>
      <c r="C234" t="s">
        <v>754</v>
      </c>
      <c r="D234" t="s">
        <v>2100</v>
      </c>
      <c r="E234" t="s">
        <v>756</v>
      </c>
      <c r="F234" t="s">
        <v>757</v>
      </c>
      <c r="G234" t="s">
        <v>758</v>
      </c>
      <c r="H234" t="s">
        <v>2211</v>
      </c>
      <c r="J234" t="s">
        <v>760</v>
      </c>
      <c r="K234" t="s">
        <v>2102</v>
      </c>
      <c r="L234" t="s">
        <v>754</v>
      </c>
      <c r="M234" t="s">
        <v>2395</v>
      </c>
      <c r="N234" t="s">
        <v>2104</v>
      </c>
      <c r="O234" t="s">
        <v>2105</v>
      </c>
      <c r="P234" t="s">
        <v>521</v>
      </c>
      <c r="R234" t="s">
        <v>2396</v>
      </c>
      <c r="S234" t="s">
        <v>754</v>
      </c>
      <c r="U234" t="s">
        <v>2397</v>
      </c>
      <c r="V234" t="s">
        <v>767</v>
      </c>
      <c r="W234">
        <v>128</v>
      </c>
      <c r="X234" t="s">
        <v>768</v>
      </c>
      <c r="Y234">
        <v>2</v>
      </c>
      <c r="Z234" t="s">
        <v>2398</v>
      </c>
      <c r="AA234">
        <v>8</v>
      </c>
      <c r="AB234" t="s">
        <v>770</v>
      </c>
      <c r="AC234" t="s">
        <v>768</v>
      </c>
      <c r="AD234" t="s">
        <v>2399</v>
      </c>
      <c r="AE234">
        <v>32</v>
      </c>
      <c r="AF234" t="s">
        <v>770</v>
      </c>
      <c r="AG234" t="s">
        <v>768</v>
      </c>
      <c r="AT234" t="s">
        <v>2217</v>
      </c>
      <c r="AU234" t="s">
        <v>2400</v>
      </c>
      <c r="AV234" t="str" cm="1">
        <f t="array" ref="AV234">IF(B234=_xlfn.XLOOKUP(B234,VmSpecs[[#All],[VM Name]],VmSpecs[[#All],[VM Name]],"Failed",0,1),"Pass","Fail")</f>
        <v>Fail</v>
      </c>
      <c r="AW234" t="str" cm="1">
        <f t="array" ref="AW234">IF(D234=_xlfn.XLOOKUP($B234,VmSpecs[[#All],[VM Name]],VmSpecs[[#All],[Virtual Machine Resource Groups]],"Failed",0,1),"Pass","Fail")</f>
        <v>Fail</v>
      </c>
      <c r="AX234" t="str" cm="1">
        <f t="array" ref="AX234">IF(_xlfn.IFS(E234="australiacentral","Australia Central 1",E234="australiaeast","Australia East",E234="australiasoutheast","Australia SouthEast")=_xlfn.XLOOKUP($B234,VmSpecs[[#All],[VM Name]],VmSpecs[[#All],[Region]],"Failed",0,1),"Pass","Fail")</f>
        <v>Fail</v>
      </c>
      <c r="AY234" t="str" cm="1">
        <f t="array" ref="AY234">IF(F234=_xlfn.XLOOKUP($B234,VmSpecs[[#All],[VM Name]],VmSpecs[[#All],[Instance size]],"Failed",0,1),"Pass","Fail")</f>
        <v>Fail</v>
      </c>
      <c r="AZ234" t="str" cm="1">
        <f t="array" ref="AZ234">IF(LOWER(H234)=_xlfn.XLOOKUP($B234,VmSpecs[[#All],[VM Name]],VmSpecs[[#All],[Availability Set Name]],"Failed",0,1),"Pass","Fail")</f>
        <v>Fail</v>
      </c>
      <c r="BA234" t="str" cm="1">
        <f t="array" ref="BA234">IF(J234=_xlfn.XLOOKUP($B234,VmSpecs[[#All],[VM Name]],VmSpecs[[#All],[Virtual Network]],"Failed",0,1),"Pass","Fail")</f>
        <v>Fail</v>
      </c>
      <c r="BB234" t="str" cm="1">
        <f t="array" ref="BB234">IF(K234=_xlfn.XLOOKUP($B234,VmSpecs[[#All],[VM Name]],VmSpecs[[#All],[Subnet]],"Failed",0,1),"Pass","Fail")</f>
        <v>Fail</v>
      </c>
      <c r="BC234" t="str" cm="1">
        <f t="array" ref="BC234">IF(M234=_xlfn.XLOOKUP($B234,VmSpecs[[#All],[VM Name]],VmSpecs[[#All],[IP]],"Failed",0,1),"Pass","Fail")</f>
        <v>Fail</v>
      </c>
      <c r="BD234" t="str" cm="1">
        <f t="array" ref="BD234">IF(N234=_xlfn.XLOOKUP($B234,VmSpecs[[#All],[VM Name]],VmSpecs[[#All],[Network Security Group]],"Failed",0,1),"Pass","Fail")</f>
        <v>Fail</v>
      </c>
      <c r="BE234" t="str" cm="1">
        <f t="array" ref="BE234">IF(O234=_xlfn.XLOOKUP($B234,VmSpecs[[#All],[VM Name]],VmSpecs[[#All],[Route Table Name]],"Failed",0,1),"Pass","Fail")</f>
        <v>Fail</v>
      </c>
      <c r="BF234" t="str" cm="1">
        <f t="array" ref="BF234">IF(P234=_xlfn.XLOOKUP($B234,VmSpecs[[#All],[VM Name]],VmSpecs[[#All],[Operating System]],"Failed",0,1),"Pass","Fail")</f>
        <v>Fail</v>
      </c>
      <c r="BG234" t="str" cm="1">
        <f t="array" ref="BG234">IF(R234=_xlfn.XLOOKUP($B234,VmSpecs[[#All],[VM Name]],VmSpecs[[#All],[NIC name]],"Failed",0,1),"Pass","Fail")</f>
        <v>Fail</v>
      </c>
      <c r="BH234" t="str" cm="1">
        <f t="array" ref="BH234">IF(U234=_xlfn.XLOOKUP($B234,VmSpecs[[#All],[VM Name]],VmSpecs[[#All],[OS Disk Name]],"Failed",0,1),"Pass","Fail")</f>
        <v>Fail</v>
      </c>
      <c r="BI234" t="str" cm="1">
        <f t="array" ref="BI234">IF(W234=_xlfn.XLOOKUP($B234,VmSpecs[[#All],[VM Name]],VmSpecs[[#All],[OS Disk Size]],"Failed",0,1),"Pass","Fail")</f>
        <v>Fail</v>
      </c>
      <c r="BJ234" t="str" cm="1">
        <f t="array" ref="BJ234">IF(LEFT(X234,4)=LEFT(_xlfn.XLOOKUP($B234,VmSpecs[[#All],[VM Name]],VmSpecs[[#All],[OS Disk Type (Standard SSD etc)]],"Failed",0,1),4),"Pass","Fail")</f>
        <v>Fail</v>
      </c>
      <c r="BK234" t="str" cm="1">
        <f t="array" ref="BK234">IF(Z234=_xlfn.XLOOKUP($B234,VmSpecs[[#All],[VM Name]],VmSpecs[[#All],[Data Disk1 Name]],"Failed",0,1),"Pass","Fail")</f>
        <v>Fail</v>
      </c>
      <c r="BL234" t="str" cm="1">
        <f t="array" ref="BL234">IF(AA234=_xlfn.XLOOKUP($B234,VmSpecs[[#All],[VM Name]],VmSpecs[[#All],[Data Disk1 Size]],"Failed",0,1),"Pass","Fail")</f>
        <v>Fail</v>
      </c>
      <c r="BM234" t="str" cm="1">
        <f t="array" ref="BM234">IF(LEFT(AC234,4)=LEFT(_xlfn.XLOOKUP($B234,VmSpecs[[#All],[VM Name]],VmSpecs[[#All],[Data Disk1 Type]],"Failed",0,1),4),"Pass","Fail")</f>
        <v>Fail</v>
      </c>
      <c r="BO234" t="e">
        <f>VLOOKUP('VM Specs'!K234,'As Built'!B:B,1,FALSE)</f>
        <v>#N/A</v>
      </c>
      <c r="BP234" t="str">
        <f>IF(ISNA(Table613[[#This Row],[VM Build Sheet Check]]),'VM Specs'!K234,"")</f>
        <v>vmpfbpf2inj27</v>
      </c>
    </row>
    <row r="235" spans="1:68" ht="33" customHeight="1" x14ac:dyDescent="0.35">
      <c r="A235" t="str">
        <f>IF(COUNTIF(AsBuilt[[#This Row],[VM Check]:[Data Disk 1 Type Check]],"Fail")&gt;0,"Fail","Pass")</f>
        <v>Fail</v>
      </c>
      <c r="B235" t="s">
        <v>2401</v>
      </c>
      <c r="C235" t="s">
        <v>754</v>
      </c>
      <c r="D235" t="s">
        <v>2100</v>
      </c>
      <c r="E235" t="s">
        <v>756</v>
      </c>
      <c r="F235" t="s">
        <v>757</v>
      </c>
      <c r="G235" t="s">
        <v>758</v>
      </c>
      <c r="H235" t="s">
        <v>2211</v>
      </c>
      <c r="J235" t="s">
        <v>760</v>
      </c>
      <c r="K235" t="s">
        <v>2102</v>
      </c>
      <c r="L235" t="s">
        <v>754</v>
      </c>
      <c r="M235" t="s">
        <v>2402</v>
      </c>
      <c r="N235" t="s">
        <v>2104</v>
      </c>
      <c r="O235" t="s">
        <v>2105</v>
      </c>
      <c r="P235" t="s">
        <v>521</v>
      </c>
      <c r="R235" t="s">
        <v>2403</v>
      </c>
      <c r="S235" t="s">
        <v>754</v>
      </c>
      <c r="U235" t="s">
        <v>2404</v>
      </c>
      <c r="V235" t="s">
        <v>767</v>
      </c>
      <c r="W235">
        <v>128</v>
      </c>
      <c r="X235" t="s">
        <v>768</v>
      </c>
      <c r="Y235">
        <v>2</v>
      </c>
      <c r="Z235" t="s">
        <v>2405</v>
      </c>
      <c r="AA235">
        <v>8</v>
      </c>
      <c r="AB235" t="s">
        <v>770</v>
      </c>
      <c r="AC235" t="s">
        <v>768</v>
      </c>
      <c r="AD235" t="s">
        <v>2406</v>
      </c>
      <c r="AE235">
        <v>32</v>
      </c>
      <c r="AF235" t="s">
        <v>770</v>
      </c>
      <c r="AG235" t="s">
        <v>768</v>
      </c>
      <c r="AT235" t="s">
        <v>2217</v>
      </c>
      <c r="AU235" t="s">
        <v>2407</v>
      </c>
      <c r="AV235" t="str" cm="1">
        <f t="array" ref="AV235">IF(B235=_xlfn.XLOOKUP(B235,VmSpecs[[#All],[VM Name]],VmSpecs[[#All],[VM Name]],"Failed",0,1),"Pass","Fail")</f>
        <v>Fail</v>
      </c>
      <c r="AW235" t="str" cm="1">
        <f t="array" ref="AW235">IF(D235=_xlfn.XLOOKUP($B235,VmSpecs[[#All],[VM Name]],VmSpecs[[#All],[Virtual Machine Resource Groups]],"Failed",0,1),"Pass","Fail")</f>
        <v>Fail</v>
      </c>
      <c r="AX235" t="str" cm="1">
        <f t="array" ref="AX235">IF(_xlfn.IFS(E235="australiacentral","Australia Central 1",E235="australiaeast","Australia East",E235="australiasoutheast","Australia SouthEast")=_xlfn.XLOOKUP($B235,VmSpecs[[#All],[VM Name]],VmSpecs[[#All],[Region]],"Failed",0,1),"Pass","Fail")</f>
        <v>Fail</v>
      </c>
      <c r="AY235" t="str" cm="1">
        <f t="array" ref="AY235">IF(F235=_xlfn.XLOOKUP($B235,VmSpecs[[#All],[VM Name]],VmSpecs[[#All],[Instance size]],"Failed",0,1),"Pass","Fail")</f>
        <v>Fail</v>
      </c>
      <c r="AZ235" t="str" cm="1">
        <f t="array" ref="AZ235">IF(LOWER(H235)=_xlfn.XLOOKUP($B235,VmSpecs[[#All],[VM Name]],VmSpecs[[#All],[Availability Set Name]],"Failed",0,1),"Pass","Fail")</f>
        <v>Fail</v>
      </c>
      <c r="BA235" t="str" cm="1">
        <f t="array" ref="BA235">IF(J235=_xlfn.XLOOKUP($B235,VmSpecs[[#All],[VM Name]],VmSpecs[[#All],[Virtual Network]],"Failed",0,1),"Pass","Fail")</f>
        <v>Fail</v>
      </c>
      <c r="BB235" t="str" cm="1">
        <f t="array" ref="BB235">IF(K235=_xlfn.XLOOKUP($B235,VmSpecs[[#All],[VM Name]],VmSpecs[[#All],[Subnet]],"Failed",0,1),"Pass","Fail")</f>
        <v>Fail</v>
      </c>
      <c r="BC235" t="str" cm="1">
        <f t="array" ref="BC235">IF(M235=_xlfn.XLOOKUP($B235,VmSpecs[[#All],[VM Name]],VmSpecs[[#All],[IP]],"Failed",0,1),"Pass","Fail")</f>
        <v>Fail</v>
      </c>
      <c r="BD235" t="str" cm="1">
        <f t="array" ref="BD235">IF(N235=_xlfn.XLOOKUP($B235,VmSpecs[[#All],[VM Name]],VmSpecs[[#All],[Network Security Group]],"Failed",0,1),"Pass","Fail")</f>
        <v>Fail</v>
      </c>
      <c r="BE235" t="str" cm="1">
        <f t="array" ref="BE235">IF(O235=_xlfn.XLOOKUP($B235,VmSpecs[[#All],[VM Name]],VmSpecs[[#All],[Route Table Name]],"Failed",0,1),"Pass","Fail")</f>
        <v>Fail</v>
      </c>
      <c r="BF235" t="str" cm="1">
        <f t="array" ref="BF235">IF(P235=_xlfn.XLOOKUP($B235,VmSpecs[[#All],[VM Name]],VmSpecs[[#All],[Operating System]],"Failed",0,1),"Pass","Fail")</f>
        <v>Fail</v>
      </c>
      <c r="BG235" t="str" cm="1">
        <f t="array" ref="BG235">IF(R235=_xlfn.XLOOKUP($B235,VmSpecs[[#All],[VM Name]],VmSpecs[[#All],[NIC name]],"Failed",0,1),"Pass","Fail")</f>
        <v>Fail</v>
      </c>
      <c r="BH235" t="str" cm="1">
        <f t="array" ref="BH235">IF(U235=_xlfn.XLOOKUP($B235,VmSpecs[[#All],[VM Name]],VmSpecs[[#All],[OS Disk Name]],"Failed",0,1),"Pass","Fail")</f>
        <v>Fail</v>
      </c>
      <c r="BI235" t="str" cm="1">
        <f t="array" ref="BI235">IF(W235=_xlfn.XLOOKUP($B235,VmSpecs[[#All],[VM Name]],VmSpecs[[#All],[OS Disk Size]],"Failed",0,1),"Pass","Fail")</f>
        <v>Fail</v>
      </c>
      <c r="BJ235" t="str" cm="1">
        <f t="array" ref="BJ235">IF(LEFT(X235,4)=LEFT(_xlfn.XLOOKUP($B235,VmSpecs[[#All],[VM Name]],VmSpecs[[#All],[OS Disk Type (Standard SSD etc)]],"Failed",0,1),4),"Pass","Fail")</f>
        <v>Fail</v>
      </c>
      <c r="BK235" t="str" cm="1">
        <f t="array" ref="BK235">IF(Z235=_xlfn.XLOOKUP($B235,VmSpecs[[#All],[VM Name]],VmSpecs[[#All],[Data Disk1 Name]],"Failed",0,1),"Pass","Fail")</f>
        <v>Fail</v>
      </c>
      <c r="BL235" t="str" cm="1">
        <f t="array" ref="BL235">IF(AA235=_xlfn.XLOOKUP($B235,VmSpecs[[#All],[VM Name]],VmSpecs[[#All],[Data Disk1 Size]],"Failed",0,1),"Pass","Fail")</f>
        <v>Fail</v>
      </c>
      <c r="BM235" t="str" cm="1">
        <f t="array" ref="BM235">IF(LEFT(AC235,4)=LEFT(_xlfn.XLOOKUP($B235,VmSpecs[[#All],[VM Name]],VmSpecs[[#All],[Data Disk1 Type]],"Failed",0,1),4),"Pass","Fail")</f>
        <v>Fail</v>
      </c>
      <c r="BO235" t="e">
        <f>VLOOKUP('VM Specs'!K235,'As Built'!B:B,1,FALSE)</f>
        <v>#N/A</v>
      </c>
      <c r="BP235" t="str">
        <f>IF(ISNA(Table613[[#This Row],[VM Build Sheet Check]]),'VM Specs'!K235,"")</f>
        <v>vmpfbpf2inj28</v>
      </c>
    </row>
    <row r="236" spans="1:68" ht="33" customHeight="1" x14ac:dyDescent="0.35">
      <c r="A236" t="str">
        <f>IF(COUNTIF(AsBuilt[[#This Row],[VM Check]:[Data Disk 1 Type Check]],"Fail")&gt;0,"Fail","Pass")</f>
        <v>Fail</v>
      </c>
      <c r="B236" t="s">
        <v>2408</v>
      </c>
      <c r="C236" t="s">
        <v>754</v>
      </c>
      <c r="D236" t="s">
        <v>2100</v>
      </c>
      <c r="E236" t="s">
        <v>756</v>
      </c>
      <c r="F236" t="s">
        <v>757</v>
      </c>
      <c r="G236" t="s">
        <v>758</v>
      </c>
      <c r="H236" t="s">
        <v>2211</v>
      </c>
      <c r="J236" t="s">
        <v>760</v>
      </c>
      <c r="K236" t="s">
        <v>2102</v>
      </c>
      <c r="L236" t="s">
        <v>754</v>
      </c>
      <c r="M236" t="s">
        <v>2409</v>
      </c>
      <c r="N236" t="s">
        <v>2104</v>
      </c>
      <c r="O236" t="s">
        <v>2105</v>
      </c>
      <c r="P236" t="s">
        <v>521</v>
      </c>
      <c r="R236" t="s">
        <v>2410</v>
      </c>
      <c r="S236" t="s">
        <v>754</v>
      </c>
      <c r="U236" t="s">
        <v>2411</v>
      </c>
      <c r="V236" t="s">
        <v>767</v>
      </c>
      <c r="W236">
        <v>128</v>
      </c>
      <c r="X236" t="s">
        <v>768</v>
      </c>
      <c r="Y236">
        <v>2</v>
      </c>
      <c r="Z236" t="s">
        <v>2412</v>
      </c>
      <c r="AA236">
        <v>8</v>
      </c>
      <c r="AB236" t="s">
        <v>770</v>
      </c>
      <c r="AC236" t="s">
        <v>768</v>
      </c>
      <c r="AD236" t="s">
        <v>2413</v>
      </c>
      <c r="AE236">
        <v>32</v>
      </c>
      <c r="AF236" t="s">
        <v>770</v>
      </c>
      <c r="AG236" t="s">
        <v>768</v>
      </c>
      <c r="AT236" t="s">
        <v>2217</v>
      </c>
      <c r="AU236" t="s">
        <v>2414</v>
      </c>
      <c r="AV236" t="str" cm="1">
        <f t="array" ref="AV236">IF(B236=_xlfn.XLOOKUP(B236,VmSpecs[[#All],[VM Name]],VmSpecs[[#All],[VM Name]],"Failed",0,1),"Pass","Fail")</f>
        <v>Fail</v>
      </c>
      <c r="AW236" t="str" cm="1">
        <f t="array" ref="AW236">IF(D236=_xlfn.XLOOKUP($B236,VmSpecs[[#All],[VM Name]],VmSpecs[[#All],[Virtual Machine Resource Groups]],"Failed",0,1),"Pass","Fail")</f>
        <v>Fail</v>
      </c>
      <c r="AX236" t="str" cm="1">
        <f t="array" ref="AX236">IF(_xlfn.IFS(E236="australiacentral","Australia Central 1",E236="australiaeast","Australia East",E236="australiasoutheast","Australia SouthEast")=_xlfn.XLOOKUP($B236,VmSpecs[[#All],[VM Name]],VmSpecs[[#All],[Region]],"Failed",0,1),"Pass","Fail")</f>
        <v>Fail</v>
      </c>
      <c r="AY236" t="str" cm="1">
        <f t="array" ref="AY236">IF(F236=_xlfn.XLOOKUP($B236,VmSpecs[[#All],[VM Name]],VmSpecs[[#All],[Instance size]],"Failed",0,1),"Pass","Fail")</f>
        <v>Fail</v>
      </c>
      <c r="AZ236" t="str" cm="1">
        <f t="array" ref="AZ236">IF(LOWER(H236)=_xlfn.XLOOKUP($B236,VmSpecs[[#All],[VM Name]],VmSpecs[[#All],[Availability Set Name]],"Failed",0,1),"Pass","Fail")</f>
        <v>Fail</v>
      </c>
      <c r="BA236" t="str" cm="1">
        <f t="array" ref="BA236">IF(J236=_xlfn.XLOOKUP($B236,VmSpecs[[#All],[VM Name]],VmSpecs[[#All],[Virtual Network]],"Failed",0,1),"Pass","Fail")</f>
        <v>Fail</v>
      </c>
      <c r="BB236" t="str" cm="1">
        <f t="array" ref="BB236">IF(K236=_xlfn.XLOOKUP($B236,VmSpecs[[#All],[VM Name]],VmSpecs[[#All],[Subnet]],"Failed",0,1),"Pass","Fail")</f>
        <v>Fail</v>
      </c>
      <c r="BC236" t="str" cm="1">
        <f t="array" ref="BC236">IF(M236=_xlfn.XLOOKUP($B236,VmSpecs[[#All],[VM Name]],VmSpecs[[#All],[IP]],"Failed",0,1),"Pass","Fail")</f>
        <v>Fail</v>
      </c>
      <c r="BD236" t="str" cm="1">
        <f t="array" ref="BD236">IF(N236=_xlfn.XLOOKUP($B236,VmSpecs[[#All],[VM Name]],VmSpecs[[#All],[Network Security Group]],"Failed",0,1),"Pass","Fail")</f>
        <v>Fail</v>
      </c>
      <c r="BE236" t="str" cm="1">
        <f t="array" ref="BE236">IF(O236=_xlfn.XLOOKUP($B236,VmSpecs[[#All],[VM Name]],VmSpecs[[#All],[Route Table Name]],"Failed",0,1),"Pass","Fail")</f>
        <v>Fail</v>
      </c>
      <c r="BF236" t="str" cm="1">
        <f t="array" ref="BF236">IF(P236=_xlfn.XLOOKUP($B236,VmSpecs[[#All],[VM Name]],VmSpecs[[#All],[Operating System]],"Failed",0,1),"Pass","Fail")</f>
        <v>Fail</v>
      </c>
      <c r="BG236" t="str" cm="1">
        <f t="array" ref="BG236">IF(R236=_xlfn.XLOOKUP($B236,VmSpecs[[#All],[VM Name]],VmSpecs[[#All],[NIC name]],"Failed",0,1),"Pass","Fail")</f>
        <v>Fail</v>
      </c>
      <c r="BH236" t="str" cm="1">
        <f t="array" ref="BH236">IF(U236=_xlfn.XLOOKUP($B236,VmSpecs[[#All],[VM Name]],VmSpecs[[#All],[OS Disk Name]],"Failed",0,1),"Pass","Fail")</f>
        <v>Fail</v>
      </c>
      <c r="BI236" t="str" cm="1">
        <f t="array" ref="BI236">IF(W236=_xlfn.XLOOKUP($B236,VmSpecs[[#All],[VM Name]],VmSpecs[[#All],[OS Disk Size]],"Failed",0,1),"Pass","Fail")</f>
        <v>Fail</v>
      </c>
      <c r="BJ236" t="str" cm="1">
        <f t="array" ref="BJ236">IF(LEFT(X236,4)=LEFT(_xlfn.XLOOKUP($B236,VmSpecs[[#All],[VM Name]],VmSpecs[[#All],[OS Disk Type (Standard SSD etc)]],"Failed",0,1),4),"Pass","Fail")</f>
        <v>Fail</v>
      </c>
      <c r="BK236" t="str" cm="1">
        <f t="array" ref="BK236">IF(Z236=_xlfn.XLOOKUP($B236,VmSpecs[[#All],[VM Name]],VmSpecs[[#All],[Data Disk1 Name]],"Failed",0,1),"Pass","Fail")</f>
        <v>Fail</v>
      </c>
      <c r="BL236" t="str" cm="1">
        <f t="array" ref="BL236">IF(AA236=_xlfn.XLOOKUP($B236,VmSpecs[[#All],[VM Name]],VmSpecs[[#All],[Data Disk1 Size]],"Failed",0,1),"Pass","Fail")</f>
        <v>Fail</v>
      </c>
      <c r="BM236" t="str" cm="1">
        <f t="array" ref="BM236">IF(LEFT(AC236,4)=LEFT(_xlfn.XLOOKUP($B236,VmSpecs[[#All],[VM Name]],VmSpecs[[#All],[Data Disk1 Type]],"Failed",0,1),4),"Pass","Fail")</f>
        <v>Fail</v>
      </c>
      <c r="BO236" t="e">
        <f>VLOOKUP('VM Specs'!K236,'As Built'!B:B,1,FALSE)</f>
        <v>#N/A</v>
      </c>
      <c r="BP236" t="str">
        <f>IF(ISNA(Table613[[#This Row],[VM Build Sheet Check]]),'VM Specs'!K236,"")</f>
        <v>vmpfbpf2inj29</v>
      </c>
    </row>
    <row r="237" spans="1:68" ht="33" customHeight="1" x14ac:dyDescent="0.35">
      <c r="A237" t="str">
        <f>IF(COUNTIF(AsBuilt[[#This Row],[VM Check]:[Data Disk 1 Type Check]],"Fail")&gt;0,"Fail","Pass")</f>
        <v>Fail</v>
      </c>
      <c r="B237" t="s">
        <v>2415</v>
      </c>
      <c r="C237" t="s">
        <v>754</v>
      </c>
      <c r="D237" t="s">
        <v>2100</v>
      </c>
      <c r="E237" t="s">
        <v>756</v>
      </c>
      <c r="F237" t="s">
        <v>757</v>
      </c>
      <c r="G237" t="s">
        <v>758</v>
      </c>
      <c r="H237" t="s">
        <v>2211</v>
      </c>
      <c r="J237" t="s">
        <v>760</v>
      </c>
      <c r="K237" t="s">
        <v>2102</v>
      </c>
      <c r="L237" t="s">
        <v>754</v>
      </c>
      <c r="M237" t="s">
        <v>2416</v>
      </c>
      <c r="N237" t="s">
        <v>2104</v>
      </c>
      <c r="O237" t="s">
        <v>2105</v>
      </c>
      <c r="P237" t="s">
        <v>521</v>
      </c>
      <c r="R237" t="s">
        <v>2417</v>
      </c>
      <c r="S237" t="s">
        <v>754</v>
      </c>
      <c r="U237" t="s">
        <v>2418</v>
      </c>
      <c r="V237" t="s">
        <v>767</v>
      </c>
      <c r="W237">
        <v>128</v>
      </c>
      <c r="X237" t="s">
        <v>768</v>
      </c>
      <c r="Y237">
        <v>2</v>
      </c>
      <c r="Z237" t="s">
        <v>2419</v>
      </c>
      <c r="AA237">
        <v>8</v>
      </c>
      <c r="AB237" t="s">
        <v>770</v>
      </c>
      <c r="AC237" t="s">
        <v>768</v>
      </c>
      <c r="AD237" t="s">
        <v>2420</v>
      </c>
      <c r="AE237">
        <v>32</v>
      </c>
      <c r="AF237" t="s">
        <v>770</v>
      </c>
      <c r="AG237" t="s">
        <v>768</v>
      </c>
      <c r="AT237" t="s">
        <v>2217</v>
      </c>
      <c r="AU237" t="s">
        <v>2421</v>
      </c>
      <c r="AV237" t="str" cm="1">
        <f t="array" ref="AV237">IF(B237=_xlfn.XLOOKUP(B237,VmSpecs[[#All],[VM Name]],VmSpecs[[#All],[VM Name]],"Failed",0,1),"Pass","Fail")</f>
        <v>Fail</v>
      </c>
      <c r="AW237" t="str" cm="1">
        <f t="array" ref="AW237">IF(D237=_xlfn.XLOOKUP($B237,VmSpecs[[#All],[VM Name]],VmSpecs[[#All],[Virtual Machine Resource Groups]],"Failed",0,1),"Pass","Fail")</f>
        <v>Fail</v>
      </c>
      <c r="AX237" t="str" cm="1">
        <f t="array" ref="AX237">IF(_xlfn.IFS(E237="australiacentral","Australia Central 1",E237="australiaeast","Australia East",E237="australiasoutheast","Australia SouthEast")=_xlfn.XLOOKUP($B237,VmSpecs[[#All],[VM Name]],VmSpecs[[#All],[Region]],"Failed",0,1),"Pass","Fail")</f>
        <v>Fail</v>
      </c>
      <c r="AY237" t="str" cm="1">
        <f t="array" ref="AY237">IF(F237=_xlfn.XLOOKUP($B237,VmSpecs[[#All],[VM Name]],VmSpecs[[#All],[Instance size]],"Failed",0,1),"Pass","Fail")</f>
        <v>Fail</v>
      </c>
      <c r="AZ237" t="str" cm="1">
        <f t="array" ref="AZ237">IF(LOWER(H237)=_xlfn.XLOOKUP($B237,VmSpecs[[#All],[VM Name]],VmSpecs[[#All],[Availability Set Name]],"Failed",0,1),"Pass","Fail")</f>
        <v>Fail</v>
      </c>
      <c r="BA237" t="str" cm="1">
        <f t="array" ref="BA237">IF(J237=_xlfn.XLOOKUP($B237,VmSpecs[[#All],[VM Name]],VmSpecs[[#All],[Virtual Network]],"Failed",0,1),"Pass","Fail")</f>
        <v>Fail</v>
      </c>
      <c r="BB237" t="str" cm="1">
        <f t="array" ref="BB237">IF(K237=_xlfn.XLOOKUP($B237,VmSpecs[[#All],[VM Name]],VmSpecs[[#All],[Subnet]],"Failed",0,1),"Pass","Fail")</f>
        <v>Fail</v>
      </c>
      <c r="BC237" t="str" cm="1">
        <f t="array" ref="BC237">IF(M237=_xlfn.XLOOKUP($B237,VmSpecs[[#All],[VM Name]],VmSpecs[[#All],[IP]],"Failed",0,1),"Pass","Fail")</f>
        <v>Fail</v>
      </c>
      <c r="BD237" t="str" cm="1">
        <f t="array" ref="BD237">IF(N237=_xlfn.XLOOKUP($B237,VmSpecs[[#All],[VM Name]],VmSpecs[[#All],[Network Security Group]],"Failed",0,1),"Pass","Fail")</f>
        <v>Fail</v>
      </c>
      <c r="BE237" t="str" cm="1">
        <f t="array" ref="BE237">IF(O237=_xlfn.XLOOKUP($B237,VmSpecs[[#All],[VM Name]],VmSpecs[[#All],[Route Table Name]],"Failed",0,1),"Pass","Fail")</f>
        <v>Fail</v>
      </c>
      <c r="BF237" t="str" cm="1">
        <f t="array" ref="BF237">IF(P237=_xlfn.XLOOKUP($B237,VmSpecs[[#All],[VM Name]],VmSpecs[[#All],[Operating System]],"Failed",0,1),"Pass","Fail")</f>
        <v>Fail</v>
      </c>
      <c r="BG237" t="str" cm="1">
        <f t="array" ref="BG237">IF(R237=_xlfn.XLOOKUP($B237,VmSpecs[[#All],[VM Name]],VmSpecs[[#All],[NIC name]],"Failed",0,1),"Pass","Fail")</f>
        <v>Fail</v>
      </c>
      <c r="BH237" t="str" cm="1">
        <f t="array" ref="BH237">IF(U237=_xlfn.XLOOKUP($B237,VmSpecs[[#All],[VM Name]],VmSpecs[[#All],[OS Disk Name]],"Failed",0,1),"Pass","Fail")</f>
        <v>Fail</v>
      </c>
      <c r="BI237" t="str" cm="1">
        <f t="array" ref="BI237">IF(W237=_xlfn.XLOOKUP($B237,VmSpecs[[#All],[VM Name]],VmSpecs[[#All],[OS Disk Size]],"Failed",0,1),"Pass","Fail")</f>
        <v>Fail</v>
      </c>
      <c r="BJ237" t="str" cm="1">
        <f t="array" ref="BJ237">IF(LEFT(X237,4)=LEFT(_xlfn.XLOOKUP($B237,VmSpecs[[#All],[VM Name]],VmSpecs[[#All],[OS Disk Type (Standard SSD etc)]],"Failed",0,1),4),"Pass","Fail")</f>
        <v>Fail</v>
      </c>
      <c r="BK237" t="str" cm="1">
        <f t="array" ref="BK237">IF(Z237=_xlfn.XLOOKUP($B237,VmSpecs[[#All],[VM Name]],VmSpecs[[#All],[Data Disk1 Name]],"Failed",0,1),"Pass","Fail")</f>
        <v>Fail</v>
      </c>
      <c r="BL237" t="str" cm="1">
        <f t="array" ref="BL237">IF(AA237=_xlfn.XLOOKUP($B237,VmSpecs[[#All],[VM Name]],VmSpecs[[#All],[Data Disk1 Size]],"Failed",0,1),"Pass","Fail")</f>
        <v>Fail</v>
      </c>
      <c r="BM237" t="str" cm="1">
        <f t="array" ref="BM237">IF(LEFT(AC237,4)=LEFT(_xlfn.XLOOKUP($B237,VmSpecs[[#All],[VM Name]],VmSpecs[[#All],[Data Disk1 Type]],"Failed",0,1),4),"Pass","Fail")</f>
        <v>Fail</v>
      </c>
      <c r="BO237" t="e">
        <f>VLOOKUP('VM Specs'!K237,'As Built'!B:B,1,FALSE)</f>
        <v>#N/A</v>
      </c>
      <c r="BP237" t="str">
        <f>IF(ISNA(Table613[[#This Row],[VM Build Sheet Check]]),'VM Specs'!K237,"")</f>
        <v>vmpfbpf2inj30</v>
      </c>
    </row>
    <row r="238" spans="1:68" ht="33" customHeight="1" x14ac:dyDescent="0.35">
      <c r="A238" t="str">
        <f>IF(COUNTIF(AsBuilt[[#This Row],[VM Check]:[Data Disk 1 Type Check]],"Fail")&gt;0,"Fail","Pass")</f>
        <v>Fail</v>
      </c>
      <c r="B238" t="s">
        <v>2422</v>
      </c>
      <c r="C238" t="s">
        <v>754</v>
      </c>
      <c r="D238" t="s">
        <v>2100</v>
      </c>
      <c r="E238" t="s">
        <v>756</v>
      </c>
      <c r="F238" t="s">
        <v>757</v>
      </c>
      <c r="G238" t="s">
        <v>758</v>
      </c>
      <c r="H238" t="s">
        <v>2423</v>
      </c>
      <c r="J238" t="s">
        <v>760</v>
      </c>
      <c r="K238" t="s">
        <v>2102</v>
      </c>
      <c r="L238" t="s">
        <v>754</v>
      </c>
      <c r="M238" t="s">
        <v>2424</v>
      </c>
      <c r="N238" t="s">
        <v>2104</v>
      </c>
      <c r="O238" t="s">
        <v>2105</v>
      </c>
      <c r="P238" t="s">
        <v>63</v>
      </c>
      <c r="R238" t="s">
        <v>2425</v>
      </c>
      <c r="S238" t="s">
        <v>754</v>
      </c>
      <c r="U238" t="s">
        <v>2426</v>
      </c>
      <c r="V238" t="s">
        <v>767</v>
      </c>
      <c r="W238">
        <v>64</v>
      </c>
      <c r="X238" t="s">
        <v>768</v>
      </c>
      <c r="Y238">
        <v>2</v>
      </c>
      <c r="Z238" t="s">
        <v>2427</v>
      </c>
      <c r="AA238">
        <v>8</v>
      </c>
      <c r="AB238" t="s">
        <v>770</v>
      </c>
      <c r="AC238" t="s">
        <v>768</v>
      </c>
      <c r="AD238" t="s">
        <v>2428</v>
      </c>
      <c r="AE238">
        <v>32</v>
      </c>
      <c r="AF238" t="s">
        <v>770</v>
      </c>
      <c r="AG238" t="s">
        <v>768</v>
      </c>
      <c r="AT238" t="s">
        <v>2159</v>
      </c>
      <c r="AU238" t="s">
        <v>2429</v>
      </c>
      <c r="AV238" t="str" cm="1">
        <f t="array" ref="AV238">IF(B238=_xlfn.XLOOKUP(B238,VmSpecs[[#All],[VM Name]],VmSpecs[[#All],[VM Name]],"Failed",0,1),"Pass","Fail")</f>
        <v>Fail</v>
      </c>
      <c r="AW238" t="str" cm="1">
        <f t="array" ref="AW238">IF(D238=_xlfn.XLOOKUP($B238,VmSpecs[[#All],[VM Name]],VmSpecs[[#All],[Virtual Machine Resource Groups]],"Failed",0,1),"Pass","Fail")</f>
        <v>Fail</v>
      </c>
      <c r="AX238" t="str" cm="1">
        <f t="array" ref="AX238">IF(_xlfn.IFS(E238="australiacentral","Australia Central 1",E238="australiaeast","Australia East",E238="australiasoutheast","Australia SouthEast")=_xlfn.XLOOKUP($B238,VmSpecs[[#All],[VM Name]],VmSpecs[[#All],[Region]],"Failed",0,1),"Pass","Fail")</f>
        <v>Fail</v>
      </c>
      <c r="AY238" t="str" cm="1">
        <f t="array" ref="AY238">IF(F238=_xlfn.XLOOKUP($B238,VmSpecs[[#All],[VM Name]],VmSpecs[[#All],[Instance size]],"Failed",0,1),"Pass","Fail")</f>
        <v>Fail</v>
      </c>
      <c r="AZ238" t="str" cm="1">
        <f t="array" ref="AZ238">IF(LOWER(H238)=_xlfn.XLOOKUP($B238,VmSpecs[[#All],[VM Name]],VmSpecs[[#All],[Availability Set Name]],"Failed",0,1),"Pass","Fail")</f>
        <v>Fail</v>
      </c>
      <c r="BA238" t="str" cm="1">
        <f t="array" ref="BA238">IF(J238=_xlfn.XLOOKUP($B238,VmSpecs[[#All],[VM Name]],VmSpecs[[#All],[Virtual Network]],"Failed",0,1),"Pass","Fail")</f>
        <v>Fail</v>
      </c>
      <c r="BB238" t="str" cm="1">
        <f t="array" ref="BB238">IF(K238=_xlfn.XLOOKUP($B238,VmSpecs[[#All],[VM Name]],VmSpecs[[#All],[Subnet]],"Failed",0,1),"Pass","Fail")</f>
        <v>Fail</v>
      </c>
      <c r="BC238" t="str" cm="1">
        <f t="array" ref="BC238">IF(M238=_xlfn.XLOOKUP($B238,VmSpecs[[#All],[VM Name]],VmSpecs[[#All],[IP]],"Failed",0,1),"Pass","Fail")</f>
        <v>Fail</v>
      </c>
      <c r="BD238" t="str" cm="1">
        <f t="array" ref="BD238">IF(N238=_xlfn.XLOOKUP($B238,VmSpecs[[#All],[VM Name]],VmSpecs[[#All],[Network Security Group]],"Failed",0,1),"Pass","Fail")</f>
        <v>Fail</v>
      </c>
      <c r="BE238" t="str" cm="1">
        <f t="array" ref="BE238">IF(O238=_xlfn.XLOOKUP($B238,VmSpecs[[#All],[VM Name]],VmSpecs[[#All],[Route Table Name]],"Failed",0,1),"Pass","Fail")</f>
        <v>Fail</v>
      </c>
      <c r="BF238" t="str" cm="1">
        <f t="array" ref="BF238">IF(P238=_xlfn.XLOOKUP($B238,VmSpecs[[#All],[VM Name]],VmSpecs[[#All],[Operating System]],"Failed",0,1),"Pass","Fail")</f>
        <v>Fail</v>
      </c>
      <c r="BG238" t="str" cm="1">
        <f t="array" ref="BG238">IF(R238=_xlfn.XLOOKUP($B238,VmSpecs[[#All],[VM Name]],VmSpecs[[#All],[NIC name]],"Failed",0,1),"Pass","Fail")</f>
        <v>Fail</v>
      </c>
      <c r="BH238" t="str" cm="1">
        <f t="array" ref="BH238">IF(U238=_xlfn.XLOOKUP($B238,VmSpecs[[#All],[VM Name]],VmSpecs[[#All],[OS Disk Name]],"Failed",0,1),"Pass","Fail")</f>
        <v>Fail</v>
      </c>
      <c r="BI238" t="str" cm="1">
        <f t="array" ref="BI238">IF(W238=_xlfn.XLOOKUP($B238,VmSpecs[[#All],[VM Name]],VmSpecs[[#All],[OS Disk Size]],"Failed",0,1),"Pass","Fail")</f>
        <v>Fail</v>
      </c>
      <c r="BJ238" t="str" cm="1">
        <f t="array" ref="BJ238">IF(LEFT(X238,4)=LEFT(_xlfn.XLOOKUP($B238,VmSpecs[[#All],[VM Name]],VmSpecs[[#All],[OS Disk Type (Standard SSD etc)]],"Failed",0,1),4),"Pass","Fail")</f>
        <v>Fail</v>
      </c>
      <c r="BK238" t="str" cm="1">
        <f t="array" ref="BK238">IF(Z238=_xlfn.XLOOKUP($B238,VmSpecs[[#All],[VM Name]],VmSpecs[[#All],[Data Disk1 Name]],"Failed",0,1),"Pass","Fail")</f>
        <v>Fail</v>
      </c>
      <c r="BL238" t="str" cm="1">
        <f t="array" ref="BL238">IF(AA238=_xlfn.XLOOKUP($B238,VmSpecs[[#All],[VM Name]],VmSpecs[[#All],[Data Disk1 Size]],"Failed",0,1),"Pass","Fail")</f>
        <v>Fail</v>
      </c>
      <c r="BM238" t="str" cm="1">
        <f t="array" ref="BM238">IF(LEFT(AC238,4)=LEFT(_xlfn.XLOOKUP($B238,VmSpecs[[#All],[VM Name]],VmSpecs[[#All],[Data Disk1 Type]],"Failed",0,1),4),"Pass","Fail")</f>
        <v>Fail</v>
      </c>
      <c r="BO238" t="e">
        <f>VLOOKUP('VM Specs'!K238,'As Built'!B:B,1,FALSE)</f>
        <v>#N/A</v>
      </c>
      <c r="BP238" t="str">
        <f>IF(ISNA(Table613[[#This Row],[VM Build Sheet Check]]),'VM Specs'!K238,"")</f>
        <v>vmpfbpf2mob01</v>
      </c>
    </row>
    <row r="239" spans="1:68" ht="33" customHeight="1" x14ac:dyDescent="0.35">
      <c r="A239" t="str">
        <f>IF(COUNTIF(AsBuilt[[#This Row],[VM Check]:[Data Disk 1 Type Check]],"Fail")&gt;0,"Fail","Pass")</f>
        <v>Fail</v>
      </c>
      <c r="B239" t="s">
        <v>2430</v>
      </c>
      <c r="C239" t="s">
        <v>754</v>
      </c>
      <c r="D239" t="s">
        <v>2100</v>
      </c>
      <c r="E239" t="s">
        <v>756</v>
      </c>
      <c r="F239" t="s">
        <v>757</v>
      </c>
      <c r="G239" t="s">
        <v>758</v>
      </c>
      <c r="H239" t="s">
        <v>2423</v>
      </c>
      <c r="J239" t="s">
        <v>760</v>
      </c>
      <c r="K239" t="s">
        <v>2102</v>
      </c>
      <c r="L239" t="s">
        <v>754</v>
      </c>
      <c r="M239" t="s">
        <v>2431</v>
      </c>
      <c r="N239" t="s">
        <v>2104</v>
      </c>
      <c r="O239" t="s">
        <v>2105</v>
      </c>
      <c r="P239" t="s">
        <v>63</v>
      </c>
      <c r="R239" t="s">
        <v>2432</v>
      </c>
      <c r="S239" t="s">
        <v>754</v>
      </c>
      <c r="U239" t="s">
        <v>2433</v>
      </c>
      <c r="V239" t="s">
        <v>767</v>
      </c>
      <c r="W239">
        <v>64</v>
      </c>
      <c r="X239" t="s">
        <v>768</v>
      </c>
      <c r="Y239">
        <v>2</v>
      </c>
      <c r="Z239" t="s">
        <v>2434</v>
      </c>
      <c r="AA239">
        <v>8</v>
      </c>
      <c r="AB239" t="s">
        <v>770</v>
      </c>
      <c r="AC239" t="s">
        <v>768</v>
      </c>
      <c r="AD239" t="s">
        <v>2435</v>
      </c>
      <c r="AE239">
        <v>32</v>
      </c>
      <c r="AF239" t="s">
        <v>770</v>
      </c>
      <c r="AG239" t="s">
        <v>768</v>
      </c>
      <c r="AT239" t="s">
        <v>2159</v>
      </c>
      <c r="AU239" t="s">
        <v>2436</v>
      </c>
      <c r="AV239" t="str" cm="1">
        <f t="array" ref="AV239">IF(B239=_xlfn.XLOOKUP(B239,VmSpecs[[#All],[VM Name]],VmSpecs[[#All],[VM Name]],"Failed",0,1),"Pass","Fail")</f>
        <v>Fail</v>
      </c>
      <c r="AW239" t="str" cm="1">
        <f t="array" ref="AW239">IF(D239=_xlfn.XLOOKUP($B239,VmSpecs[[#All],[VM Name]],VmSpecs[[#All],[Virtual Machine Resource Groups]],"Failed",0,1),"Pass","Fail")</f>
        <v>Fail</v>
      </c>
      <c r="AX239" t="str" cm="1">
        <f t="array" ref="AX239">IF(_xlfn.IFS(E239="australiacentral","Australia Central 1",E239="australiaeast","Australia East",E239="australiasoutheast","Australia SouthEast")=_xlfn.XLOOKUP($B239,VmSpecs[[#All],[VM Name]],VmSpecs[[#All],[Region]],"Failed",0,1),"Pass","Fail")</f>
        <v>Fail</v>
      </c>
      <c r="AY239" t="str" cm="1">
        <f t="array" ref="AY239">IF(F239=_xlfn.XLOOKUP($B239,VmSpecs[[#All],[VM Name]],VmSpecs[[#All],[Instance size]],"Failed",0,1),"Pass","Fail")</f>
        <v>Fail</v>
      </c>
      <c r="AZ239" t="str" cm="1">
        <f t="array" ref="AZ239">IF(LOWER(H239)=_xlfn.XLOOKUP($B239,VmSpecs[[#All],[VM Name]],VmSpecs[[#All],[Availability Set Name]],"Failed",0,1),"Pass","Fail")</f>
        <v>Fail</v>
      </c>
      <c r="BA239" t="str" cm="1">
        <f t="array" ref="BA239">IF(J239=_xlfn.XLOOKUP($B239,VmSpecs[[#All],[VM Name]],VmSpecs[[#All],[Virtual Network]],"Failed",0,1),"Pass","Fail")</f>
        <v>Fail</v>
      </c>
      <c r="BB239" t="str" cm="1">
        <f t="array" ref="BB239">IF(K239=_xlfn.XLOOKUP($B239,VmSpecs[[#All],[VM Name]],VmSpecs[[#All],[Subnet]],"Failed",0,1),"Pass","Fail")</f>
        <v>Fail</v>
      </c>
      <c r="BC239" t="str" cm="1">
        <f t="array" ref="BC239">IF(M239=_xlfn.XLOOKUP($B239,VmSpecs[[#All],[VM Name]],VmSpecs[[#All],[IP]],"Failed",0,1),"Pass","Fail")</f>
        <v>Fail</v>
      </c>
      <c r="BD239" t="str" cm="1">
        <f t="array" ref="BD239">IF(N239=_xlfn.XLOOKUP($B239,VmSpecs[[#All],[VM Name]],VmSpecs[[#All],[Network Security Group]],"Failed",0,1),"Pass","Fail")</f>
        <v>Fail</v>
      </c>
      <c r="BE239" t="str" cm="1">
        <f t="array" ref="BE239">IF(O239=_xlfn.XLOOKUP($B239,VmSpecs[[#All],[VM Name]],VmSpecs[[#All],[Route Table Name]],"Failed",0,1),"Pass","Fail")</f>
        <v>Fail</v>
      </c>
      <c r="BF239" t="str" cm="1">
        <f t="array" ref="BF239">IF(P239=_xlfn.XLOOKUP($B239,VmSpecs[[#All],[VM Name]],VmSpecs[[#All],[Operating System]],"Failed",0,1),"Pass","Fail")</f>
        <v>Fail</v>
      </c>
      <c r="BG239" t="str" cm="1">
        <f t="array" ref="BG239">IF(R239=_xlfn.XLOOKUP($B239,VmSpecs[[#All],[VM Name]],VmSpecs[[#All],[NIC name]],"Failed",0,1),"Pass","Fail")</f>
        <v>Fail</v>
      </c>
      <c r="BH239" t="str" cm="1">
        <f t="array" ref="BH239">IF(U239=_xlfn.XLOOKUP($B239,VmSpecs[[#All],[VM Name]],VmSpecs[[#All],[OS Disk Name]],"Failed",0,1),"Pass","Fail")</f>
        <v>Fail</v>
      </c>
      <c r="BI239" t="str" cm="1">
        <f t="array" ref="BI239">IF(W239=_xlfn.XLOOKUP($B239,VmSpecs[[#All],[VM Name]],VmSpecs[[#All],[OS Disk Size]],"Failed",0,1),"Pass","Fail")</f>
        <v>Fail</v>
      </c>
      <c r="BJ239" t="str" cm="1">
        <f t="array" ref="BJ239">IF(LEFT(X239,4)=LEFT(_xlfn.XLOOKUP($B239,VmSpecs[[#All],[VM Name]],VmSpecs[[#All],[OS Disk Type (Standard SSD etc)]],"Failed",0,1),4),"Pass","Fail")</f>
        <v>Fail</v>
      </c>
      <c r="BK239" t="str" cm="1">
        <f t="array" ref="BK239">IF(Z239=_xlfn.XLOOKUP($B239,VmSpecs[[#All],[VM Name]],VmSpecs[[#All],[Data Disk1 Name]],"Failed",0,1),"Pass","Fail")</f>
        <v>Fail</v>
      </c>
      <c r="BL239" t="str" cm="1">
        <f t="array" ref="BL239">IF(AA239=_xlfn.XLOOKUP($B239,VmSpecs[[#All],[VM Name]],VmSpecs[[#All],[Data Disk1 Size]],"Failed",0,1),"Pass","Fail")</f>
        <v>Fail</v>
      </c>
      <c r="BM239" t="str" cm="1">
        <f t="array" ref="BM239">IF(LEFT(AC239,4)=LEFT(_xlfn.XLOOKUP($B239,VmSpecs[[#All],[VM Name]],VmSpecs[[#All],[Data Disk1 Type]],"Failed",0,1),4),"Pass","Fail")</f>
        <v>Fail</v>
      </c>
      <c r="BO239" t="e">
        <f>VLOOKUP('VM Specs'!K239,'As Built'!B:B,1,FALSE)</f>
        <v>#N/A</v>
      </c>
      <c r="BP239" t="str">
        <f>IF(ISNA(Table613[[#This Row],[VM Build Sheet Check]]),'VM Specs'!K239,"")</f>
        <v>vmpfbpf2mob02</v>
      </c>
    </row>
    <row r="240" spans="1:68" ht="33" customHeight="1" x14ac:dyDescent="0.35">
      <c r="A240" t="str">
        <f>IF(COUNTIF(AsBuilt[[#This Row],[VM Check]:[Data Disk 1 Type Check]],"Fail")&gt;0,"Fail","Pass")</f>
        <v>Fail</v>
      </c>
      <c r="B240" t="s">
        <v>2437</v>
      </c>
      <c r="C240" t="s">
        <v>754</v>
      </c>
      <c r="D240" t="s">
        <v>2100</v>
      </c>
      <c r="E240" t="s">
        <v>756</v>
      </c>
      <c r="F240" t="s">
        <v>757</v>
      </c>
      <c r="G240" t="s">
        <v>758</v>
      </c>
      <c r="H240" t="s">
        <v>2438</v>
      </c>
      <c r="J240" t="s">
        <v>760</v>
      </c>
      <c r="K240" t="s">
        <v>2102</v>
      </c>
      <c r="L240" t="s">
        <v>754</v>
      </c>
      <c r="M240" t="s">
        <v>2439</v>
      </c>
      <c r="N240" t="s">
        <v>2104</v>
      </c>
      <c r="O240" t="s">
        <v>2105</v>
      </c>
      <c r="P240" t="s">
        <v>63</v>
      </c>
      <c r="R240" t="s">
        <v>2440</v>
      </c>
      <c r="S240" t="s">
        <v>754</v>
      </c>
      <c r="U240" t="s">
        <v>2441</v>
      </c>
      <c r="V240" t="s">
        <v>767</v>
      </c>
      <c r="W240">
        <v>64</v>
      </c>
      <c r="X240" t="s">
        <v>768</v>
      </c>
      <c r="Y240">
        <v>2</v>
      </c>
      <c r="Z240" t="s">
        <v>2442</v>
      </c>
      <c r="AA240">
        <v>8</v>
      </c>
      <c r="AB240" t="s">
        <v>770</v>
      </c>
      <c r="AC240" t="s">
        <v>768</v>
      </c>
      <c r="AD240" t="s">
        <v>2443</v>
      </c>
      <c r="AE240">
        <v>32</v>
      </c>
      <c r="AF240" t="s">
        <v>770</v>
      </c>
      <c r="AG240" t="s">
        <v>768</v>
      </c>
      <c r="AT240" t="s">
        <v>772</v>
      </c>
      <c r="AU240" t="s">
        <v>2444</v>
      </c>
      <c r="AV240" t="str" cm="1">
        <f t="array" ref="AV240">IF(B240=_xlfn.XLOOKUP(B240,VmSpecs[[#All],[VM Name]],VmSpecs[[#All],[VM Name]],"Failed",0,1),"Pass","Fail")</f>
        <v>Fail</v>
      </c>
      <c r="AW240" t="str" cm="1">
        <f t="array" ref="AW240">IF(D240=_xlfn.XLOOKUP($B240,VmSpecs[[#All],[VM Name]],VmSpecs[[#All],[Virtual Machine Resource Groups]],"Failed",0,1),"Pass","Fail")</f>
        <v>Fail</v>
      </c>
      <c r="AX240" t="str" cm="1">
        <f t="array" ref="AX240">IF(_xlfn.IFS(E240="australiacentral","Australia Central 1",E240="australiaeast","Australia East",E240="australiasoutheast","Australia SouthEast")=_xlfn.XLOOKUP($B240,VmSpecs[[#All],[VM Name]],VmSpecs[[#All],[Region]],"Failed",0,1),"Pass","Fail")</f>
        <v>Fail</v>
      </c>
      <c r="AY240" t="str" cm="1">
        <f t="array" ref="AY240">IF(F240=_xlfn.XLOOKUP($B240,VmSpecs[[#All],[VM Name]],VmSpecs[[#All],[Instance size]],"Failed",0,1),"Pass","Fail")</f>
        <v>Fail</v>
      </c>
      <c r="AZ240" t="str" cm="1">
        <f t="array" ref="AZ240">IF(LOWER(H240)=_xlfn.XLOOKUP($B240,VmSpecs[[#All],[VM Name]],VmSpecs[[#All],[Availability Set Name]],"Failed",0,1),"Pass","Fail")</f>
        <v>Fail</v>
      </c>
      <c r="BA240" t="str" cm="1">
        <f t="array" ref="BA240">IF(J240=_xlfn.XLOOKUP($B240,VmSpecs[[#All],[VM Name]],VmSpecs[[#All],[Virtual Network]],"Failed",0,1),"Pass","Fail")</f>
        <v>Fail</v>
      </c>
      <c r="BB240" t="str" cm="1">
        <f t="array" ref="BB240">IF(K240=_xlfn.XLOOKUP($B240,VmSpecs[[#All],[VM Name]],VmSpecs[[#All],[Subnet]],"Failed",0,1),"Pass","Fail")</f>
        <v>Fail</v>
      </c>
      <c r="BC240" t="str" cm="1">
        <f t="array" ref="BC240">IF(M240=_xlfn.XLOOKUP($B240,VmSpecs[[#All],[VM Name]],VmSpecs[[#All],[IP]],"Failed",0,1),"Pass","Fail")</f>
        <v>Fail</v>
      </c>
      <c r="BD240" t="str" cm="1">
        <f t="array" ref="BD240">IF(N240=_xlfn.XLOOKUP($B240,VmSpecs[[#All],[VM Name]],VmSpecs[[#All],[Network Security Group]],"Failed",0,1),"Pass","Fail")</f>
        <v>Fail</v>
      </c>
      <c r="BE240" t="str" cm="1">
        <f t="array" ref="BE240">IF(O240=_xlfn.XLOOKUP($B240,VmSpecs[[#All],[VM Name]],VmSpecs[[#All],[Route Table Name]],"Failed",0,1),"Pass","Fail")</f>
        <v>Fail</v>
      </c>
      <c r="BF240" t="str" cm="1">
        <f t="array" ref="BF240">IF(P240=_xlfn.XLOOKUP($B240,VmSpecs[[#All],[VM Name]],VmSpecs[[#All],[Operating System]],"Failed",0,1),"Pass","Fail")</f>
        <v>Fail</v>
      </c>
      <c r="BG240" t="str" cm="1">
        <f t="array" ref="BG240">IF(R240=_xlfn.XLOOKUP($B240,VmSpecs[[#All],[VM Name]],VmSpecs[[#All],[NIC name]],"Failed",0,1),"Pass","Fail")</f>
        <v>Fail</v>
      </c>
      <c r="BH240" t="str" cm="1">
        <f t="array" ref="BH240">IF(U240=_xlfn.XLOOKUP($B240,VmSpecs[[#All],[VM Name]],VmSpecs[[#All],[OS Disk Name]],"Failed",0,1),"Pass","Fail")</f>
        <v>Fail</v>
      </c>
      <c r="BI240" t="str" cm="1">
        <f t="array" ref="BI240">IF(W240=_xlfn.XLOOKUP($B240,VmSpecs[[#All],[VM Name]],VmSpecs[[#All],[OS Disk Size]],"Failed",0,1),"Pass","Fail")</f>
        <v>Fail</v>
      </c>
      <c r="BJ240" t="str" cm="1">
        <f t="array" ref="BJ240">IF(LEFT(X240,4)=LEFT(_xlfn.XLOOKUP($B240,VmSpecs[[#All],[VM Name]],VmSpecs[[#All],[OS Disk Type (Standard SSD etc)]],"Failed",0,1),4),"Pass","Fail")</f>
        <v>Fail</v>
      </c>
      <c r="BK240" t="str" cm="1">
        <f t="array" ref="BK240">IF(Z240=_xlfn.XLOOKUP($B240,VmSpecs[[#All],[VM Name]],VmSpecs[[#All],[Data Disk1 Name]],"Failed",0,1),"Pass","Fail")</f>
        <v>Fail</v>
      </c>
      <c r="BL240" t="str" cm="1">
        <f t="array" ref="BL240">IF(AA240=_xlfn.XLOOKUP($B240,VmSpecs[[#All],[VM Name]],VmSpecs[[#All],[Data Disk1 Size]],"Failed",0,1),"Pass","Fail")</f>
        <v>Fail</v>
      </c>
      <c r="BM240" t="str" cm="1">
        <f t="array" ref="BM240">IF(LEFT(AC240,4)=LEFT(_xlfn.XLOOKUP($B240,VmSpecs[[#All],[VM Name]],VmSpecs[[#All],[Data Disk1 Type]],"Failed",0,1),4),"Pass","Fail")</f>
        <v>Fail</v>
      </c>
      <c r="BO240" t="e">
        <f>VLOOKUP('VM Specs'!K240,'As Built'!B:B,1,FALSE)</f>
        <v>#N/A</v>
      </c>
      <c r="BP240" t="str">
        <f>IF(ISNA(Table613[[#This Row],[VM Build Sheet Check]]),'VM Specs'!K240,"")</f>
        <v>vmpfbpf2nes01</v>
      </c>
    </row>
    <row r="241" spans="1:68" ht="33" customHeight="1" x14ac:dyDescent="0.35">
      <c r="A241" t="str">
        <f>IF(COUNTIF(AsBuilt[[#This Row],[VM Check]:[Data Disk 1 Type Check]],"Fail")&gt;0,"Fail","Pass")</f>
        <v>Fail</v>
      </c>
      <c r="B241" t="s">
        <v>2445</v>
      </c>
      <c r="C241" t="s">
        <v>754</v>
      </c>
      <c r="D241" t="s">
        <v>2100</v>
      </c>
      <c r="E241" t="s">
        <v>756</v>
      </c>
      <c r="F241" t="s">
        <v>801</v>
      </c>
      <c r="G241" t="s">
        <v>758</v>
      </c>
      <c r="H241" t="s">
        <v>2446</v>
      </c>
      <c r="J241" t="s">
        <v>760</v>
      </c>
      <c r="K241" t="s">
        <v>2102</v>
      </c>
      <c r="L241" t="s">
        <v>754</v>
      </c>
      <c r="M241" t="s">
        <v>2447</v>
      </c>
      <c r="N241" t="s">
        <v>2104</v>
      </c>
      <c r="O241" t="s">
        <v>2105</v>
      </c>
      <c r="P241" t="s">
        <v>63</v>
      </c>
      <c r="R241" t="s">
        <v>2448</v>
      </c>
      <c r="S241" t="s">
        <v>754</v>
      </c>
      <c r="U241" t="s">
        <v>2449</v>
      </c>
      <c r="V241" t="s">
        <v>767</v>
      </c>
      <c r="W241">
        <v>64</v>
      </c>
      <c r="X241" t="s">
        <v>768</v>
      </c>
      <c r="Y241">
        <v>2</v>
      </c>
      <c r="Z241" t="s">
        <v>2450</v>
      </c>
      <c r="AA241">
        <v>8</v>
      </c>
      <c r="AB241" t="s">
        <v>770</v>
      </c>
      <c r="AC241" t="s">
        <v>768</v>
      </c>
      <c r="AD241" t="s">
        <v>2451</v>
      </c>
      <c r="AE241">
        <v>32</v>
      </c>
      <c r="AF241" t="s">
        <v>770</v>
      </c>
      <c r="AG241" t="s">
        <v>768</v>
      </c>
      <c r="AT241" t="s">
        <v>2159</v>
      </c>
      <c r="AU241" t="s">
        <v>2452</v>
      </c>
      <c r="AV241" t="str" cm="1">
        <f t="array" ref="AV241">IF(B241=_xlfn.XLOOKUP(B241,VmSpecs[[#All],[VM Name]],VmSpecs[[#All],[VM Name]],"Failed",0,1),"Pass","Fail")</f>
        <v>Fail</v>
      </c>
      <c r="AW241" t="str" cm="1">
        <f t="array" ref="AW241">IF(D241=_xlfn.XLOOKUP($B241,VmSpecs[[#All],[VM Name]],VmSpecs[[#All],[Virtual Machine Resource Groups]],"Failed",0,1),"Pass","Fail")</f>
        <v>Fail</v>
      </c>
      <c r="AX241" t="str" cm="1">
        <f t="array" ref="AX241">IF(_xlfn.IFS(E241="australiacentral","Australia Central 1",E241="australiaeast","Australia East",E241="australiasoutheast","Australia SouthEast")=_xlfn.XLOOKUP($B241,VmSpecs[[#All],[VM Name]],VmSpecs[[#All],[Region]],"Failed",0,1),"Pass","Fail")</f>
        <v>Fail</v>
      </c>
      <c r="AY241" t="str" cm="1">
        <f t="array" ref="AY241">IF(F241=_xlfn.XLOOKUP($B241,VmSpecs[[#All],[VM Name]],VmSpecs[[#All],[Instance size]],"Failed",0,1),"Pass","Fail")</f>
        <v>Fail</v>
      </c>
      <c r="AZ241" t="str" cm="1">
        <f t="array" ref="AZ241">IF(LOWER(H241)=_xlfn.XLOOKUP($B241,VmSpecs[[#All],[VM Name]],VmSpecs[[#All],[Availability Set Name]],"Failed",0,1),"Pass","Fail")</f>
        <v>Fail</v>
      </c>
      <c r="BA241" t="str" cm="1">
        <f t="array" ref="BA241">IF(J241=_xlfn.XLOOKUP($B241,VmSpecs[[#All],[VM Name]],VmSpecs[[#All],[Virtual Network]],"Failed",0,1),"Pass","Fail")</f>
        <v>Fail</v>
      </c>
      <c r="BB241" t="str" cm="1">
        <f t="array" ref="BB241">IF(K241=_xlfn.XLOOKUP($B241,VmSpecs[[#All],[VM Name]],VmSpecs[[#All],[Subnet]],"Failed",0,1),"Pass","Fail")</f>
        <v>Fail</v>
      </c>
      <c r="BC241" t="str" cm="1">
        <f t="array" ref="BC241">IF(M241=_xlfn.XLOOKUP($B241,VmSpecs[[#All],[VM Name]],VmSpecs[[#All],[IP]],"Failed",0,1),"Pass","Fail")</f>
        <v>Fail</v>
      </c>
      <c r="BD241" t="str" cm="1">
        <f t="array" ref="BD241">IF(N241=_xlfn.XLOOKUP($B241,VmSpecs[[#All],[VM Name]],VmSpecs[[#All],[Network Security Group]],"Failed",0,1),"Pass","Fail")</f>
        <v>Fail</v>
      </c>
      <c r="BE241" t="str" cm="1">
        <f t="array" ref="BE241">IF(O241=_xlfn.XLOOKUP($B241,VmSpecs[[#All],[VM Name]],VmSpecs[[#All],[Route Table Name]],"Failed",0,1),"Pass","Fail")</f>
        <v>Fail</v>
      </c>
      <c r="BF241" t="str" cm="1">
        <f t="array" ref="BF241">IF(P241=_xlfn.XLOOKUP($B241,VmSpecs[[#All],[VM Name]],VmSpecs[[#All],[Operating System]],"Failed",0,1),"Pass","Fail")</f>
        <v>Fail</v>
      </c>
      <c r="BG241" t="str" cm="1">
        <f t="array" ref="BG241">IF(R241=_xlfn.XLOOKUP($B241,VmSpecs[[#All],[VM Name]],VmSpecs[[#All],[NIC name]],"Failed",0,1),"Pass","Fail")</f>
        <v>Fail</v>
      </c>
      <c r="BH241" t="str" cm="1">
        <f t="array" ref="BH241">IF(U241=_xlfn.XLOOKUP($B241,VmSpecs[[#All],[VM Name]],VmSpecs[[#All],[OS Disk Name]],"Failed",0,1),"Pass","Fail")</f>
        <v>Fail</v>
      </c>
      <c r="BI241" t="str" cm="1">
        <f t="array" ref="BI241">IF(W241=_xlfn.XLOOKUP($B241,VmSpecs[[#All],[VM Name]],VmSpecs[[#All],[OS Disk Size]],"Failed",0,1),"Pass","Fail")</f>
        <v>Fail</v>
      </c>
      <c r="BJ241" t="str" cm="1">
        <f t="array" ref="BJ241">IF(LEFT(X241,4)=LEFT(_xlfn.XLOOKUP($B241,VmSpecs[[#All],[VM Name]],VmSpecs[[#All],[OS Disk Type (Standard SSD etc)]],"Failed",0,1),4),"Pass","Fail")</f>
        <v>Fail</v>
      </c>
      <c r="BK241" t="str" cm="1">
        <f t="array" ref="BK241">IF(Z241=_xlfn.XLOOKUP($B241,VmSpecs[[#All],[VM Name]],VmSpecs[[#All],[Data Disk1 Name]],"Failed",0,1),"Pass","Fail")</f>
        <v>Fail</v>
      </c>
      <c r="BL241" t="str" cm="1">
        <f t="array" ref="BL241">IF(AA241=_xlfn.XLOOKUP($B241,VmSpecs[[#All],[VM Name]],VmSpecs[[#All],[Data Disk1 Size]],"Failed",0,1),"Pass","Fail")</f>
        <v>Fail</v>
      </c>
      <c r="BM241" t="str" cm="1">
        <f t="array" ref="BM241">IF(LEFT(AC241,4)=LEFT(_xlfn.XLOOKUP($B241,VmSpecs[[#All],[VM Name]],VmSpecs[[#All],[Data Disk1 Type]],"Failed",0,1),4),"Pass","Fail")</f>
        <v>Fail</v>
      </c>
      <c r="BO241" t="e">
        <f>VLOOKUP('VM Specs'!K241,'As Built'!B:B,1,FALSE)</f>
        <v>#N/A</v>
      </c>
      <c r="BP241" t="str">
        <f>IF(ISNA(Table613[[#This Row],[VM Build Sheet Check]]),'VM Specs'!K241,"")</f>
        <v>vmpfbpf2oag01</v>
      </c>
    </row>
    <row r="242" spans="1:68" ht="33" customHeight="1" x14ac:dyDescent="0.35">
      <c r="A242" t="str">
        <f>IF(COUNTIF(AsBuilt[[#This Row],[VM Check]:[Data Disk 1 Type Check]],"Fail")&gt;0,"Fail","Pass")</f>
        <v>Fail</v>
      </c>
      <c r="B242" t="s">
        <v>2453</v>
      </c>
      <c r="C242" t="s">
        <v>754</v>
      </c>
      <c r="D242" t="s">
        <v>2100</v>
      </c>
      <c r="E242" t="s">
        <v>756</v>
      </c>
      <c r="F242" t="s">
        <v>801</v>
      </c>
      <c r="G242" t="s">
        <v>758</v>
      </c>
      <c r="H242" t="s">
        <v>2446</v>
      </c>
      <c r="J242" t="s">
        <v>760</v>
      </c>
      <c r="K242" t="s">
        <v>2102</v>
      </c>
      <c r="L242" t="s">
        <v>754</v>
      </c>
      <c r="M242" t="s">
        <v>2454</v>
      </c>
      <c r="N242" t="s">
        <v>2104</v>
      </c>
      <c r="O242" t="s">
        <v>2105</v>
      </c>
      <c r="P242" t="s">
        <v>63</v>
      </c>
      <c r="R242" t="s">
        <v>2455</v>
      </c>
      <c r="S242" t="s">
        <v>754</v>
      </c>
      <c r="U242" t="s">
        <v>2456</v>
      </c>
      <c r="V242" t="s">
        <v>767</v>
      </c>
      <c r="W242">
        <v>64</v>
      </c>
      <c r="X242" t="s">
        <v>768</v>
      </c>
      <c r="Y242">
        <v>2</v>
      </c>
      <c r="Z242" t="s">
        <v>2457</v>
      </c>
      <c r="AA242">
        <v>8</v>
      </c>
      <c r="AB242" t="s">
        <v>770</v>
      </c>
      <c r="AC242" t="s">
        <v>768</v>
      </c>
      <c r="AD242" t="s">
        <v>2458</v>
      </c>
      <c r="AE242">
        <v>32</v>
      </c>
      <c r="AF242" t="s">
        <v>770</v>
      </c>
      <c r="AG242" t="s">
        <v>768</v>
      </c>
      <c r="AT242" t="s">
        <v>2159</v>
      </c>
      <c r="AU242" t="s">
        <v>2459</v>
      </c>
      <c r="AV242" t="str" cm="1">
        <f t="array" ref="AV242">IF(B242=_xlfn.XLOOKUP(B242,VmSpecs[[#All],[VM Name]],VmSpecs[[#All],[VM Name]],"Failed",0,1),"Pass","Fail")</f>
        <v>Fail</v>
      </c>
      <c r="AW242" t="str" cm="1">
        <f t="array" ref="AW242">IF(D242=_xlfn.XLOOKUP($B242,VmSpecs[[#All],[VM Name]],VmSpecs[[#All],[Virtual Machine Resource Groups]],"Failed",0,1),"Pass","Fail")</f>
        <v>Fail</v>
      </c>
      <c r="AX242" t="str" cm="1">
        <f t="array" ref="AX242">IF(_xlfn.IFS(E242="australiacentral","Australia Central 1",E242="australiaeast","Australia East",E242="australiasoutheast","Australia SouthEast")=_xlfn.XLOOKUP($B242,VmSpecs[[#All],[VM Name]],VmSpecs[[#All],[Region]],"Failed",0,1),"Pass","Fail")</f>
        <v>Fail</v>
      </c>
      <c r="AY242" t="str" cm="1">
        <f t="array" ref="AY242">IF(F242=_xlfn.XLOOKUP($B242,VmSpecs[[#All],[VM Name]],VmSpecs[[#All],[Instance size]],"Failed",0,1),"Pass","Fail")</f>
        <v>Fail</v>
      </c>
      <c r="AZ242" t="str" cm="1">
        <f t="array" ref="AZ242">IF(LOWER(H242)=_xlfn.XLOOKUP($B242,VmSpecs[[#All],[VM Name]],VmSpecs[[#All],[Availability Set Name]],"Failed",0,1),"Pass","Fail")</f>
        <v>Fail</v>
      </c>
      <c r="BA242" t="str" cm="1">
        <f t="array" ref="BA242">IF(J242=_xlfn.XLOOKUP($B242,VmSpecs[[#All],[VM Name]],VmSpecs[[#All],[Virtual Network]],"Failed",0,1),"Pass","Fail")</f>
        <v>Fail</v>
      </c>
      <c r="BB242" t="str" cm="1">
        <f t="array" ref="BB242">IF(K242=_xlfn.XLOOKUP($B242,VmSpecs[[#All],[VM Name]],VmSpecs[[#All],[Subnet]],"Failed",0,1),"Pass","Fail")</f>
        <v>Fail</v>
      </c>
      <c r="BC242" t="str" cm="1">
        <f t="array" ref="BC242">IF(M242=_xlfn.XLOOKUP($B242,VmSpecs[[#All],[VM Name]],VmSpecs[[#All],[IP]],"Failed",0,1),"Pass","Fail")</f>
        <v>Fail</v>
      </c>
      <c r="BD242" t="str" cm="1">
        <f t="array" ref="BD242">IF(N242=_xlfn.XLOOKUP($B242,VmSpecs[[#All],[VM Name]],VmSpecs[[#All],[Network Security Group]],"Failed",0,1),"Pass","Fail")</f>
        <v>Fail</v>
      </c>
      <c r="BE242" t="str" cm="1">
        <f t="array" ref="BE242">IF(O242=_xlfn.XLOOKUP($B242,VmSpecs[[#All],[VM Name]],VmSpecs[[#All],[Route Table Name]],"Failed",0,1),"Pass","Fail")</f>
        <v>Fail</v>
      </c>
      <c r="BF242" t="str" cm="1">
        <f t="array" ref="BF242">IF(P242=_xlfn.XLOOKUP($B242,VmSpecs[[#All],[VM Name]],VmSpecs[[#All],[Operating System]],"Failed",0,1),"Pass","Fail")</f>
        <v>Fail</v>
      </c>
      <c r="BG242" t="str" cm="1">
        <f t="array" ref="BG242">IF(R242=_xlfn.XLOOKUP($B242,VmSpecs[[#All],[VM Name]],VmSpecs[[#All],[NIC name]],"Failed",0,1),"Pass","Fail")</f>
        <v>Fail</v>
      </c>
      <c r="BH242" t="str" cm="1">
        <f t="array" ref="BH242">IF(U242=_xlfn.XLOOKUP($B242,VmSpecs[[#All],[VM Name]],VmSpecs[[#All],[OS Disk Name]],"Failed",0,1),"Pass","Fail")</f>
        <v>Fail</v>
      </c>
      <c r="BI242" t="str" cm="1">
        <f t="array" ref="BI242">IF(W242=_xlfn.XLOOKUP($B242,VmSpecs[[#All],[VM Name]],VmSpecs[[#All],[OS Disk Size]],"Failed",0,1),"Pass","Fail")</f>
        <v>Fail</v>
      </c>
      <c r="BJ242" t="str" cm="1">
        <f t="array" ref="BJ242">IF(LEFT(X242,4)=LEFT(_xlfn.XLOOKUP($B242,VmSpecs[[#All],[VM Name]],VmSpecs[[#All],[OS Disk Type (Standard SSD etc)]],"Failed",0,1),4),"Pass","Fail")</f>
        <v>Fail</v>
      </c>
      <c r="BK242" t="str" cm="1">
        <f t="array" ref="BK242">IF(Z242=_xlfn.XLOOKUP($B242,VmSpecs[[#All],[VM Name]],VmSpecs[[#All],[Data Disk1 Name]],"Failed",0,1),"Pass","Fail")</f>
        <v>Fail</v>
      </c>
      <c r="BL242" t="str" cm="1">
        <f t="array" ref="BL242">IF(AA242=_xlfn.XLOOKUP($B242,VmSpecs[[#All],[VM Name]],VmSpecs[[#All],[Data Disk1 Size]],"Failed",0,1),"Pass","Fail")</f>
        <v>Fail</v>
      </c>
      <c r="BM242" t="str" cm="1">
        <f t="array" ref="BM242">IF(LEFT(AC242,4)=LEFT(_xlfn.XLOOKUP($B242,VmSpecs[[#All],[VM Name]],VmSpecs[[#All],[Data Disk1 Type]],"Failed",0,1),4),"Pass","Fail")</f>
        <v>Fail</v>
      </c>
      <c r="BO242" t="e">
        <f>VLOOKUP('VM Specs'!K242,'As Built'!B:B,1,FALSE)</f>
        <v>#N/A</v>
      </c>
      <c r="BP242" t="str">
        <f>IF(ISNA(Table613[[#This Row],[VM Build Sheet Check]]),'VM Specs'!K242,"")</f>
        <v>vmpfbpf2oag02</v>
      </c>
    </row>
    <row r="243" spans="1:68" ht="33" customHeight="1" x14ac:dyDescent="0.35">
      <c r="A243" t="str">
        <f>IF(COUNTIF(AsBuilt[[#This Row],[VM Check]:[Data Disk 1 Type Check]],"Fail")&gt;0,"Fail","Pass")</f>
        <v>Fail</v>
      </c>
      <c r="B243" t="s">
        <v>2460</v>
      </c>
      <c r="C243" t="s">
        <v>754</v>
      </c>
      <c r="D243" t="s">
        <v>2100</v>
      </c>
      <c r="E243" t="s">
        <v>756</v>
      </c>
      <c r="F243" t="s">
        <v>801</v>
      </c>
      <c r="G243" t="s">
        <v>758</v>
      </c>
      <c r="H243" t="s">
        <v>2446</v>
      </c>
      <c r="J243" t="s">
        <v>760</v>
      </c>
      <c r="K243" t="s">
        <v>2102</v>
      </c>
      <c r="L243" t="s">
        <v>754</v>
      </c>
      <c r="M243" t="s">
        <v>2461</v>
      </c>
      <c r="N243" t="s">
        <v>2104</v>
      </c>
      <c r="O243" t="s">
        <v>2105</v>
      </c>
      <c r="P243" t="s">
        <v>63</v>
      </c>
      <c r="R243" t="s">
        <v>2462</v>
      </c>
      <c r="S243" t="s">
        <v>754</v>
      </c>
      <c r="U243" t="s">
        <v>2463</v>
      </c>
      <c r="V243" t="s">
        <v>767</v>
      </c>
      <c r="W243">
        <v>64</v>
      </c>
      <c r="X243" t="s">
        <v>768</v>
      </c>
      <c r="Y243">
        <v>2</v>
      </c>
      <c r="Z243" t="s">
        <v>2464</v>
      </c>
      <c r="AA243">
        <v>8</v>
      </c>
      <c r="AB243" t="s">
        <v>770</v>
      </c>
      <c r="AC243" t="s">
        <v>768</v>
      </c>
      <c r="AD243" t="s">
        <v>2465</v>
      </c>
      <c r="AE243">
        <v>32</v>
      </c>
      <c r="AF243" t="s">
        <v>770</v>
      </c>
      <c r="AG243" t="s">
        <v>768</v>
      </c>
      <c r="AT243" t="s">
        <v>2159</v>
      </c>
      <c r="AU243" t="s">
        <v>2466</v>
      </c>
      <c r="AV243" t="str" cm="1">
        <f t="array" ref="AV243">IF(B243=_xlfn.XLOOKUP(B243,VmSpecs[[#All],[VM Name]],VmSpecs[[#All],[VM Name]],"Failed",0,1),"Pass","Fail")</f>
        <v>Fail</v>
      </c>
      <c r="AW243" t="str" cm="1">
        <f t="array" ref="AW243">IF(D243=_xlfn.XLOOKUP($B243,VmSpecs[[#All],[VM Name]],VmSpecs[[#All],[Virtual Machine Resource Groups]],"Failed",0,1),"Pass","Fail")</f>
        <v>Fail</v>
      </c>
      <c r="AX243" t="str" cm="1">
        <f t="array" ref="AX243">IF(_xlfn.IFS(E243="australiacentral","Australia Central 1",E243="australiaeast","Australia East",E243="australiasoutheast","Australia SouthEast")=_xlfn.XLOOKUP($B243,VmSpecs[[#All],[VM Name]],VmSpecs[[#All],[Region]],"Failed",0,1),"Pass","Fail")</f>
        <v>Fail</v>
      </c>
      <c r="AY243" t="str" cm="1">
        <f t="array" ref="AY243">IF(F243=_xlfn.XLOOKUP($B243,VmSpecs[[#All],[VM Name]],VmSpecs[[#All],[Instance size]],"Failed",0,1),"Pass","Fail")</f>
        <v>Fail</v>
      </c>
      <c r="AZ243" t="str" cm="1">
        <f t="array" ref="AZ243">IF(LOWER(H243)=_xlfn.XLOOKUP($B243,VmSpecs[[#All],[VM Name]],VmSpecs[[#All],[Availability Set Name]],"Failed",0,1),"Pass","Fail")</f>
        <v>Fail</v>
      </c>
      <c r="BA243" t="str" cm="1">
        <f t="array" ref="BA243">IF(J243=_xlfn.XLOOKUP($B243,VmSpecs[[#All],[VM Name]],VmSpecs[[#All],[Virtual Network]],"Failed",0,1),"Pass","Fail")</f>
        <v>Fail</v>
      </c>
      <c r="BB243" t="str" cm="1">
        <f t="array" ref="BB243">IF(K243=_xlfn.XLOOKUP($B243,VmSpecs[[#All],[VM Name]],VmSpecs[[#All],[Subnet]],"Failed",0,1),"Pass","Fail")</f>
        <v>Fail</v>
      </c>
      <c r="BC243" t="str" cm="1">
        <f t="array" ref="BC243">IF(M243=_xlfn.XLOOKUP($B243,VmSpecs[[#All],[VM Name]],VmSpecs[[#All],[IP]],"Failed",0,1),"Pass","Fail")</f>
        <v>Fail</v>
      </c>
      <c r="BD243" t="str" cm="1">
        <f t="array" ref="BD243">IF(N243=_xlfn.XLOOKUP($B243,VmSpecs[[#All],[VM Name]],VmSpecs[[#All],[Network Security Group]],"Failed",0,1),"Pass","Fail")</f>
        <v>Fail</v>
      </c>
      <c r="BE243" t="str" cm="1">
        <f t="array" ref="BE243">IF(O243=_xlfn.XLOOKUP($B243,VmSpecs[[#All],[VM Name]],VmSpecs[[#All],[Route Table Name]],"Failed",0,1),"Pass","Fail")</f>
        <v>Fail</v>
      </c>
      <c r="BF243" t="str" cm="1">
        <f t="array" ref="BF243">IF(P243=_xlfn.XLOOKUP($B243,VmSpecs[[#All],[VM Name]],VmSpecs[[#All],[Operating System]],"Failed",0,1),"Pass","Fail")</f>
        <v>Fail</v>
      </c>
      <c r="BG243" t="str" cm="1">
        <f t="array" ref="BG243">IF(R243=_xlfn.XLOOKUP($B243,VmSpecs[[#All],[VM Name]],VmSpecs[[#All],[NIC name]],"Failed",0,1),"Pass","Fail")</f>
        <v>Fail</v>
      </c>
      <c r="BH243" t="str" cm="1">
        <f t="array" ref="BH243">IF(U243=_xlfn.XLOOKUP($B243,VmSpecs[[#All],[VM Name]],VmSpecs[[#All],[OS Disk Name]],"Failed",0,1),"Pass","Fail")</f>
        <v>Fail</v>
      </c>
      <c r="BI243" t="str" cm="1">
        <f t="array" ref="BI243">IF(W243=_xlfn.XLOOKUP($B243,VmSpecs[[#All],[VM Name]],VmSpecs[[#All],[OS Disk Size]],"Failed",0,1),"Pass","Fail")</f>
        <v>Fail</v>
      </c>
      <c r="BJ243" t="str" cm="1">
        <f t="array" ref="BJ243">IF(LEFT(X243,4)=LEFT(_xlfn.XLOOKUP($B243,VmSpecs[[#All],[VM Name]],VmSpecs[[#All],[OS Disk Type (Standard SSD etc)]],"Failed",0,1),4),"Pass","Fail")</f>
        <v>Fail</v>
      </c>
      <c r="BK243" t="str" cm="1">
        <f t="array" ref="BK243">IF(Z243=_xlfn.XLOOKUP($B243,VmSpecs[[#All],[VM Name]],VmSpecs[[#All],[Data Disk1 Name]],"Failed",0,1),"Pass","Fail")</f>
        <v>Fail</v>
      </c>
      <c r="BL243" t="str" cm="1">
        <f t="array" ref="BL243">IF(AA243=_xlfn.XLOOKUP($B243,VmSpecs[[#All],[VM Name]],VmSpecs[[#All],[Data Disk1 Size]],"Failed",0,1),"Pass","Fail")</f>
        <v>Fail</v>
      </c>
      <c r="BM243" t="str" cm="1">
        <f t="array" ref="BM243">IF(LEFT(AC243,4)=LEFT(_xlfn.XLOOKUP($B243,VmSpecs[[#All],[VM Name]],VmSpecs[[#All],[Data Disk1 Type]],"Failed",0,1),4),"Pass","Fail")</f>
        <v>Fail</v>
      </c>
      <c r="BO243" t="e">
        <f>VLOOKUP('VM Specs'!K243,'As Built'!B:B,1,FALSE)</f>
        <v>#N/A</v>
      </c>
      <c r="BP243" t="str">
        <f>IF(ISNA(Table613[[#This Row],[VM Build Sheet Check]]),'VM Specs'!K243,"")</f>
        <v>vmpfbpf2oag03</v>
      </c>
    </row>
    <row r="244" spans="1:68" ht="33" customHeight="1" x14ac:dyDescent="0.35">
      <c r="A244" t="str">
        <f>IF(COUNTIF(AsBuilt[[#This Row],[VM Check]:[Data Disk 1 Type Check]],"Fail")&gt;0,"Fail","Pass")</f>
        <v>Fail</v>
      </c>
      <c r="B244" t="s">
        <v>2467</v>
      </c>
      <c r="C244" t="s">
        <v>754</v>
      </c>
      <c r="D244" t="s">
        <v>2100</v>
      </c>
      <c r="E244" t="s">
        <v>756</v>
      </c>
      <c r="F244" t="s">
        <v>801</v>
      </c>
      <c r="G244" t="s">
        <v>758</v>
      </c>
      <c r="H244" t="s">
        <v>2446</v>
      </c>
      <c r="J244" t="s">
        <v>760</v>
      </c>
      <c r="K244" t="s">
        <v>2102</v>
      </c>
      <c r="L244" t="s">
        <v>754</v>
      </c>
      <c r="M244" t="s">
        <v>2468</v>
      </c>
      <c r="N244" t="s">
        <v>2104</v>
      </c>
      <c r="O244" t="s">
        <v>2105</v>
      </c>
      <c r="P244" t="s">
        <v>63</v>
      </c>
      <c r="R244" t="s">
        <v>2469</v>
      </c>
      <c r="S244" t="s">
        <v>754</v>
      </c>
      <c r="U244" t="s">
        <v>2470</v>
      </c>
      <c r="V244" t="s">
        <v>767</v>
      </c>
      <c r="W244">
        <v>64</v>
      </c>
      <c r="X244" t="s">
        <v>768</v>
      </c>
      <c r="Y244">
        <v>2</v>
      </c>
      <c r="Z244" t="s">
        <v>2471</v>
      </c>
      <c r="AA244">
        <v>8</v>
      </c>
      <c r="AB244" t="s">
        <v>770</v>
      </c>
      <c r="AC244" t="s">
        <v>768</v>
      </c>
      <c r="AD244" t="s">
        <v>2472</v>
      </c>
      <c r="AE244">
        <v>32</v>
      </c>
      <c r="AF244" t="s">
        <v>770</v>
      </c>
      <c r="AG244" t="s">
        <v>768</v>
      </c>
      <c r="AT244" t="s">
        <v>2159</v>
      </c>
      <c r="AU244" t="s">
        <v>2473</v>
      </c>
      <c r="AV244" t="str" cm="1">
        <f t="array" ref="AV244">IF(B244=_xlfn.XLOOKUP(B244,VmSpecs[[#All],[VM Name]],VmSpecs[[#All],[VM Name]],"Failed",0,1),"Pass","Fail")</f>
        <v>Fail</v>
      </c>
      <c r="AW244" t="str" cm="1">
        <f t="array" ref="AW244">IF(D244=_xlfn.XLOOKUP($B244,VmSpecs[[#All],[VM Name]],VmSpecs[[#All],[Virtual Machine Resource Groups]],"Failed",0,1),"Pass","Fail")</f>
        <v>Fail</v>
      </c>
      <c r="AX244" t="str" cm="1">
        <f t="array" ref="AX244">IF(_xlfn.IFS(E244="australiacentral","Australia Central 1",E244="australiaeast","Australia East",E244="australiasoutheast","Australia SouthEast")=_xlfn.XLOOKUP($B244,VmSpecs[[#All],[VM Name]],VmSpecs[[#All],[Region]],"Failed",0,1),"Pass","Fail")</f>
        <v>Fail</v>
      </c>
      <c r="AY244" t="str" cm="1">
        <f t="array" ref="AY244">IF(F244=_xlfn.XLOOKUP($B244,VmSpecs[[#All],[VM Name]],VmSpecs[[#All],[Instance size]],"Failed",0,1),"Pass","Fail")</f>
        <v>Fail</v>
      </c>
      <c r="AZ244" t="str" cm="1">
        <f t="array" ref="AZ244">IF(LOWER(H244)=_xlfn.XLOOKUP($B244,VmSpecs[[#All],[VM Name]],VmSpecs[[#All],[Availability Set Name]],"Failed",0,1),"Pass","Fail")</f>
        <v>Fail</v>
      </c>
      <c r="BA244" t="str" cm="1">
        <f t="array" ref="BA244">IF(J244=_xlfn.XLOOKUP($B244,VmSpecs[[#All],[VM Name]],VmSpecs[[#All],[Virtual Network]],"Failed",0,1),"Pass","Fail")</f>
        <v>Fail</v>
      </c>
      <c r="BB244" t="str" cm="1">
        <f t="array" ref="BB244">IF(K244=_xlfn.XLOOKUP($B244,VmSpecs[[#All],[VM Name]],VmSpecs[[#All],[Subnet]],"Failed",0,1),"Pass","Fail")</f>
        <v>Fail</v>
      </c>
      <c r="BC244" t="str" cm="1">
        <f t="array" ref="BC244">IF(M244=_xlfn.XLOOKUP($B244,VmSpecs[[#All],[VM Name]],VmSpecs[[#All],[IP]],"Failed",0,1),"Pass","Fail")</f>
        <v>Fail</v>
      </c>
      <c r="BD244" t="str" cm="1">
        <f t="array" ref="BD244">IF(N244=_xlfn.XLOOKUP($B244,VmSpecs[[#All],[VM Name]],VmSpecs[[#All],[Network Security Group]],"Failed",0,1),"Pass","Fail")</f>
        <v>Fail</v>
      </c>
      <c r="BE244" t="str" cm="1">
        <f t="array" ref="BE244">IF(O244=_xlfn.XLOOKUP($B244,VmSpecs[[#All],[VM Name]],VmSpecs[[#All],[Route Table Name]],"Failed",0,1),"Pass","Fail")</f>
        <v>Fail</v>
      </c>
      <c r="BF244" t="str" cm="1">
        <f t="array" ref="BF244">IF(P244=_xlfn.XLOOKUP($B244,VmSpecs[[#All],[VM Name]],VmSpecs[[#All],[Operating System]],"Failed",0,1),"Pass","Fail")</f>
        <v>Fail</v>
      </c>
      <c r="BG244" t="str" cm="1">
        <f t="array" ref="BG244">IF(R244=_xlfn.XLOOKUP($B244,VmSpecs[[#All],[VM Name]],VmSpecs[[#All],[NIC name]],"Failed",0,1),"Pass","Fail")</f>
        <v>Fail</v>
      </c>
      <c r="BH244" t="str" cm="1">
        <f t="array" ref="BH244">IF(U244=_xlfn.XLOOKUP($B244,VmSpecs[[#All],[VM Name]],VmSpecs[[#All],[OS Disk Name]],"Failed",0,1),"Pass","Fail")</f>
        <v>Fail</v>
      </c>
      <c r="BI244" t="str" cm="1">
        <f t="array" ref="BI244">IF(W244=_xlfn.XLOOKUP($B244,VmSpecs[[#All],[VM Name]],VmSpecs[[#All],[OS Disk Size]],"Failed",0,1),"Pass","Fail")</f>
        <v>Fail</v>
      </c>
      <c r="BJ244" t="str" cm="1">
        <f t="array" ref="BJ244">IF(LEFT(X244,4)=LEFT(_xlfn.XLOOKUP($B244,VmSpecs[[#All],[VM Name]],VmSpecs[[#All],[OS Disk Type (Standard SSD etc)]],"Failed",0,1),4),"Pass","Fail")</f>
        <v>Fail</v>
      </c>
      <c r="BK244" t="str" cm="1">
        <f t="array" ref="BK244">IF(Z244=_xlfn.XLOOKUP($B244,VmSpecs[[#All],[VM Name]],VmSpecs[[#All],[Data Disk1 Name]],"Failed",0,1),"Pass","Fail")</f>
        <v>Fail</v>
      </c>
      <c r="BL244" t="str" cm="1">
        <f t="array" ref="BL244">IF(AA244=_xlfn.XLOOKUP($B244,VmSpecs[[#All],[VM Name]],VmSpecs[[#All],[Data Disk1 Size]],"Failed",0,1),"Pass","Fail")</f>
        <v>Fail</v>
      </c>
      <c r="BM244" t="str" cm="1">
        <f t="array" ref="BM244">IF(LEFT(AC244,4)=LEFT(_xlfn.XLOOKUP($B244,VmSpecs[[#All],[VM Name]],VmSpecs[[#All],[Data Disk1 Type]],"Failed",0,1),4),"Pass","Fail")</f>
        <v>Fail</v>
      </c>
      <c r="BO244" t="e">
        <f>VLOOKUP('VM Specs'!K244,'As Built'!B:B,1,FALSE)</f>
        <v>#N/A</v>
      </c>
      <c r="BP244" t="str">
        <f>IF(ISNA(Table613[[#This Row],[VM Build Sheet Check]]),'VM Specs'!K244,"")</f>
        <v>vmpfbpf2oag04</v>
      </c>
    </row>
    <row r="245" spans="1:68" ht="33" customHeight="1" x14ac:dyDescent="0.35">
      <c r="A245" t="str">
        <f>IF(COUNTIF(AsBuilt[[#This Row],[VM Check]:[Data Disk 1 Type Check]],"Fail")&gt;0,"Fail","Pass")</f>
        <v>Fail</v>
      </c>
      <c r="B245" t="s">
        <v>2474</v>
      </c>
      <c r="C245" t="s">
        <v>754</v>
      </c>
      <c r="D245" t="s">
        <v>2100</v>
      </c>
      <c r="E245" t="s">
        <v>756</v>
      </c>
      <c r="F245" t="s">
        <v>801</v>
      </c>
      <c r="G245" t="s">
        <v>758</v>
      </c>
      <c r="H245" t="s">
        <v>2446</v>
      </c>
      <c r="J245" t="s">
        <v>760</v>
      </c>
      <c r="K245" t="s">
        <v>2102</v>
      </c>
      <c r="L245" t="s">
        <v>754</v>
      </c>
      <c r="M245" t="s">
        <v>2475</v>
      </c>
      <c r="N245" t="s">
        <v>2104</v>
      </c>
      <c r="O245" t="s">
        <v>2105</v>
      </c>
      <c r="P245" t="s">
        <v>63</v>
      </c>
      <c r="R245" t="s">
        <v>2476</v>
      </c>
      <c r="S245" t="s">
        <v>754</v>
      </c>
      <c r="U245" t="s">
        <v>2477</v>
      </c>
      <c r="V245" t="s">
        <v>767</v>
      </c>
      <c r="W245">
        <v>64</v>
      </c>
      <c r="X245" t="s">
        <v>768</v>
      </c>
      <c r="Y245">
        <v>2</v>
      </c>
      <c r="Z245" t="s">
        <v>2478</v>
      </c>
      <c r="AA245">
        <v>8</v>
      </c>
      <c r="AB245" t="s">
        <v>770</v>
      </c>
      <c r="AC245" t="s">
        <v>768</v>
      </c>
      <c r="AD245" t="s">
        <v>2479</v>
      </c>
      <c r="AE245">
        <v>32</v>
      </c>
      <c r="AF245" t="s">
        <v>770</v>
      </c>
      <c r="AG245" t="s">
        <v>768</v>
      </c>
      <c r="AT245" t="s">
        <v>2159</v>
      </c>
      <c r="AU245" t="s">
        <v>2480</v>
      </c>
      <c r="AV245" t="str" cm="1">
        <f t="array" ref="AV245">IF(B245=_xlfn.XLOOKUP(B245,VmSpecs[[#All],[VM Name]],VmSpecs[[#All],[VM Name]],"Failed",0,1),"Pass","Fail")</f>
        <v>Fail</v>
      </c>
      <c r="AW245" t="str" cm="1">
        <f t="array" ref="AW245">IF(D245=_xlfn.XLOOKUP($B245,VmSpecs[[#All],[VM Name]],VmSpecs[[#All],[Virtual Machine Resource Groups]],"Failed",0,1),"Pass","Fail")</f>
        <v>Fail</v>
      </c>
      <c r="AX245" t="str" cm="1">
        <f t="array" ref="AX245">IF(_xlfn.IFS(E245="australiacentral","Australia Central 1",E245="australiaeast","Australia East",E245="australiasoutheast","Australia SouthEast")=_xlfn.XLOOKUP($B245,VmSpecs[[#All],[VM Name]],VmSpecs[[#All],[Region]],"Failed",0,1),"Pass","Fail")</f>
        <v>Fail</v>
      </c>
      <c r="AY245" t="str" cm="1">
        <f t="array" ref="AY245">IF(F245=_xlfn.XLOOKUP($B245,VmSpecs[[#All],[VM Name]],VmSpecs[[#All],[Instance size]],"Failed",0,1),"Pass","Fail")</f>
        <v>Fail</v>
      </c>
      <c r="AZ245" t="str" cm="1">
        <f t="array" ref="AZ245">IF(LOWER(H245)=_xlfn.XLOOKUP($B245,VmSpecs[[#All],[VM Name]],VmSpecs[[#All],[Availability Set Name]],"Failed",0,1),"Pass","Fail")</f>
        <v>Fail</v>
      </c>
      <c r="BA245" t="str" cm="1">
        <f t="array" ref="BA245">IF(J245=_xlfn.XLOOKUP($B245,VmSpecs[[#All],[VM Name]],VmSpecs[[#All],[Virtual Network]],"Failed",0,1),"Pass","Fail")</f>
        <v>Fail</v>
      </c>
      <c r="BB245" t="str" cm="1">
        <f t="array" ref="BB245">IF(K245=_xlfn.XLOOKUP($B245,VmSpecs[[#All],[VM Name]],VmSpecs[[#All],[Subnet]],"Failed",0,1),"Pass","Fail")</f>
        <v>Fail</v>
      </c>
      <c r="BC245" t="str" cm="1">
        <f t="array" ref="BC245">IF(M245=_xlfn.XLOOKUP($B245,VmSpecs[[#All],[VM Name]],VmSpecs[[#All],[IP]],"Failed",0,1),"Pass","Fail")</f>
        <v>Fail</v>
      </c>
      <c r="BD245" t="str" cm="1">
        <f t="array" ref="BD245">IF(N245=_xlfn.XLOOKUP($B245,VmSpecs[[#All],[VM Name]],VmSpecs[[#All],[Network Security Group]],"Failed",0,1),"Pass","Fail")</f>
        <v>Fail</v>
      </c>
      <c r="BE245" t="str" cm="1">
        <f t="array" ref="BE245">IF(O245=_xlfn.XLOOKUP($B245,VmSpecs[[#All],[VM Name]],VmSpecs[[#All],[Route Table Name]],"Failed",0,1),"Pass","Fail")</f>
        <v>Fail</v>
      </c>
      <c r="BF245" t="str" cm="1">
        <f t="array" ref="BF245">IF(P245=_xlfn.XLOOKUP($B245,VmSpecs[[#All],[VM Name]],VmSpecs[[#All],[Operating System]],"Failed",0,1),"Pass","Fail")</f>
        <v>Fail</v>
      </c>
      <c r="BG245" t="str" cm="1">
        <f t="array" ref="BG245">IF(R245=_xlfn.XLOOKUP($B245,VmSpecs[[#All],[VM Name]],VmSpecs[[#All],[NIC name]],"Failed",0,1),"Pass","Fail")</f>
        <v>Fail</v>
      </c>
      <c r="BH245" t="str" cm="1">
        <f t="array" ref="BH245">IF(U245=_xlfn.XLOOKUP($B245,VmSpecs[[#All],[VM Name]],VmSpecs[[#All],[OS Disk Name]],"Failed",0,1),"Pass","Fail")</f>
        <v>Fail</v>
      </c>
      <c r="BI245" t="str" cm="1">
        <f t="array" ref="BI245">IF(W245=_xlfn.XLOOKUP($B245,VmSpecs[[#All],[VM Name]],VmSpecs[[#All],[OS Disk Size]],"Failed",0,1),"Pass","Fail")</f>
        <v>Fail</v>
      </c>
      <c r="BJ245" t="str" cm="1">
        <f t="array" ref="BJ245">IF(LEFT(X245,4)=LEFT(_xlfn.XLOOKUP($B245,VmSpecs[[#All],[VM Name]],VmSpecs[[#All],[OS Disk Type (Standard SSD etc)]],"Failed",0,1),4),"Pass","Fail")</f>
        <v>Fail</v>
      </c>
      <c r="BK245" t="str" cm="1">
        <f t="array" ref="BK245">IF(Z245=_xlfn.XLOOKUP($B245,VmSpecs[[#All],[VM Name]],VmSpecs[[#All],[Data Disk1 Name]],"Failed",0,1),"Pass","Fail")</f>
        <v>Fail</v>
      </c>
      <c r="BL245" t="str" cm="1">
        <f t="array" ref="BL245">IF(AA245=_xlfn.XLOOKUP($B245,VmSpecs[[#All],[VM Name]],VmSpecs[[#All],[Data Disk1 Size]],"Failed",0,1),"Pass","Fail")</f>
        <v>Fail</v>
      </c>
      <c r="BM245" t="str" cm="1">
        <f t="array" ref="BM245">IF(LEFT(AC245,4)=LEFT(_xlfn.XLOOKUP($B245,VmSpecs[[#All],[VM Name]],VmSpecs[[#All],[Data Disk1 Type]],"Failed",0,1),4),"Pass","Fail")</f>
        <v>Fail</v>
      </c>
      <c r="BO245" t="e">
        <f>VLOOKUP('VM Specs'!K245,'As Built'!B:B,1,FALSE)</f>
        <v>#N/A</v>
      </c>
      <c r="BP245" t="str">
        <f>IF(ISNA(Table613[[#This Row],[VM Build Sheet Check]]),'VM Specs'!K245,"")</f>
        <v>vmpfbpf2oag05</v>
      </c>
    </row>
    <row r="246" spans="1:68" ht="33" customHeight="1" x14ac:dyDescent="0.35">
      <c r="A246" t="str">
        <f>IF(COUNTIF(AsBuilt[[#This Row],[VM Check]:[Data Disk 1 Type Check]],"Fail")&gt;0,"Fail","Pass")</f>
        <v>Fail</v>
      </c>
      <c r="B246" t="s">
        <v>2481</v>
      </c>
      <c r="C246" t="s">
        <v>754</v>
      </c>
      <c r="D246" t="s">
        <v>2100</v>
      </c>
      <c r="E246" t="s">
        <v>756</v>
      </c>
      <c r="F246" t="s">
        <v>801</v>
      </c>
      <c r="G246" t="s">
        <v>758</v>
      </c>
      <c r="H246" t="s">
        <v>2446</v>
      </c>
      <c r="J246" t="s">
        <v>760</v>
      </c>
      <c r="K246" t="s">
        <v>2102</v>
      </c>
      <c r="L246" t="s">
        <v>754</v>
      </c>
      <c r="M246" t="s">
        <v>2482</v>
      </c>
      <c r="N246" t="s">
        <v>2104</v>
      </c>
      <c r="O246" t="s">
        <v>2105</v>
      </c>
      <c r="P246" t="s">
        <v>63</v>
      </c>
      <c r="R246" t="s">
        <v>2483</v>
      </c>
      <c r="S246" t="s">
        <v>754</v>
      </c>
      <c r="U246" t="s">
        <v>2484</v>
      </c>
      <c r="V246" t="s">
        <v>767</v>
      </c>
      <c r="W246">
        <v>64</v>
      </c>
      <c r="X246" t="s">
        <v>768</v>
      </c>
      <c r="Y246">
        <v>2</v>
      </c>
      <c r="Z246" t="s">
        <v>2485</v>
      </c>
      <c r="AA246">
        <v>8</v>
      </c>
      <c r="AB246" t="s">
        <v>770</v>
      </c>
      <c r="AC246" t="s">
        <v>768</v>
      </c>
      <c r="AD246" t="s">
        <v>2486</v>
      </c>
      <c r="AE246">
        <v>32</v>
      </c>
      <c r="AF246" t="s">
        <v>770</v>
      </c>
      <c r="AG246" t="s">
        <v>768</v>
      </c>
      <c r="AT246" t="s">
        <v>2159</v>
      </c>
      <c r="AU246" t="s">
        <v>2487</v>
      </c>
      <c r="AV246" t="str" cm="1">
        <f t="array" ref="AV246">IF(B246=_xlfn.XLOOKUP(B246,VmSpecs[[#All],[VM Name]],VmSpecs[[#All],[VM Name]],"Failed",0,1),"Pass","Fail")</f>
        <v>Fail</v>
      </c>
      <c r="AW246" t="str" cm="1">
        <f t="array" ref="AW246">IF(D246=_xlfn.XLOOKUP($B246,VmSpecs[[#All],[VM Name]],VmSpecs[[#All],[Virtual Machine Resource Groups]],"Failed",0,1),"Pass","Fail")</f>
        <v>Fail</v>
      </c>
      <c r="AX246" t="str" cm="1">
        <f t="array" ref="AX246">IF(_xlfn.IFS(E246="australiacentral","Australia Central 1",E246="australiaeast","Australia East",E246="australiasoutheast","Australia SouthEast")=_xlfn.XLOOKUP($B246,VmSpecs[[#All],[VM Name]],VmSpecs[[#All],[Region]],"Failed",0,1),"Pass","Fail")</f>
        <v>Fail</v>
      </c>
      <c r="AY246" t="str" cm="1">
        <f t="array" ref="AY246">IF(F246=_xlfn.XLOOKUP($B246,VmSpecs[[#All],[VM Name]],VmSpecs[[#All],[Instance size]],"Failed",0,1),"Pass","Fail")</f>
        <v>Fail</v>
      </c>
      <c r="AZ246" t="str" cm="1">
        <f t="array" ref="AZ246">IF(LOWER(H246)=_xlfn.XLOOKUP($B246,VmSpecs[[#All],[VM Name]],VmSpecs[[#All],[Availability Set Name]],"Failed",0,1),"Pass","Fail")</f>
        <v>Fail</v>
      </c>
      <c r="BA246" t="str" cm="1">
        <f t="array" ref="BA246">IF(J246=_xlfn.XLOOKUP($B246,VmSpecs[[#All],[VM Name]],VmSpecs[[#All],[Virtual Network]],"Failed",0,1),"Pass","Fail")</f>
        <v>Fail</v>
      </c>
      <c r="BB246" t="str" cm="1">
        <f t="array" ref="BB246">IF(K246=_xlfn.XLOOKUP($B246,VmSpecs[[#All],[VM Name]],VmSpecs[[#All],[Subnet]],"Failed",0,1),"Pass","Fail")</f>
        <v>Fail</v>
      </c>
      <c r="BC246" t="str" cm="1">
        <f t="array" ref="BC246">IF(M246=_xlfn.XLOOKUP($B246,VmSpecs[[#All],[VM Name]],VmSpecs[[#All],[IP]],"Failed",0,1),"Pass","Fail")</f>
        <v>Fail</v>
      </c>
      <c r="BD246" t="str" cm="1">
        <f t="array" ref="BD246">IF(N246=_xlfn.XLOOKUP($B246,VmSpecs[[#All],[VM Name]],VmSpecs[[#All],[Network Security Group]],"Failed",0,1),"Pass","Fail")</f>
        <v>Fail</v>
      </c>
      <c r="BE246" t="str" cm="1">
        <f t="array" ref="BE246">IF(O246=_xlfn.XLOOKUP($B246,VmSpecs[[#All],[VM Name]],VmSpecs[[#All],[Route Table Name]],"Failed",0,1),"Pass","Fail")</f>
        <v>Fail</v>
      </c>
      <c r="BF246" t="str" cm="1">
        <f t="array" ref="BF246">IF(P246=_xlfn.XLOOKUP($B246,VmSpecs[[#All],[VM Name]],VmSpecs[[#All],[Operating System]],"Failed",0,1),"Pass","Fail")</f>
        <v>Fail</v>
      </c>
      <c r="BG246" t="str" cm="1">
        <f t="array" ref="BG246">IF(R246=_xlfn.XLOOKUP($B246,VmSpecs[[#All],[VM Name]],VmSpecs[[#All],[NIC name]],"Failed",0,1),"Pass","Fail")</f>
        <v>Fail</v>
      </c>
      <c r="BH246" t="str" cm="1">
        <f t="array" ref="BH246">IF(U246=_xlfn.XLOOKUP($B246,VmSpecs[[#All],[VM Name]],VmSpecs[[#All],[OS Disk Name]],"Failed",0,1),"Pass","Fail")</f>
        <v>Fail</v>
      </c>
      <c r="BI246" t="str" cm="1">
        <f t="array" ref="BI246">IF(W246=_xlfn.XLOOKUP($B246,VmSpecs[[#All],[VM Name]],VmSpecs[[#All],[OS Disk Size]],"Failed",0,1),"Pass","Fail")</f>
        <v>Fail</v>
      </c>
      <c r="BJ246" t="str" cm="1">
        <f t="array" ref="BJ246">IF(LEFT(X246,4)=LEFT(_xlfn.XLOOKUP($B246,VmSpecs[[#All],[VM Name]],VmSpecs[[#All],[OS Disk Type (Standard SSD etc)]],"Failed",0,1),4),"Pass","Fail")</f>
        <v>Fail</v>
      </c>
      <c r="BK246" t="str" cm="1">
        <f t="array" ref="BK246">IF(Z246=_xlfn.XLOOKUP($B246,VmSpecs[[#All],[VM Name]],VmSpecs[[#All],[Data Disk1 Name]],"Failed",0,1),"Pass","Fail")</f>
        <v>Fail</v>
      </c>
      <c r="BL246" t="str" cm="1">
        <f t="array" ref="BL246">IF(AA246=_xlfn.XLOOKUP($B246,VmSpecs[[#All],[VM Name]],VmSpecs[[#All],[Data Disk1 Size]],"Failed",0,1),"Pass","Fail")</f>
        <v>Fail</v>
      </c>
      <c r="BM246" t="str" cm="1">
        <f t="array" ref="BM246">IF(LEFT(AC246,4)=LEFT(_xlfn.XLOOKUP($B246,VmSpecs[[#All],[VM Name]],VmSpecs[[#All],[Data Disk1 Type]],"Failed",0,1),4),"Pass","Fail")</f>
        <v>Fail</v>
      </c>
      <c r="BO246" t="e">
        <f>VLOOKUP('VM Specs'!K246,'As Built'!B:B,1,FALSE)</f>
        <v>#N/A</v>
      </c>
      <c r="BP246" t="str">
        <f>IF(ISNA(Table613[[#This Row],[VM Build Sheet Check]]),'VM Specs'!K246,"")</f>
        <v>vmpfbpf2oag06</v>
      </c>
    </row>
    <row r="247" spans="1:68" ht="33" customHeight="1" x14ac:dyDescent="0.35">
      <c r="A247" t="str">
        <f>IF(COUNTIF(AsBuilt[[#This Row],[VM Check]:[Data Disk 1 Type Check]],"Fail")&gt;0,"Fail","Pass")</f>
        <v>Fail</v>
      </c>
      <c r="B247" t="s">
        <v>2488</v>
      </c>
      <c r="C247" t="s">
        <v>754</v>
      </c>
      <c r="D247" t="s">
        <v>2100</v>
      </c>
      <c r="E247" t="s">
        <v>756</v>
      </c>
      <c r="F247" t="s">
        <v>801</v>
      </c>
      <c r="G247" t="s">
        <v>758</v>
      </c>
      <c r="H247" t="s">
        <v>2489</v>
      </c>
      <c r="J247" t="s">
        <v>760</v>
      </c>
      <c r="K247" t="s">
        <v>2102</v>
      </c>
      <c r="L247" t="s">
        <v>754</v>
      </c>
      <c r="M247" t="s">
        <v>2490</v>
      </c>
      <c r="N247" t="s">
        <v>2104</v>
      </c>
      <c r="O247" t="s">
        <v>2105</v>
      </c>
      <c r="P247" t="s">
        <v>63</v>
      </c>
      <c r="R247" t="s">
        <v>2491</v>
      </c>
      <c r="S247" t="s">
        <v>754</v>
      </c>
      <c r="U247" t="s">
        <v>2492</v>
      </c>
      <c r="V247" t="s">
        <v>767</v>
      </c>
      <c r="W247">
        <v>64</v>
      </c>
      <c r="X247" t="s">
        <v>768</v>
      </c>
      <c r="Y247">
        <v>2</v>
      </c>
      <c r="Z247" t="s">
        <v>2493</v>
      </c>
      <c r="AA247">
        <v>8</v>
      </c>
      <c r="AB247" t="s">
        <v>770</v>
      </c>
      <c r="AC247" t="s">
        <v>768</v>
      </c>
      <c r="AD247" t="s">
        <v>2494</v>
      </c>
      <c r="AE247">
        <v>32</v>
      </c>
      <c r="AF247" t="s">
        <v>770</v>
      </c>
      <c r="AG247" t="s">
        <v>768</v>
      </c>
      <c r="AT247" t="s">
        <v>2159</v>
      </c>
      <c r="AU247" t="s">
        <v>2495</v>
      </c>
      <c r="AV247" t="str" cm="1">
        <f t="array" ref="AV247">IF(B247=_xlfn.XLOOKUP(B247,VmSpecs[[#All],[VM Name]],VmSpecs[[#All],[VM Name]],"Failed",0,1),"Pass","Fail")</f>
        <v>Fail</v>
      </c>
      <c r="AW247" t="str" cm="1">
        <f t="array" ref="AW247">IF(D247=_xlfn.XLOOKUP($B247,VmSpecs[[#All],[VM Name]],VmSpecs[[#All],[Virtual Machine Resource Groups]],"Failed",0,1),"Pass","Fail")</f>
        <v>Fail</v>
      </c>
      <c r="AX247" t="str" cm="1">
        <f t="array" ref="AX247">IF(_xlfn.IFS(E247="australiacentral","Australia Central 1",E247="australiaeast","Australia East",E247="australiasoutheast","Australia SouthEast")=_xlfn.XLOOKUP($B247,VmSpecs[[#All],[VM Name]],VmSpecs[[#All],[Region]],"Failed",0,1),"Pass","Fail")</f>
        <v>Fail</v>
      </c>
      <c r="AY247" t="str" cm="1">
        <f t="array" ref="AY247">IF(F247=_xlfn.XLOOKUP($B247,VmSpecs[[#All],[VM Name]],VmSpecs[[#All],[Instance size]],"Failed",0,1),"Pass","Fail")</f>
        <v>Fail</v>
      </c>
      <c r="AZ247" t="str" cm="1">
        <f t="array" ref="AZ247">IF(LOWER(H247)=_xlfn.XLOOKUP($B247,VmSpecs[[#All],[VM Name]],VmSpecs[[#All],[Availability Set Name]],"Failed",0,1),"Pass","Fail")</f>
        <v>Fail</v>
      </c>
      <c r="BA247" t="str" cm="1">
        <f t="array" ref="BA247">IF(J247=_xlfn.XLOOKUP($B247,VmSpecs[[#All],[VM Name]],VmSpecs[[#All],[Virtual Network]],"Failed",0,1),"Pass","Fail")</f>
        <v>Fail</v>
      </c>
      <c r="BB247" t="str" cm="1">
        <f t="array" ref="BB247">IF(K247=_xlfn.XLOOKUP($B247,VmSpecs[[#All],[VM Name]],VmSpecs[[#All],[Subnet]],"Failed",0,1),"Pass","Fail")</f>
        <v>Fail</v>
      </c>
      <c r="BC247" t="str" cm="1">
        <f t="array" ref="BC247">IF(M247=_xlfn.XLOOKUP($B247,VmSpecs[[#All],[VM Name]],VmSpecs[[#All],[IP]],"Failed",0,1),"Pass","Fail")</f>
        <v>Fail</v>
      </c>
      <c r="BD247" t="str" cm="1">
        <f t="array" ref="BD247">IF(N247=_xlfn.XLOOKUP($B247,VmSpecs[[#All],[VM Name]],VmSpecs[[#All],[Network Security Group]],"Failed",0,1),"Pass","Fail")</f>
        <v>Fail</v>
      </c>
      <c r="BE247" t="str" cm="1">
        <f t="array" ref="BE247">IF(O247=_xlfn.XLOOKUP($B247,VmSpecs[[#All],[VM Name]],VmSpecs[[#All],[Route Table Name]],"Failed",0,1),"Pass","Fail")</f>
        <v>Fail</v>
      </c>
      <c r="BF247" t="str" cm="1">
        <f t="array" ref="BF247">IF(P247=_xlfn.XLOOKUP($B247,VmSpecs[[#All],[VM Name]],VmSpecs[[#All],[Operating System]],"Failed",0,1),"Pass","Fail")</f>
        <v>Fail</v>
      </c>
      <c r="BG247" t="str" cm="1">
        <f t="array" ref="BG247">IF(R247=_xlfn.XLOOKUP($B247,VmSpecs[[#All],[VM Name]],VmSpecs[[#All],[NIC name]],"Failed",0,1),"Pass","Fail")</f>
        <v>Fail</v>
      </c>
      <c r="BH247" t="str" cm="1">
        <f t="array" ref="BH247">IF(U247=_xlfn.XLOOKUP($B247,VmSpecs[[#All],[VM Name]],VmSpecs[[#All],[OS Disk Name]],"Failed",0,1),"Pass","Fail")</f>
        <v>Fail</v>
      </c>
      <c r="BI247" t="str" cm="1">
        <f t="array" ref="BI247">IF(W247=_xlfn.XLOOKUP($B247,VmSpecs[[#All],[VM Name]],VmSpecs[[#All],[OS Disk Size]],"Failed",0,1),"Pass","Fail")</f>
        <v>Fail</v>
      </c>
      <c r="BJ247" t="str" cm="1">
        <f t="array" ref="BJ247">IF(LEFT(X247,4)=LEFT(_xlfn.XLOOKUP($B247,VmSpecs[[#All],[VM Name]],VmSpecs[[#All],[OS Disk Type (Standard SSD etc)]],"Failed",0,1),4),"Pass","Fail")</f>
        <v>Fail</v>
      </c>
      <c r="BK247" t="str" cm="1">
        <f t="array" ref="BK247">IF(Z247=_xlfn.XLOOKUP($B247,VmSpecs[[#All],[VM Name]],VmSpecs[[#All],[Data Disk1 Name]],"Failed",0,1),"Pass","Fail")</f>
        <v>Fail</v>
      </c>
      <c r="BL247" t="str" cm="1">
        <f t="array" ref="BL247">IF(AA247=_xlfn.XLOOKUP($B247,VmSpecs[[#All],[VM Name]],VmSpecs[[#All],[Data Disk1 Size]],"Failed",0,1),"Pass","Fail")</f>
        <v>Fail</v>
      </c>
      <c r="BM247" t="str" cm="1">
        <f t="array" ref="BM247">IF(LEFT(AC247,4)=LEFT(_xlfn.XLOOKUP($B247,VmSpecs[[#All],[VM Name]],VmSpecs[[#All],[Data Disk1 Type]],"Failed",0,1),4),"Pass","Fail")</f>
        <v>Fail</v>
      </c>
      <c r="BO247" t="e">
        <f>VLOOKUP('VM Specs'!K247,'As Built'!B:B,1,FALSE)</f>
        <v>#N/A</v>
      </c>
      <c r="BP247" t="str">
        <f>IF(ISNA(Table613[[#This Row],[VM Build Sheet Check]]),'VM Specs'!K247,"")</f>
        <v>vmpfbpf2ocr01</v>
      </c>
    </row>
    <row r="248" spans="1:68" ht="33" customHeight="1" x14ac:dyDescent="0.35">
      <c r="A248" t="str">
        <f>IF(COUNTIF(AsBuilt[[#This Row],[VM Check]:[Data Disk 1 Type Check]],"Fail")&gt;0,"Fail","Pass")</f>
        <v>Fail</v>
      </c>
      <c r="B248" t="s">
        <v>2496</v>
      </c>
      <c r="C248" t="s">
        <v>754</v>
      </c>
      <c r="D248" t="s">
        <v>2100</v>
      </c>
      <c r="E248" t="s">
        <v>756</v>
      </c>
      <c r="F248" t="s">
        <v>801</v>
      </c>
      <c r="G248" t="s">
        <v>758</v>
      </c>
      <c r="H248" t="s">
        <v>2489</v>
      </c>
      <c r="J248" t="s">
        <v>760</v>
      </c>
      <c r="K248" t="s">
        <v>2102</v>
      </c>
      <c r="L248" t="s">
        <v>754</v>
      </c>
      <c r="M248" t="s">
        <v>2497</v>
      </c>
      <c r="N248" t="s">
        <v>2104</v>
      </c>
      <c r="O248" t="s">
        <v>2105</v>
      </c>
      <c r="P248" t="s">
        <v>63</v>
      </c>
      <c r="R248" t="s">
        <v>2498</v>
      </c>
      <c r="S248" t="s">
        <v>754</v>
      </c>
      <c r="U248" t="s">
        <v>2499</v>
      </c>
      <c r="V248" t="s">
        <v>767</v>
      </c>
      <c r="W248">
        <v>64</v>
      </c>
      <c r="X248" t="s">
        <v>768</v>
      </c>
      <c r="Y248">
        <v>2</v>
      </c>
      <c r="Z248" t="s">
        <v>2500</v>
      </c>
      <c r="AA248">
        <v>8</v>
      </c>
      <c r="AB248" t="s">
        <v>770</v>
      </c>
      <c r="AC248" t="s">
        <v>768</v>
      </c>
      <c r="AD248" t="s">
        <v>2501</v>
      </c>
      <c r="AE248">
        <v>32</v>
      </c>
      <c r="AF248" t="s">
        <v>770</v>
      </c>
      <c r="AG248" t="s">
        <v>768</v>
      </c>
      <c r="AT248" t="s">
        <v>2159</v>
      </c>
      <c r="AU248" t="s">
        <v>2502</v>
      </c>
      <c r="AV248" t="str" cm="1">
        <f t="array" ref="AV248">IF(B248=_xlfn.XLOOKUP(B248,VmSpecs[[#All],[VM Name]],VmSpecs[[#All],[VM Name]],"Failed",0,1),"Pass","Fail")</f>
        <v>Fail</v>
      </c>
      <c r="AW248" t="str" cm="1">
        <f t="array" ref="AW248">IF(D248=_xlfn.XLOOKUP($B248,VmSpecs[[#All],[VM Name]],VmSpecs[[#All],[Virtual Machine Resource Groups]],"Failed",0,1),"Pass","Fail")</f>
        <v>Fail</v>
      </c>
      <c r="AX248" t="str" cm="1">
        <f t="array" ref="AX248">IF(_xlfn.IFS(E248="australiacentral","Australia Central 1",E248="australiaeast","Australia East",E248="australiasoutheast","Australia SouthEast")=_xlfn.XLOOKUP($B248,VmSpecs[[#All],[VM Name]],VmSpecs[[#All],[Region]],"Failed",0,1),"Pass","Fail")</f>
        <v>Fail</v>
      </c>
      <c r="AY248" t="str" cm="1">
        <f t="array" ref="AY248">IF(F248=_xlfn.XLOOKUP($B248,VmSpecs[[#All],[VM Name]],VmSpecs[[#All],[Instance size]],"Failed",0,1),"Pass","Fail")</f>
        <v>Fail</v>
      </c>
      <c r="AZ248" t="str" cm="1">
        <f t="array" ref="AZ248">IF(LOWER(H248)=_xlfn.XLOOKUP($B248,VmSpecs[[#All],[VM Name]],VmSpecs[[#All],[Availability Set Name]],"Failed",0,1),"Pass","Fail")</f>
        <v>Fail</v>
      </c>
      <c r="BA248" t="str" cm="1">
        <f t="array" ref="BA248">IF(J248=_xlfn.XLOOKUP($B248,VmSpecs[[#All],[VM Name]],VmSpecs[[#All],[Virtual Network]],"Failed",0,1),"Pass","Fail")</f>
        <v>Fail</v>
      </c>
      <c r="BB248" t="str" cm="1">
        <f t="array" ref="BB248">IF(K248=_xlfn.XLOOKUP($B248,VmSpecs[[#All],[VM Name]],VmSpecs[[#All],[Subnet]],"Failed",0,1),"Pass","Fail")</f>
        <v>Fail</v>
      </c>
      <c r="BC248" t="str" cm="1">
        <f t="array" ref="BC248">IF(M248=_xlfn.XLOOKUP($B248,VmSpecs[[#All],[VM Name]],VmSpecs[[#All],[IP]],"Failed",0,1),"Pass","Fail")</f>
        <v>Fail</v>
      </c>
      <c r="BD248" t="str" cm="1">
        <f t="array" ref="BD248">IF(N248=_xlfn.XLOOKUP($B248,VmSpecs[[#All],[VM Name]],VmSpecs[[#All],[Network Security Group]],"Failed",0,1),"Pass","Fail")</f>
        <v>Fail</v>
      </c>
      <c r="BE248" t="str" cm="1">
        <f t="array" ref="BE248">IF(O248=_xlfn.XLOOKUP($B248,VmSpecs[[#All],[VM Name]],VmSpecs[[#All],[Route Table Name]],"Failed",0,1),"Pass","Fail")</f>
        <v>Fail</v>
      </c>
      <c r="BF248" t="str" cm="1">
        <f t="array" ref="BF248">IF(P248=_xlfn.XLOOKUP($B248,VmSpecs[[#All],[VM Name]],VmSpecs[[#All],[Operating System]],"Failed",0,1),"Pass","Fail")</f>
        <v>Fail</v>
      </c>
      <c r="BG248" t="str" cm="1">
        <f t="array" ref="BG248">IF(R248=_xlfn.XLOOKUP($B248,VmSpecs[[#All],[VM Name]],VmSpecs[[#All],[NIC name]],"Failed",0,1),"Pass","Fail")</f>
        <v>Fail</v>
      </c>
      <c r="BH248" t="str" cm="1">
        <f t="array" ref="BH248">IF(U248=_xlfn.XLOOKUP($B248,VmSpecs[[#All],[VM Name]],VmSpecs[[#All],[OS Disk Name]],"Failed",0,1),"Pass","Fail")</f>
        <v>Fail</v>
      </c>
      <c r="BI248" t="str" cm="1">
        <f t="array" ref="BI248">IF(W248=_xlfn.XLOOKUP($B248,VmSpecs[[#All],[VM Name]],VmSpecs[[#All],[OS Disk Size]],"Failed",0,1),"Pass","Fail")</f>
        <v>Fail</v>
      </c>
      <c r="BJ248" t="str" cm="1">
        <f t="array" ref="BJ248">IF(LEFT(X248,4)=LEFT(_xlfn.XLOOKUP($B248,VmSpecs[[#All],[VM Name]],VmSpecs[[#All],[OS Disk Type (Standard SSD etc)]],"Failed",0,1),4),"Pass","Fail")</f>
        <v>Fail</v>
      </c>
      <c r="BK248" t="str" cm="1">
        <f t="array" ref="BK248">IF(Z248=_xlfn.XLOOKUP($B248,VmSpecs[[#All],[VM Name]],VmSpecs[[#All],[Data Disk1 Name]],"Failed",0,1),"Pass","Fail")</f>
        <v>Fail</v>
      </c>
      <c r="BL248" t="str" cm="1">
        <f t="array" ref="BL248">IF(AA248=_xlfn.XLOOKUP($B248,VmSpecs[[#All],[VM Name]],VmSpecs[[#All],[Data Disk1 Size]],"Failed",0,1),"Pass","Fail")</f>
        <v>Fail</v>
      </c>
      <c r="BM248" t="str" cm="1">
        <f t="array" ref="BM248">IF(LEFT(AC248,4)=LEFT(_xlfn.XLOOKUP($B248,VmSpecs[[#All],[VM Name]],VmSpecs[[#All],[Data Disk1 Type]],"Failed",0,1),4),"Pass","Fail")</f>
        <v>Fail</v>
      </c>
      <c r="BO248" t="e">
        <f>VLOOKUP('VM Specs'!K248,'As Built'!B:B,1,FALSE)</f>
        <v>#N/A</v>
      </c>
      <c r="BP248" t="str">
        <f>IF(ISNA(Table613[[#This Row],[VM Build Sheet Check]]),'VM Specs'!K248,"")</f>
        <v>vmpfbpf2ocr02</v>
      </c>
    </row>
    <row r="249" spans="1:68" ht="33" customHeight="1" x14ac:dyDescent="0.35">
      <c r="A249" t="str">
        <f>IF(COUNTIF(AsBuilt[[#This Row],[VM Check]:[Data Disk 1 Type Check]],"Fail")&gt;0,"Fail","Pass")</f>
        <v>Fail</v>
      </c>
      <c r="B249" t="s">
        <v>2503</v>
      </c>
      <c r="C249" t="s">
        <v>754</v>
      </c>
      <c r="D249" t="s">
        <v>2100</v>
      </c>
      <c r="E249" t="s">
        <v>756</v>
      </c>
      <c r="F249" t="s">
        <v>801</v>
      </c>
      <c r="G249" t="s">
        <v>758</v>
      </c>
      <c r="H249" t="s">
        <v>2489</v>
      </c>
      <c r="J249" t="s">
        <v>760</v>
      </c>
      <c r="K249" t="s">
        <v>2102</v>
      </c>
      <c r="L249" t="s">
        <v>754</v>
      </c>
      <c r="M249" t="s">
        <v>2504</v>
      </c>
      <c r="N249" t="s">
        <v>2104</v>
      </c>
      <c r="O249" t="s">
        <v>2105</v>
      </c>
      <c r="P249" t="s">
        <v>63</v>
      </c>
      <c r="R249" t="s">
        <v>2505</v>
      </c>
      <c r="S249" t="s">
        <v>754</v>
      </c>
      <c r="U249" t="s">
        <v>2506</v>
      </c>
      <c r="V249" t="s">
        <v>767</v>
      </c>
      <c r="W249">
        <v>64</v>
      </c>
      <c r="X249" t="s">
        <v>768</v>
      </c>
      <c r="Y249">
        <v>2</v>
      </c>
      <c r="Z249" t="s">
        <v>2507</v>
      </c>
      <c r="AA249">
        <v>8</v>
      </c>
      <c r="AB249" t="s">
        <v>770</v>
      </c>
      <c r="AC249" t="s">
        <v>768</v>
      </c>
      <c r="AD249" t="s">
        <v>2508</v>
      </c>
      <c r="AE249">
        <v>32</v>
      </c>
      <c r="AF249" t="s">
        <v>770</v>
      </c>
      <c r="AG249" t="s">
        <v>768</v>
      </c>
      <c r="AT249" t="s">
        <v>2159</v>
      </c>
      <c r="AU249" t="s">
        <v>2509</v>
      </c>
      <c r="AV249" t="str" cm="1">
        <f t="array" ref="AV249">IF(B249=_xlfn.XLOOKUP(B249,VmSpecs[[#All],[VM Name]],VmSpecs[[#All],[VM Name]],"Failed",0,1),"Pass","Fail")</f>
        <v>Fail</v>
      </c>
      <c r="AW249" t="str" cm="1">
        <f t="array" ref="AW249">IF(D249=_xlfn.XLOOKUP($B249,VmSpecs[[#All],[VM Name]],VmSpecs[[#All],[Virtual Machine Resource Groups]],"Failed",0,1),"Pass","Fail")</f>
        <v>Fail</v>
      </c>
      <c r="AX249" t="str" cm="1">
        <f t="array" ref="AX249">IF(_xlfn.IFS(E249="australiacentral","Australia Central 1",E249="australiaeast","Australia East",E249="australiasoutheast","Australia SouthEast")=_xlfn.XLOOKUP($B249,VmSpecs[[#All],[VM Name]],VmSpecs[[#All],[Region]],"Failed",0,1),"Pass","Fail")</f>
        <v>Fail</v>
      </c>
      <c r="AY249" t="str" cm="1">
        <f t="array" ref="AY249">IF(F249=_xlfn.XLOOKUP($B249,VmSpecs[[#All],[VM Name]],VmSpecs[[#All],[Instance size]],"Failed",0,1),"Pass","Fail")</f>
        <v>Fail</v>
      </c>
      <c r="AZ249" t="str" cm="1">
        <f t="array" ref="AZ249">IF(LOWER(H249)=_xlfn.XLOOKUP($B249,VmSpecs[[#All],[VM Name]],VmSpecs[[#All],[Availability Set Name]],"Failed",0,1),"Pass","Fail")</f>
        <v>Fail</v>
      </c>
      <c r="BA249" t="str" cm="1">
        <f t="array" ref="BA249">IF(J249=_xlfn.XLOOKUP($B249,VmSpecs[[#All],[VM Name]],VmSpecs[[#All],[Virtual Network]],"Failed",0,1),"Pass","Fail")</f>
        <v>Fail</v>
      </c>
      <c r="BB249" t="str" cm="1">
        <f t="array" ref="BB249">IF(K249=_xlfn.XLOOKUP($B249,VmSpecs[[#All],[VM Name]],VmSpecs[[#All],[Subnet]],"Failed",0,1),"Pass","Fail")</f>
        <v>Fail</v>
      </c>
      <c r="BC249" t="str" cm="1">
        <f t="array" ref="BC249">IF(M249=_xlfn.XLOOKUP($B249,VmSpecs[[#All],[VM Name]],VmSpecs[[#All],[IP]],"Failed",0,1),"Pass","Fail")</f>
        <v>Fail</v>
      </c>
      <c r="BD249" t="str" cm="1">
        <f t="array" ref="BD249">IF(N249=_xlfn.XLOOKUP($B249,VmSpecs[[#All],[VM Name]],VmSpecs[[#All],[Network Security Group]],"Failed",0,1),"Pass","Fail")</f>
        <v>Fail</v>
      </c>
      <c r="BE249" t="str" cm="1">
        <f t="array" ref="BE249">IF(O249=_xlfn.XLOOKUP($B249,VmSpecs[[#All],[VM Name]],VmSpecs[[#All],[Route Table Name]],"Failed",0,1),"Pass","Fail")</f>
        <v>Fail</v>
      </c>
      <c r="BF249" t="str" cm="1">
        <f t="array" ref="BF249">IF(P249=_xlfn.XLOOKUP($B249,VmSpecs[[#All],[VM Name]],VmSpecs[[#All],[Operating System]],"Failed",0,1),"Pass","Fail")</f>
        <v>Fail</v>
      </c>
      <c r="BG249" t="str" cm="1">
        <f t="array" ref="BG249">IF(R249=_xlfn.XLOOKUP($B249,VmSpecs[[#All],[VM Name]],VmSpecs[[#All],[NIC name]],"Failed",0,1),"Pass","Fail")</f>
        <v>Fail</v>
      </c>
      <c r="BH249" t="str" cm="1">
        <f t="array" ref="BH249">IF(U249=_xlfn.XLOOKUP($B249,VmSpecs[[#All],[VM Name]],VmSpecs[[#All],[OS Disk Name]],"Failed",0,1),"Pass","Fail")</f>
        <v>Fail</v>
      </c>
      <c r="BI249" t="str" cm="1">
        <f t="array" ref="BI249">IF(W249=_xlfn.XLOOKUP($B249,VmSpecs[[#All],[VM Name]],VmSpecs[[#All],[OS Disk Size]],"Failed",0,1),"Pass","Fail")</f>
        <v>Fail</v>
      </c>
      <c r="BJ249" t="str" cm="1">
        <f t="array" ref="BJ249">IF(LEFT(X249,4)=LEFT(_xlfn.XLOOKUP($B249,VmSpecs[[#All],[VM Name]],VmSpecs[[#All],[OS Disk Type (Standard SSD etc)]],"Failed",0,1),4),"Pass","Fail")</f>
        <v>Fail</v>
      </c>
      <c r="BK249" t="str" cm="1">
        <f t="array" ref="BK249">IF(Z249=_xlfn.XLOOKUP($B249,VmSpecs[[#All],[VM Name]],VmSpecs[[#All],[Data Disk1 Name]],"Failed",0,1),"Pass","Fail")</f>
        <v>Fail</v>
      </c>
      <c r="BL249" t="str" cm="1">
        <f t="array" ref="BL249">IF(AA249=_xlfn.XLOOKUP($B249,VmSpecs[[#All],[VM Name]],VmSpecs[[#All],[Data Disk1 Size]],"Failed",0,1),"Pass","Fail")</f>
        <v>Fail</v>
      </c>
      <c r="BM249" t="str" cm="1">
        <f t="array" ref="BM249">IF(LEFT(AC249,4)=LEFT(_xlfn.XLOOKUP($B249,VmSpecs[[#All],[VM Name]],VmSpecs[[#All],[Data Disk1 Type]],"Failed",0,1),4),"Pass","Fail")</f>
        <v>Fail</v>
      </c>
      <c r="BO249" t="e">
        <f>VLOOKUP('VM Specs'!K249,'As Built'!B:B,1,FALSE)</f>
        <v>#N/A</v>
      </c>
      <c r="BP249" t="str">
        <f>IF(ISNA(Table613[[#This Row],[VM Build Sheet Check]]),'VM Specs'!K249,"")</f>
        <v>vmpfbpf2ocr03</v>
      </c>
    </row>
    <row r="250" spans="1:68" ht="33" customHeight="1" x14ac:dyDescent="0.35">
      <c r="A250" t="str">
        <f>IF(COUNTIF(AsBuilt[[#This Row],[VM Check]:[Data Disk 1 Type Check]],"Fail")&gt;0,"Fail","Pass")</f>
        <v>Fail</v>
      </c>
      <c r="B250" t="s">
        <v>2510</v>
      </c>
      <c r="C250" t="s">
        <v>754</v>
      </c>
      <c r="D250" t="s">
        <v>2100</v>
      </c>
      <c r="E250" t="s">
        <v>756</v>
      </c>
      <c r="F250" t="s">
        <v>801</v>
      </c>
      <c r="G250" t="s">
        <v>758</v>
      </c>
      <c r="H250" t="s">
        <v>2489</v>
      </c>
      <c r="J250" t="s">
        <v>760</v>
      </c>
      <c r="K250" t="s">
        <v>2102</v>
      </c>
      <c r="L250" t="s">
        <v>754</v>
      </c>
      <c r="M250" t="s">
        <v>2511</v>
      </c>
      <c r="N250" t="s">
        <v>2104</v>
      </c>
      <c r="O250" t="s">
        <v>2105</v>
      </c>
      <c r="P250" t="s">
        <v>63</v>
      </c>
      <c r="R250" t="s">
        <v>2512</v>
      </c>
      <c r="S250" t="s">
        <v>754</v>
      </c>
      <c r="U250" t="s">
        <v>2513</v>
      </c>
      <c r="V250" t="s">
        <v>767</v>
      </c>
      <c r="W250">
        <v>64</v>
      </c>
      <c r="X250" t="s">
        <v>768</v>
      </c>
      <c r="Y250">
        <v>2</v>
      </c>
      <c r="Z250" t="s">
        <v>2514</v>
      </c>
      <c r="AA250">
        <v>8</v>
      </c>
      <c r="AB250" t="s">
        <v>770</v>
      </c>
      <c r="AC250" t="s">
        <v>768</v>
      </c>
      <c r="AD250" t="s">
        <v>2515</v>
      </c>
      <c r="AE250">
        <v>32</v>
      </c>
      <c r="AF250" t="s">
        <v>770</v>
      </c>
      <c r="AG250" t="s">
        <v>768</v>
      </c>
      <c r="AT250" t="s">
        <v>2159</v>
      </c>
      <c r="AU250" t="s">
        <v>2516</v>
      </c>
      <c r="AV250" t="str" cm="1">
        <f t="array" ref="AV250">IF(B250=_xlfn.XLOOKUP(B250,VmSpecs[[#All],[VM Name]],VmSpecs[[#All],[VM Name]],"Failed",0,1),"Pass","Fail")</f>
        <v>Fail</v>
      </c>
      <c r="AW250" t="str" cm="1">
        <f t="array" ref="AW250">IF(D250=_xlfn.XLOOKUP($B250,VmSpecs[[#All],[VM Name]],VmSpecs[[#All],[Virtual Machine Resource Groups]],"Failed",0,1),"Pass","Fail")</f>
        <v>Fail</v>
      </c>
      <c r="AX250" t="str" cm="1">
        <f t="array" ref="AX250">IF(_xlfn.IFS(E250="australiacentral","Australia Central 1",E250="australiaeast","Australia East",E250="australiasoutheast","Australia SouthEast")=_xlfn.XLOOKUP($B250,VmSpecs[[#All],[VM Name]],VmSpecs[[#All],[Region]],"Failed",0,1),"Pass","Fail")</f>
        <v>Fail</v>
      </c>
      <c r="AY250" t="str" cm="1">
        <f t="array" ref="AY250">IF(F250=_xlfn.XLOOKUP($B250,VmSpecs[[#All],[VM Name]],VmSpecs[[#All],[Instance size]],"Failed",0,1),"Pass","Fail")</f>
        <v>Fail</v>
      </c>
      <c r="AZ250" t="str" cm="1">
        <f t="array" ref="AZ250">IF(LOWER(H250)=_xlfn.XLOOKUP($B250,VmSpecs[[#All],[VM Name]],VmSpecs[[#All],[Availability Set Name]],"Failed",0,1),"Pass","Fail")</f>
        <v>Fail</v>
      </c>
      <c r="BA250" t="str" cm="1">
        <f t="array" ref="BA250">IF(J250=_xlfn.XLOOKUP($B250,VmSpecs[[#All],[VM Name]],VmSpecs[[#All],[Virtual Network]],"Failed",0,1),"Pass","Fail")</f>
        <v>Fail</v>
      </c>
      <c r="BB250" t="str" cm="1">
        <f t="array" ref="BB250">IF(K250=_xlfn.XLOOKUP($B250,VmSpecs[[#All],[VM Name]],VmSpecs[[#All],[Subnet]],"Failed",0,1),"Pass","Fail")</f>
        <v>Fail</v>
      </c>
      <c r="BC250" t="str" cm="1">
        <f t="array" ref="BC250">IF(M250=_xlfn.XLOOKUP($B250,VmSpecs[[#All],[VM Name]],VmSpecs[[#All],[IP]],"Failed",0,1),"Pass","Fail")</f>
        <v>Fail</v>
      </c>
      <c r="BD250" t="str" cm="1">
        <f t="array" ref="BD250">IF(N250=_xlfn.XLOOKUP($B250,VmSpecs[[#All],[VM Name]],VmSpecs[[#All],[Network Security Group]],"Failed",0,1),"Pass","Fail")</f>
        <v>Fail</v>
      </c>
      <c r="BE250" t="str" cm="1">
        <f t="array" ref="BE250">IF(O250=_xlfn.XLOOKUP($B250,VmSpecs[[#All],[VM Name]],VmSpecs[[#All],[Route Table Name]],"Failed",0,1),"Pass","Fail")</f>
        <v>Fail</v>
      </c>
      <c r="BF250" t="str" cm="1">
        <f t="array" ref="BF250">IF(P250=_xlfn.XLOOKUP($B250,VmSpecs[[#All],[VM Name]],VmSpecs[[#All],[Operating System]],"Failed",0,1),"Pass","Fail")</f>
        <v>Fail</v>
      </c>
      <c r="BG250" t="str" cm="1">
        <f t="array" ref="BG250">IF(R250=_xlfn.XLOOKUP($B250,VmSpecs[[#All],[VM Name]],VmSpecs[[#All],[NIC name]],"Failed",0,1),"Pass","Fail")</f>
        <v>Fail</v>
      </c>
      <c r="BH250" t="str" cm="1">
        <f t="array" ref="BH250">IF(U250=_xlfn.XLOOKUP($B250,VmSpecs[[#All],[VM Name]],VmSpecs[[#All],[OS Disk Name]],"Failed",0,1),"Pass","Fail")</f>
        <v>Fail</v>
      </c>
      <c r="BI250" t="str" cm="1">
        <f t="array" ref="BI250">IF(W250=_xlfn.XLOOKUP($B250,VmSpecs[[#All],[VM Name]],VmSpecs[[#All],[OS Disk Size]],"Failed",0,1),"Pass","Fail")</f>
        <v>Fail</v>
      </c>
      <c r="BJ250" t="str" cm="1">
        <f t="array" ref="BJ250">IF(LEFT(X250,4)=LEFT(_xlfn.XLOOKUP($B250,VmSpecs[[#All],[VM Name]],VmSpecs[[#All],[OS Disk Type (Standard SSD etc)]],"Failed",0,1),4),"Pass","Fail")</f>
        <v>Fail</v>
      </c>
      <c r="BK250" t="str" cm="1">
        <f t="array" ref="BK250">IF(Z250=_xlfn.XLOOKUP($B250,VmSpecs[[#All],[VM Name]],VmSpecs[[#All],[Data Disk1 Name]],"Failed",0,1),"Pass","Fail")</f>
        <v>Fail</v>
      </c>
      <c r="BL250" t="str" cm="1">
        <f t="array" ref="BL250">IF(AA250=_xlfn.XLOOKUP($B250,VmSpecs[[#All],[VM Name]],VmSpecs[[#All],[Data Disk1 Size]],"Failed",0,1),"Pass","Fail")</f>
        <v>Fail</v>
      </c>
      <c r="BM250" t="str" cm="1">
        <f t="array" ref="BM250">IF(LEFT(AC250,4)=LEFT(_xlfn.XLOOKUP($B250,VmSpecs[[#All],[VM Name]],VmSpecs[[#All],[Data Disk1 Type]],"Failed",0,1),4),"Pass","Fail")</f>
        <v>Fail</v>
      </c>
      <c r="BO250" t="e">
        <f>VLOOKUP('VM Specs'!K250,'As Built'!B:B,1,FALSE)</f>
        <v>#N/A</v>
      </c>
      <c r="BP250" t="str">
        <f>IF(ISNA(Table613[[#This Row],[VM Build Sheet Check]]),'VM Specs'!K250,"")</f>
        <v>vmpfbpf2ocr04</v>
      </c>
    </row>
    <row r="251" spans="1:68" ht="33" customHeight="1" x14ac:dyDescent="0.35">
      <c r="A251" t="str">
        <f>IF(COUNTIF(AsBuilt[[#This Row],[VM Check]:[Data Disk 1 Type Check]],"Fail")&gt;0,"Fail","Pass")</f>
        <v>Fail</v>
      </c>
      <c r="B251" t="s">
        <v>2517</v>
      </c>
      <c r="C251" t="s">
        <v>754</v>
      </c>
      <c r="D251" t="s">
        <v>2100</v>
      </c>
      <c r="E251" t="s">
        <v>756</v>
      </c>
      <c r="F251" t="s">
        <v>801</v>
      </c>
      <c r="G251" t="s">
        <v>758</v>
      </c>
      <c r="H251" t="s">
        <v>2489</v>
      </c>
      <c r="J251" t="s">
        <v>760</v>
      </c>
      <c r="K251" t="s">
        <v>2102</v>
      </c>
      <c r="L251" t="s">
        <v>754</v>
      </c>
      <c r="M251" t="s">
        <v>2518</v>
      </c>
      <c r="N251" t="s">
        <v>2104</v>
      </c>
      <c r="O251" t="s">
        <v>2105</v>
      </c>
      <c r="P251" t="s">
        <v>63</v>
      </c>
      <c r="R251" t="s">
        <v>2519</v>
      </c>
      <c r="S251" t="s">
        <v>754</v>
      </c>
      <c r="U251" t="s">
        <v>2520</v>
      </c>
      <c r="V251" t="s">
        <v>767</v>
      </c>
      <c r="W251">
        <v>64</v>
      </c>
      <c r="X251" t="s">
        <v>768</v>
      </c>
      <c r="Y251">
        <v>2</v>
      </c>
      <c r="Z251" t="s">
        <v>2521</v>
      </c>
      <c r="AA251">
        <v>8</v>
      </c>
      <c r="AB251" t="s">
        <v>770</v>
      </c>
      <c r="AC251" t="s">
        <v>768</v>
      </c>
      <c r="AD251" t="s">
        <v>2522</v>
      </c>
      <c r="AE251">
        <v>32</v>
      </c>
      <c r="AF251" t="s">
        <v>770</v>
      </c>
      <c r="AG251" t="s">
        <v>768</v>
      </c>
      <c r="AT251" t="s">
        <v>2159</v>
      </c>
      <c r="AU251" t="s">
        <v>2523</v>
      </c>
      <c r="AV251" t="str" cm="1">
        <f t="array" ref="AV251">IF(B251=_xlfn.XLOOKUP(B251,VmSpecs[[#All],[VM Name]],VmSpecs[[#All],[VM Name]],"Failed",0,1),"Pass","Fail")</f>
        <v>Fail</v>
      </c>
      <c r="AW251" t="str" cm="1">
        <f t="array" ref="AW251">IF(D251=_xlfn.XLOOKUP($B251,VmSpecs[[#All],[VM Name]],VmSpecs[[#All],[Virtual Machine Resource Groups]],"Failed",0,1),"Pass","Fail")</f>
        <v>Fail</v>
      </c>
      <c r="AX251" t="str" cm="1">
        <f t="array" ref="AX251">IF(_xlfn.IFS(E251="australiacentral","Australia Central 1",E251="australiaeast","Australia East",E251="australiasoutheast","Australia SouthEast")=_xlfn.XLOOKUP($B251,VmSpecs[[#All],[VM Name]],VmSpecs[[#All],[Region]],"Failed",0,1),"Pass","Fail")</f>
        <v>Fail</v>
      </c>
      <c r="AY251" t="str" cm="1">
        <f t="array" ref="AY251">IF(F251=_xlfn.XLOOKUP($B251,VmSpecs[[#All],[VM Name]],VmSpecs[[#All],[Instance size]],"Failed",0,1),"Pass","Fail")</f>
        <v>Fail</v>
      </c>
      <c r="AZ251" t="str" cm="1">
        <f t="array" ref="AZ251">IF(LOWER(H251)=_xlfn.XLOOKUP($B251,VmSpecs[[#All],[VM Name]],VmSpecs[[#All],[Availability Set Name]],"Failed",0,1),"Pass","Fail")</f>
        <v>Fail</v>
      </c>
      <c r="BA251" t="str" cm="1">
        <f t="array" ref="BA251">IF(J251=_xlfn.XLOOKUP($B251,VmSpecs[[#All],[VM Name]],VmSpecs[[#All],[Virtual Network]],"Failed",0,1),"Pass","Fail")</f>
        <v>Fail</v>
      </c>
      <c r="BB251" t="str" cm="1">
        <f t="array" ref="BB251">IF(K251=_xlfn.XLOOKUP($B251,VmSpecs[[#All],[VM Name]],VmSpecs[[#All],[Subnet]],"Failed",0,1),"Pass","Fail")</f>
        <v>Fail</v>
      </c>
      <c r="BC251" t="str" cm="1">
        <f t="array" ref="BC251">IF(M251=_xlfn.XLOOKUP($B251,VmSpecs[[#All],[VM Name]],VmSpecs[[#All],[IP]],"Failed",0,1),"Pass","Fail")</f>
        <v>Fail</v>
      </c>
      <c r="BD251" t="str" cm="1">
        <f t="array" ref="BD251">IF(N251=_xlfn.XLOOKUP($B251,VmSpecs[[#All],[VM Name]],VmSpecs[[#All],[Network Security Group]],"Failed",0,1),"Pass","Fail")</f>
        <v>Fail</v>
      </c>
      <c r="BE251" t="str" cm="1">
        <f t="array" ref="BE251">IF(O251=_xlfn.XLOOKUP($B251,VmSpecs[[#All],[VM Name]],VmSpecs[[#All],[Route Table Name]],"Failed",0,1),"Pass","Fail")</f>
        <v>Fail</v>
      </c>
      <c r="BF251" t="str" cm="1">
        <f t="array" ref="BF251">IF(P251=_xlfn.XLOOKUP($B251,VmSpecs[[#All],[VM Name]],VmSpecs[[#All],[Operating System]],"Failed",0,1),"Pass","Fail")</f>
        <v>Fail</v>
      </c>
      <c r="BG251" t="str" cm="1">
        <f t="array" ref="BG251">IF(R251=_xlfn.XLOOKUP($B251,VmSpecs[[#All],[VM Name]],VmSpecs[[#All],[NIC name]],"Failed",0,1),"Pass","Fail")</f>
        <v>Fail</v>
      </c>
      <c r="BH251" t="str" cm="1">
        <f t="array" ref="BH251">IF(U251=_xlfn.XLOOKUP($B251,VmSpecs[[#All],[VM Name]],VmSpecs[[#All],[OS Disk Name]],"Failed",0,1),"Pass","Fail")</f>
        <v>Fail</v>
      </c>
      <c r="BI251" t="str" cm="1">
        <f t="array" ref="BI251">IF(W251=_xlfn.XLOOKUP($B251,VmSpecs[[#All],[VM Name]],VmSpecs[[#All],[OS Disk Size]],"Failed",0,1),"Pass","Fail")</f>
        <v>Fail</v>
      </c>
      <c r="BJ251" t="str" cm="1">
        <f t="array" ref="BJ251">IF(LEFT(X251,4)=LEFT(_xlfn.XLOOKUP($B251,VmSpecs[[#All],[VM Name]],VmSpecs[[#All],[OS Disk Type (Standard SSD etc)]],"Failed",0,1),4),"Pass","Fail")</f>
        <v>Fail</v>
      </c>
      <c r="BK251" t="str" cm="1">
        <f t="array" ref="BK251">IF(Z251=_xlfn.XLOOKUP($B251,VmSpecs[[#All],[VM Name]],VmSpecs[[#All],[Data Disk1 Name]],"Failed",0,1),"Pass","Fail")</f>
        <v>Fail</v>
      </c>
      <c r="BL251" t="str" cm="1">
        <f t="array" ref="BL251">IF(AA251=_xlfn.XLOOKUP($B251,VmSpecs[[#All],[VM Name]],VmSpecs[[#All],[Data Disk1 Size]],"Failed",0,1),"Pass","Fail")</f>
        <v>Fail</v>
      </c>
      <c r="BM251" t="str" cm="1">
        <f t="array" ref="BM251">IF(LEFT(AC251,4)=LEFT(_xlfn.XLOOKUP($B251,VmSpecs[[#All],[VM Name]],VmSpecs[[#All],[Data Disk1 Type]],"Failed",0,1),4),"Pass","Fail")</f>
        <v>Fail</v>
      </c>
      <c r="BO251" t="e">
        <f>VLOOKUP('VM Specs'!K251,'As Built'!B:B,1,FALSE)</f>
        <v>#N/A</v>
      </c>
      <c r="BP251" t="str">
        <f>IF(ISNA(Table613[[#This Row],[VM Build Sheet Check]]),'VM Specs'!K251,"")</f>
        <v>vmpfbpf2ocr05</v>
      </c>
    </row>
    <row r="252" spans="1:68" ht="33" customHeight="1" x14ac:dyDescent="0.35">
      <c r="A252" t="str">
        <f>IF(COUNTIF(AsBuilt[[#This Row],[VM Check]:[Data Disk 1 Type Check]],"Fail")&gt;0,"Fail","Pass")</f>
        <v>Fail</v>
      </c>
      <c r="B252" t="s">
        <v>2524</v>
      </c>
      <c r="C252" t="s">
        <v>754</v>
      </c>
      <c r="D252" t="s">
        <v>2100</v>
      </c>
      <c r="E252" t="s">
        <v>756</v>
      </c>
      <c r="F252" t="s">
        <v>801</v>
      </c>
      <c r="G252" t="s">
        <v>758</v>
      </c>
      <c r="H252" t="s">
        <v>2489</v>
      </c>
      <c r="J252" t="s">
        <v>760</v>
      </c>
      <c r="K252" t="s">
        <v>2102</v>
      </c>
      <c r="L252" t="s">
        <v>754</v>
      </c>
      <c r="M252" t="s">
        <v>2525</v>
      </c>
      <c r="N252" t="s">
        <v>2104</v>
      </c>
      <c r="O252" t="s">
        <v>2105</v>
      </c>
      <c r="P252" t="s">
        <v>63</v>
      </c>
      <c r="R252" t="s">
        <v>2526</v>
      </c>
      <c r="S252" t="s">
        <v>754</v>
      </c>
      <c r="U252" t="s">
        <v>2527</v>
      </c>
      <c r="V252" t="s">
        <v>767</v>
      </c>
      <c r="W252">
        <v>64</v>
      </c>
      <c r="X252" t="s">
        <v>768</v>
      </c>
      <c r="Y252">
        <v>2</v>
      </c>
      <c r="Z252" t="s">
        <v>2528</v>
      </c>
      <c r="AA252">
        <v>8</v>
      </c>
      <c r="AB252" t="s">
        <v>770</v>
      </c>
      <c r="AC252" t="s">
        <v>768</v>
      </c>
      <c r="AD252" t="s">
        <v>2529</v>
      </c>
      <c r="AE252">
        <v>32</v>
      </c>
      <c r="AF252" t="s">
        <v>770</v>
      </c>
      <c r="AG252" t="s">
        <v>768</v>
      </c>
      <c r="AT252" t="s">
        <v>2159</v>
      </c>
      <c r="AU252" t="s">
        <v>2530</v>
      </c>
      <c r="AV252" t="str" cm="1">
        <f t="array" ref="AV252">IF(B252=_xlfn.XLOOKUP(B252,VmSpecs[[#All],[VM Name]],VmSpecs[[#All],[VM Name]],"Failed",0,1),"Pass","Fail")</f>
        <v>Fail</v>
      </c>
      <c r="AW252" t="str" cm="1">
        <f t="array" ref="AW252">IF(D252=_xlfn.XLOOKUP($B252,VmSpecs[[#All],[VM Name]],VmSpecs[[#All],[Virtual Machine Resource Groups]],"Failed",0,1),"Pass","Fail")</f>
        <v>Fail</v>
      </c>
      <c r="AX252" t="str" cm="1">
        <f t="array" ref="AX252">IF(_xlfn.IFS(E252="australiacentral","Australia Central 1",E252="australiaeast","Australia East",E252="australiasoutheast","Australia SouthEast")=_xlfn.XLOOKUP($B252,VmSpecs[[#All],[VM Name]],VmSpecs[[#All],[Region]],"Failed",0,1),"Pass","Fail")</f>
        <v>Fail</v>
      </c>
      <c r="AY252" t="str" cm="1">
        <f t="array" ref="AY252">IF(F252=_xlfn.XLOOKUP($B252,VmSpecs[[#All],[VM Name]],VmSpecs[[#All],[Instance size]],"Failed",0,1),"Pass","Fail")</f>
        <v>Fail</v>
      </c>
      <c r="AZ252" t="str" cm="1">
        <f t="array" ref="AZ252">IF(LOWER(H252)=_xlfn.XLOOKUP($B252,VmSpecs[[#All],[VM Name]],VmSpecs[[#All],[Availability Set Name]],"Failed",0,1),"Pass","Fail")</f>
        <v>Fail</v>
      </c>
      <c r="BA252" t="str" cm="1">
        <f t="array" ref="BA252">IF(J252=_xlfn.XLOOKUP($B252,VmSpecs[[#All],[VM Name]],VmSpecs[[#All],[Virtual Network]],"Failed",0,1),"Pass","Fail")</f>
        <v>Fail</v>
      </c>
      <c r="BB252" t="str" cm="1">
        <f t="array" ref="BB252">IF(K252=_xlfn.XLOOKUP($B252,VmSpecs[[#All],[VM Name]],VmSpecs[[#All],[Subnet]],"Failed",0,1),"Pass","Fail")</f>
        <v>Fail</v>
      </c>
      <c r="BC252" t="str" cm="1">
        <f t="array" ref="BC252">IF(M252=_xlfn.XLOOKUP($B252,VmSpecs[[#All],[VM Name]],VmSpecs[[#All],[IP]],"Failed",0,1),"Pass","Fail")</f>
        <v>Fail</v>
      </c>
      <c r="BD252" t="str" cm="1">
        <f t="array" ref="BD252">IF(N252=_xlfn.XLOOKUP($B252,VmSpecs[[#All],[VM Name]],VmSpecs[[#All],[Network Security Group]],"Failed",0,1),"Pass","Fail")</f>
        <v>Fail</v>
      </c>
      <c r="BE252" t="str" cm="1">
        <f t="array" ref="BE252">IF(O252=_xlfn.XLOOKUP($B252,VmSpecs[[#All],[VM Name]],VmSpecs[[#All],[Route Table Name]],"Failed",0,1),"Pass","Fail")</f>
        <v>Fail</v>
      </c>
      <c r="BF252" t="str" cm="1">
        <f t="array" ref="BF252">IF(P252=_xlfn.XLOOKUP($B252,VmSpecs[[#All],[VM Name]],VmSpecs[[#All],[Operating System]],"Failed",0,1),"Pass","Fail")</f>
        <v>Fail</v>
      </c>
      <c r="BG252" t="str" cm="1">
        <f t="array" ref="BG252">IF(R252=_xlfn.XLOOKUP($B252,VmSpecs[[#All],[VM Name]],VmSpecs[[#All],[NIC name]],"Failed",0,1),"Pass","Fail")</f>
        <v>Fail</v>
      </c>
      <c r="BH252" t="str" cm="1">
        <f t="array" ref="BH252">IF(U252=_xlfn.XLOOKUP($B252,VmSpecs[[#All],[VM Name]],VmSpecs[[#All],[OS Disk Name]],"Failed",0,1),"Pass","Fail")</f>
        <v>Fail</v>
      </c>
      <c r="BI252" t="str" cm="1">
        <f t="array" ref="BI252">IF(W252=_xlfn.XLOOKUP($B252,VmSpecs[[#All],[VM Name]],VmSpecs[[#All],[OS Disk Size]],"Failed",0,1),"Pass","Fail")</f>
        <v>Fail</v>
      </c>
      <c r="BJ252" t="str" cm="1">
        <f t="array" ref="BJ252">IF(LEFT(X252,4)=LEFT(_xlfn.XLOOKUP($B252,VmSpecs[[#All],[VM Name]],VmSpecs[[#All],[OS Disk Type (Standard SSD etc)]],"Failed",0,1),4),"Pass","Fail")</f>
        <v>Fail</v>
      </c>
      <c r="BK252" t="str" cm="1">
        <f t="array" ref="BK252">IF(Z252=_xlfn.XLOOKUP($B252,VmSpecs[[#All],[VM Name]],VmSpecs[[#All],[Data Disk1 Name]],"Failed",0,1),"Pass","Fail")</f>
        <v>Fail</v>
      </c>
      <c r="BL252" t="str" cm="1">
        <f t="array" ref="BL252">IF(AA252=_xlfn.XLOOKUP($B252,VmSpecs[[#All],[VM Name]],VmSpecs[[#All],[Data Disk1 Size]],"Failed",0,1),"Pass","Fail")</f>
        <v>Fail</v>
      </c>
      <c r="BM252" t="str" cm="1">
        <f t="array" ref="BM252">IF(LEFT(AC252,4)=LEFT(_xlfn.XLOOKUP($B252,VmSpecs[[#All],[VM Name]],VmSpecs[[#All],[Data Disk1 Type]],"Failed",0,1),4),"Pass","Fail")</f>
        <v>Fail</v>
      </c>
      <c r="BO252" t="e">
        <f>VLOOKUP('VM Specs'!K252,'As Built'!B:B,1,FALSE)</f>
        <v>#N/A</v>
      </c>
      <c r="BP252" t="str">
        <f>IF(ISNA(Table613[[#This Row],[VM Build Sheet Check]]),'VM Specs'!K252,"")</f>
        <v>vmpfbpf2ocr06</v>
      </c>
    </row>
    <row r="253" spans="1:68" ht="33" customHeight="1" x14ac:dyDescent="0.35">
      <c r="A253" t="str">
        <f>IF(COUNTIF(AsBuilt[[#This Row],[VM Check]:[Data Disk 1 Type Check]],"Fail")&gt;0,"Fail","Pass")</f>
        <v>Fail</v>
      </c>
      <c r="B253" t="s">
        <v>2531</v>
      </c>
      <c r="C253" t="s">
        <v>754</v>
      </c>
      <c r="D253" t="s">
        <v>2100</v>
      </c>
      <c r="E253" t="s">
        <v>756</v>
      </c>
      <c r="F253" t="s">
        <v>1067</v>
      </c>
      <c r="G253" t="s">
        <v>758</v>
      </c>
      <c r="H253" t="s">
        <v>2532</v>
      </c>
      <c r="J253" t="s">
        <v>760</v>
      </c>
      <c r="K253" t="s">
        <v>2102</v>
      </c>
      <c r="L253" t="s">
        <v>754</v>
      </c>
      <c r="M253" t="s">
        <v>2533</v>
      </c>
      <c r="N253" t="s">
        <v>2104</v>
      </c>
      <c r="O253" t="s">
        <v>2105</v>
      </c>
      <c r="P253" t="s">
        <v>63</v>
      </c>
      <c r="R253" t="s">
        <v>2534</v>
      </c>
      <c r="S253" t="s">
        <v>754</v>
      </c>
      <c r="U253" t="s">
        <v>2535</v>
      </c>
      <c r="V253" t="s">
        <v>767</v>
      </c>
      <c r="W253">
        <v>64</v>
      </c>
      <c r="X253" t="s">
        <v>768</v>
      </c>
      <c r="Y253">
        <v>2</v>
      </c>
      <c r="Z253" t="s">
        <v>2536</v>
      </c>
      <c r="AA253">
        <v>8</v>
      </c>
      <c r="AB253" t="s">
        <v>770</v>
      </c>
      <c r="AC253" t="s">
        <v>768</v>
      </c>
      <c r="AD253" t="s">
        <v>2537</v>
      </c>
      <c r="AE253">
        <v>32</v>
      </c>
      <c r="AF253" t="s">
        <v>770</v>
      </c>
      <c r="AG253" t="s">
        <v>768</v>
      </c>
      <c r="AT253" t="s">
        <v>772</v>
      </c>
      <c r="AU253" t="s">
        <v>2538</v>
      </c>
      <c r="AV253" t="str" cm="1">
        <f t="array" ref="AV253">IF(B253=_xlfn.XLOOKUP(B253,VmSpecs[[#All],[VM Name]],VmSpecs[[#All],[VM Name]],"Failed",0,1),"Pass","Fail")</f>
        <v>Fail</v>
      </c>
      <c r="AW253" t="str" cm="1">
        <f t="array" ref="AW253">IF(D253=_xlfn.XLOOKUP($B253,VmSpecs[[#All],[VM Name]],VmSpecs[[#All],[Virtual Machine Resource Groups]],"Failed",0,1),"Pass","Fail")</f>
        <v>Fail</v>
      </c>
      <c r="AX253" t="str" cm="1">
        <f t="array" ref="AX253">IF(_xlfn.IFS(E253="australiacentral","Australia Central 1",E253="australiaeast","Australia East",E253="australiasoutheast","Australia SouthEast")=_xlfn.XLOOKUP($B253,VmSpecs[[#All],[VM Name]],VmSpecs[[#All],[Region]],"Failed",0,1),"Pass","Fail")</f>
        <v>Fail</v>
      </c>
      <c r="AY253" t="str" cm="1">
        <f t="array" ref="AY253">IF(F253=_xlfn.XLOOKUP($B253,VmSpecs[[#All],[VM Name]],VmSpecs[[#All],[Instance size]],"Failed",0,1),"Pass","Fail")</f>
        <v>Fail</v>
      </c>
      <c r="AZ253" t="str" cm="1">
        <f t="array" ref="AZ253">IF(LOWER(H253)=_xlfn.XLOOKUP($B253,VmSpecs[[#All],[VM Name]],VmSpecs[[#All],[Availability Set Name]],"Failed",0,1),"Pass","Fail")</f>
        <v>Fail</v>
      </c>
      <c r="BA253" t="str" cm="1">
        <f t="array" ref="BA253">IF(J253=_xlfn.XLOOKUP($B253,VmSpecs[[#All],[VM Name]],VmSpecs[[#All],[Virtual Network]],"Failed",0,1),"Pass","Fail")</f>
        <v>Fail</v>
      </c>
      <c r="BB253" t="str" cm="1">
        <f t="array" ref="BB253">IF(K253=_xlfn.XLOOKUP($B253,VmSpecs[[#All],[VM Name]],VmSpecs[[#All],[Subnet]],"Failed",0,1),"Pass","Fail")</f>
        <v>Fail</v>
      </c>
      <c r="BC253" t="str" cm="1">
        <f t="array" ref="BC253">IF(M253=_xlfn.XLOOKUP($B253,VmSpecs[[#All],[VM Name]],VmSpecs[[#All],[IP]],"Failed",0,1),"Pass","Fail")</f>
        <v>Fail</v>
      </c>
      <c r="BD253" t="str" cm="1">
        <f t="array" ref="BD253">IF(N253=_xlfn.XLOOKUP($B253,VmSpecs[[#All],[VM Name]],VmSpecs[[#All],[Network Security Group]],"Failed",0,1),"Pass","Fail")</f>
        <v>Fail</v>
      </c>
      <c r="BE253" t="str" cm="1">
        <f t="array" ref="BE253">IF(O253=_xlfn.XLOOKUP($B253,VmSpecs[[#All],[VM Name]],VmSpecs[[#All],[Route Table Name]],"Failed",0,1),"Pass","Fail")</f>
        <v>Fail</v>
      </c>
      <c r="BF253" t="str" cm="1">
        <f t="array" ref="BF253">IF(P253=_xlfn.XLOOKUP($B253,VmSpecs[[#All],[VM Name]],VmSpecs[[#All],[Operating System]],"Failed",0,1),"Pass","Fail")</f>
        <v>Fail</v>
      </c>
      <c r="BG253" t="str" cm="1">
        <f t="array" ref="BG253">IF(R253=_xlfn.XLOOKUP($B253,VmSpecs[[#All],[VM Name]],VmSpecs[[#All],[NIC name]],"Failed",0,1),"Pass","Fail")</f>
        <v>Fail</v>
      </c>
      <c r="BH253" t="str" cm="1">
        <f t="array" ref="BH253">IF(U253=_xlfn.XLOOKUP($B253,VmSpecs[[#All],[VM Name]],VmSpecs[[#All],[OS Disk Name]],"Failed",0,1),"Pass","Fail")</f>
        <v>Fail</v>
      </c>
      <c r="BI253" t="str" cm="1">
        <f t="array" ref="BI253">IF(W253=_xlfn.XLOOKUP($B253,VmSpecs[[#All],[VM Name]],VmSpecs[[#All],[OS Disk Size]],"Failed",0,1),"Pass","Fail")</f>
        <v>Fail</v>
      </c>
      <c r="BJ253" t="str" cm="1">
        <f t="array" ref="BJ253">IF(LEFT(X253,4)=LEFT(_xlfn.XLOOKUP($B253,VmSpecs[[#All],[VM Name]],VmSpecs[[#All],[OS Disk Type (Standard SSD etc)]],"Failed",0,1),4),"Pass","Fail")</f>
        <v>Fail</v>
      </c>
      <c r="BK253" t="str" cm="1">
        <f t="array" ref="BK253">IF(Z253=_xlfn.XLOOKUP($B253,VmSpecs[[#All],[VM Name]],VmSpecs[[#All],[Data Disk1 Name]],"Failed",0,1),"Pass","Fail")</f>
        <v>Fail</v>
      </c>
      <c r="BL253" t="str" cm="1">
        <f t="array" ref="BL253">IF(AA253=_xlfn.XLOOKUP($B253,VmSpecs[[#All],[VM Name]],VmSpecs[[#All],[Data Disk1 Size]],"Failed",0,1),"Pass","Fail")</f>
        <v>Fail</v>
      </c>
      <c r="BM253" t="str" cm="1">
        <f t="array" ref="BM253">IF(LEFT(AC253,4)=LEFT(_xlfn.XLOOKUP($B253,VmSpecs[[#All],[VM Name]],VmSpecs[[#All],[Data Disk1 Type]],"Failed",0,1),4),"Pass","Fail")</f>
        <v>Fail</v>
      </c>
      <c r="BO253" t="e">
        <f>VLOOKUP('VM Specs'!K253,'As Built'!B:B,1,FALSE)</f>
        <v>#N/A</v>
      </c>
      <c r="BP253" t="str">
        <f>IF(ISNA(Table613[[#This Row],[VM Build Sheet Check]]),'VM Specs'!K253,"")</f>
        <v>vmpfbpf2oha01</v>
      </c>
    </row>
    <row r="254" spans="1:68" ht="33" customHeight="1" x14ac:dyDescent="0.35">
      <c r="A254" t="str">
        <f>IF(COUNTIF(AsBuilt[[#This Row],[VM Check]:[Data Disk 1 Type Check]],"Fail")&gt;0,"Fail","Pass")</f>
        <v>Fail</v>
      </c>
      <c r="B254" t="s">
        <v>2539</v>
      </c>
      <c r="C254" t="s">
        <v>754</v>
      </c>
      <c r="D254" t="s">
        <v>2100</v>
      </c>
      <c r="E254" t="s">
        <v>756</v>
      </c>
      <c r="F254" t="s">
        <v>1067</v>
      </c>
      <c r="G254" t="s">
        <v>758</v>
      </c>
      <c r="H254" t="s">
        <v>2532</v>
      </c>
      <c r="J254" t="s">
        <v>760</v>
      </c>
      <c r="K254" t="s">
        <v>2102</v>
      </c>
      <c r="L254" t="s">
        <v>754</v>
      </c>
      <c r="M254" t="s">
        <v>2540</v>
      </c>
      <c r="N254" t="s">
        <v>2104</v>
      </c>
      <c r="O254" t="s">
        <v>2105</v>
      </c>
      <c r="P254" t="s">
        <v>63</v>
      </c>
      <c r="R254" t="s">
        <v>2541</v>
      </c>
      <c r="S254" t="s">
        <v>754</v>
      </c>
      <c r="U254" t="s">
        <v>2542</v>
      </c>
      <c r="V254" t="s">
        <v>767</v>
      </c>
      <c r="W254">
        <v>64</v>
      </c>
      <c r="X254" t="s">
        <v>768</v>
      </c>
      <c r="Y254">
        <v>2</v>
      </c>
      <c r="Z254" t="s">
        <v>2543</v>
      </c>
      <c r="AA254">
        <v>8</v>
      </c>
      <c r="AB254" t="s">
        <v>770</v>
      </c>
      <c r="AC254" t="s">
        <v>768</v>
      </c>
      <c r="AD254" t="s">
        <v>2544</v>
      </c>
      <c r="AE254">
        <v>32</v>
      </c>
      <c r="AF254" t="s">
        <v>770</v>
      </c>
      <c r="AG254" t="s">
        <v>768</v>
      </c>
      <c r="AT254" t="s">
        <v>772</v>
      </c>
      <c r="AU254" t="s">
        <v>2545</v>
      </c>
      <c r="AV254" t="str" cm="1">
        <f t="array" ref="AV254">IF(B254=_xlfn.XLOOKUP(B254,VmSpecs[[#All],[VM Name]],VmSpecs[[#All],[VM Name]],"Failed",0,1),"Pass","Fail")</f>
        <v>Fail</v>
      </c>
      <c r="AW254" t="str" cm="1">
        <f t="array" ref="AW254">IF(D254=_xlfn.XLOOKUP($B254,VmSpecs[[#All],[VM Name]],VmSpecs[[#All],[Virtual Machine Resource Groups]],"Failed",0,1),"Pass","Fail")</f>
        <v>Fail</v>
      </c>
      <c r="AX254" t="str" cm="1">
        <f t="array" ref="AX254">IF(_xlfn.IFS(E254="australiacentral","Australia Central 1",E254="australiaeast","Australia East",E254="australiasoutheast","Australia SouthEast")=_xlfn.XLOOKUP($B254,VmSpecs[[#All],[VM Name]],VmSpecs[[#All],[Region]],"Failed",0,1),"Pass","Fail")</f>
        <v>Fail</v>
      </c>
      <c r="AY254" t="str" cm="1">
        <f t="array" ref="AY254">IF(F254=_xlfn.XLOOKUP($B254,VmSpecs[[#All],[VM Name]],VmSpecs[[#All],[Instance size]],"Failed",0,1),"Pass","Fail")</f>
        <v>Fail</v>
      </c>
      <c r="AZ254" t="str" cm="1">
        <f t="array" ref="AZ254">IF(LOWER(H254)=_xlfn.XLOOKUP($B254,VmSpecs[[#All],[VM Name]],VmSpecs[[#All],[Availability Set Name]],"Failed",0,1),"Pass","Fail")</f>
        <v>Fail</v>
      </c>
      <c r="BA254" t="str" cm="1">
        <f t="array" ref="BA254">IF(J254=_xlfn.XLOOKUP($B254,VmSpecs[[#All],[VM Name]],VmSpecs[[#All],[Virtual Network]],"Failed",0,1),"Pass","Fail")</f>
        <v>Fail</v>
      </c>
      <c r="BB254" t="str" cm="1">
        <f t="array" ref="BB254">IF(K254=_xlfn.XLOOKUP($B254,VmSpecs[[#All],[VM Name]],VmSpecs[[#All],[Subnet]],"Failed",0,1),"Pass","Fail")</f>
        <v>Fail</v>
      </c>
      <c r="BC254" t="str" cm="1">
        <f t="array" ref="BC254">IF(M254=_xlfn.XLOOKUP($B254,VmSpecs[[#All],[VM Name]],VmSpecs[[#All],[IP]],"Failed",0,1),"Pass","Fail")</f>
        <v>Fail</v>
      </c>
      <c r="BD254" t="str" cm="1">
        <f t="array" ref="BD254">IF(N254=_xlfn.XLOOKUP($B254,VmSpecs[[#All],[VM Name]],VmSpecs[[#All],[Network Security Group]],"Failed",0,1),"Pass","Fail")</f>
        <v>Fail</v>
      </c>
      <c r="BE254" t="str" cm="1">
        <f t="array" ref="BE254">IF(O254=_xlfn.XLOOKUP($B254,VmSpecs[[#All],[VM Name]],VmSpecs[[#All],[Route Table Name]],"Failed",0,1),"Pass","Fail")</f>
        <v>Fail</v>
      </c>
      <c r="BF254" t="str" cm="1">
        <f t="array" ref="BF254">IF(P254=_xlfn.XLOOKUP($B254,VmSpecs[[#All],[VM Name]],VmSpecs[[#All],[Operating System]],"Failed",0,1),"Pass","Fail")</f>
        <v>Fail</v>
      </c>
      <c r="BG254" t="str" cm="1">
        <f t="array" ref="BG254">IF(R254=_xlfn.XLOOKUP($B254,VmSpecs[[#All],[VM Name]],VmSpecs[[#All],[NIC name]],"Failed",0,1),"Pass","Fail")</f>
        <v>Fail</v>
      </c>
      <c r="BH254" t="str" cm="1">
        <f t="array" ref="BH254">IF(U254=_xlfn.XLOOKUP($B254,VmSpecs[[#All],[VM Name]],VmSpecs[[#All],[OS Disk Name]],"Failed",0,1),"Pass","Fail")</f>
        <v>Fail</v>
      </c>
      <c r="BI254" t="str" cm="1">
        <f t="array" ref="BI254">IF(W254=_xlfn.XLOOKUP($B254,VmSpecs[[#All],[VM Name]],VmSpecs[[#All],[OS Disk Size]],"Failed",0,1),"Pass","Fail")</f>
        <v>Fail</v>
      </c>
      <c r="BJ254" t="str" cm="1">
        <f t="array" ref="BJ254">IF(LEFT(X254,4)=LEFT(_xlfn.XLOOKUP($B254,VmSpecs[[#All],[VM Name]],VmSpecs[[#All],[OS Disk Type (Standard SSD etc)]],"Failed",0,1),4),"Pass","Fail")</f>
        <v>Fail</v>
      </c>
      <c r="BK254" t="str" cm="1">
        <f t="array" ref="BK254">IF(Z254=_xlfn.XLOOKUP($B254,VmSpecs[[#All],[VM Name]],VmSpecs[[#All],[Data Disk1 Name]],"Failed",0,1),"Pass","Fail")</f>
        <v>Fail</v>
      </c>
      <c r="BL254" t="str" cm="1">
        <f t="array" ref="BL254">IF(AA254=_xlfn.XLOOKUP($B254,VmSpecs[[#All],[VM Name]],VmSpecs[[#All],[Data Disk1 Size]],"Failed",0,1),"Pass","Fail")</f>
        <v>Fail</v>
      </c>
      <c r="BM254" t="str" cm="1">
        <f t="array" ref="BM254">IF(LEFT(AC254,4)=LEFT(_xlfn.XLOOKUP($B254,VmSpecs[[#All],[VM Name]],VmSpecs[[#All],[Data Disk1 Type]],"Failed",0,1),4),"Pass","Fail")</f>
        <v>Fail</v>
      </c>
      <c r="BO254" t="e">
        <f>VLOOKUP('VM Specs'!K254,'As Built'!B:B,1,FALSE)</f>
        <v>#N/A</v>
      </c>
      <c r="BP254" t="str">
        <f>IF(ISNA(Table613[[#This Row],[VM Build Sheet Check]]),'VM Specs'!K254,"")</f>
        <v>vmpfbpf2oha02</v>
      </c>
    </row>
    <row r="255" spans="1:68" ht="33" customHeight="1" x14ac:dyDescent="0.35">
      <c r="A255" t="str">
        <f>IF(COUNTIF(AsBuilt[[#This Row],[VM Check]:[Data Disk 1 Type Check]],"Fail")&gt;0,"Fail","Pass")</f>
        <v>Fail</v>
      </c>
      <c r="B255" t="s">
        <v>2546</v>
      </c>
      <c r="C255" t="s">
        <v>754</v>
      </c>
      <c r="D255" t="s">
        <v>2100</v>
      </c>
      <c r="E255" t="s">
        <v>756</v>
      </c>
      <c r="F255" t="s">
        <v>757</v>
      </c>
      <c r="G255" t="s">
        <v>758</v>
      </c>
      <c r="H255" t="s">
        <v>2547</v>
      </c>
      <c r="J255" t="s">
        <v>760</v>
      </c>
      <c r="K255" t="s">
        <v>2102</v>
      </c>
      <c r="L255" t="s">
        <v>754</v>
      </c>
      <c r="M255" t="s">
        <v>2548</v>
      </c>
      <c r="N255" t="s">
        <v>2104</v>
      </c>
      <c r="O255" t="s">
        <v>2105</v>
      </c>
      <c r="P255" t="s">
        <v>63</v>
      </c>
      <c r="R255" t="s">
        <v>2549</v>
      </c>
      <c r="S255" t="s">
        <v>754</v>
      </c>
      <c r="U255" t="s">
        <v>2550</v>
      </c>
      <c r="V255" t="s">
        <v>767</v>
      </c>
      <c r="W255">
        <v>64</v>
      </c>
      <c r="X255" t="s">
        <v>768</v>
      </c>
      <c r="Y255">
        <v>2</v>
      </c>
      <c r="Z255" t="s">
        <v>2551</v>
      </c>
      <c r="AA255">
        <v>8</v>
      </c>
      <c r="AB255" t="s">
        <v>770</v>
      </c>
      <c r="AC255" t="s">
        <v>768</v>
      </c>
      <c r="AD255" t="s">
        <v>2552</v>
      </c>
      <c r="AE255">
        <v>32</v>
      </c>
      <c r="AF255" t="s">
        <v>770</v>
      </c>
      <c r="AG255" t="s">
        <v>768</v>
      </c>
      <c r="AT255" t="s">
        <v>772</v>
      </c>
      <c r="AU255" t="s">
        <v>2553</v>
      </c>
      <c r="AV255" t="str" cm="1">
        <f t="array" ref="AV255">IF(B255=_xlfn.XLOOKUP(B255,VmSpecs[[#All],[VM Name]],VmSpecs[[#All],[VM Name]],"Failed",0,1),"Pass","Fail")</f>
        <v>Fail</v>
      </c>
      <c r="AW255" t="str" cm="1">
        <f t="array" ref="AW255">IF(D255=_xlfn.XLOOKUP($B255,VmSpecs[[#All],[VM Name]],VmSpecs[[#All],[Virtual Machine Resource Groups]],"Failed",0,1),"Pass","Fail")</f>
        <v>Fail</v>
      </c>
      <c r="AX255" t="str" cm="1">
        <f t="array" ref="AX255">IF(_xlfn.IFS(E255="australiacentral","Australia Central 1",E255="australiaeast","Australia East",E255="australiasoutheast","Australia SouthEast")=_xlfn.XLOOKUP($B255,VmSpecs[[#All],[VM Name]],VmSpecs[[#All],[Region]],"Failed",0,1),"Pass","Fail")</f>
        <v>Fail</v>
      </c>
      <c r="AY255" t="str" cm="1">
        <f t="array" ref="AY255">IF(F255=_xlfn.XLOOKUP($B255,VmSpecs[[#All],[VM Name]],VmSpecs[[#All],[Instance size]],"Failed",0,1),"Pass","Fail")</f>
        <v>Fail</v>
      </c>
      <c r="AZ255" t="str" cm="1">
        <f t="array" ref="AZ255">IF(LOWER(H255)=_xlfn.XLOOKUP($B255,VmSpecs[[#All],[VM Name]],VmSpecs[[#All],[Availability Set Name]],"Failed",0,1),"Pass","Fail")</f>
        <v>Fail</v>
      </c>
      <c r="BA255" t="str" cm="1">
        <f t="array" ref="BA255">IF(J255=_xlfn.XLOOKUP($B255,VmSpecs[[#All],[VM Name]],VmSpecs[[#All],[Virtual Network]],"Failed",0,1),"Pass","Fail")</f>
        <v>Fail</v>
      </c>
      <c r="BB255" t="str" cm="1">
        <f t="array" ref="BB255">IF(K255=_xlfn.XLOOKUP($B255,VmSpecs[[#All],[VM Name]],VmSpecs[[#All],[Subnet]],"Failed",0,1),"Pass","Fail")</f>
        <v>Fail</v>
      </c>
      <c r="BC255" t="str" cm="1">
        <f t="array" ref="BC255">IF(M255=_xlfn.XLOOKUP($B255,VmSpecs[[#All],[VM Name]],VmSpecs[[#All],[IP]],"Failed",0,1),"Pass","Fail")</f>
        <v>Fail</v>
      </c>
      <c r="BD255" t="str" cm="1">
        <f t="array" ref="BD255">IF(N255=_xlfn.XLOOKUP($B255,VmSpecs[[#All],[VM Name]],VmSpecs[[#All],[Network Security Group]],"Failed",0,1),"Pass","Fail")</f>
        <v>Fail</v>
      </c>
      <c r="BE255" t="str" cm="1">
        <f t="array" ref="BE255">IF(O255=_xlfn.XLOOKUP($B255,VmSpecs[[#All],[VM Name]],VmSpecs[[#All],[Route Table Name]],"Failed",0,1),"Pass","Fail")</f>
        <v>Fail</v>
      </c>
      <c r="BF255" t="str" cm="1">
        <f t="array" ref="BF255">IF(P255=_xlfn.XLOOKUP($B255,VmSpecs[[#All],[VM Name]],VmSpecs[[#All],[Operating System]],"Failed",0,1),"Pass","Fail")</f>
        <v>Fail</v>
      </c>
      <c r="BG255" t="str" cm="1">
        <f t="array" ref="BG255">IF(R255=_xlfn.XLOOKUP($B255,VmSpecs[[#All],[VM Name]],VmSpecs[[#All],[NIC name]],"Failed",0,1),"Pass","Fail")</f>
        <v>Fail</v>
      </c>
      <c r="BH255" t="str" cm="1">
        <f t="array" ref="BH255">IF(U255=_xlfn.XLOOKUP($B255,VmSpecs[[#All],[VM Name]],VmSpecs[[#All],[OS Disk Name]],"Failed",0,1),"Pass","Fail")</f>
        <v>Fail</v>
      </c>
      <c r="BI255" t="str" cm="1">
        <f t="array" ref="BI255">IF(W255=_xlfn.XLOOKUP($B255,VmSpecs[[#All],[VM Name]],VmSpecs[[#All],[OS Disk Size]],"Failed",0,1),"Pass","Fail")</f>
        <v>Fail</v>
      </c>
      <c r="BJ255" t="str" cm="1">
        <f t="array" ref="BJ255">IF(LEFT(X255,4)=LEFT(_xlfn.XLOOKUP($B255,VmSpecs[[#All],[VM Name]],VmSpecs[[#All],[OS Disk Type (Standard SSD etc)]],"Failed",0,1),4),"Pass","Fail")</f>
        <v>Fail</v>
      </c>
      <c r="BK255" t="str" cm="1">
        <f t="array" ref="BK255">IF(Z255=_xlfn.XLOOKUP($B255,VmSpecs[[#All],[VM Name]],VmSpecs[[#All],[Data Disk1 Name]],"Failed",0,1),"Pass","Fail")</f>
        <v>Fail</v>
      </c>
      <c r="BL255" t="str" cm="1">
        <f t="array" ref="BL255">IF(AA255=_xlfn.XLOOKUP($B255,VmSpecs[[#All],[VM Name]],VmSpecs[[#All],[Data Disk1 Size]],"Failed",0,1),"Pass","Fail")</f>
        <v>Fail</v>
      </c>
      <c r="BM255" t="str" cm="1">
        <f t="array" ref="BM255">IF(LEFT(AC255,4)=LEFT(_xlfn.XLOOKUP($B255,VmSpecs[[#All],[VM Name]],VmSpecs[[#All],[Data Disk1 Type]],"Failed",0,1),4),"Pass","Fail")</f>
        <v>Fail</v>
      </c>
      <c r="BO255" t="e">
        <f>VLOOKUP('VM Specs'!K255,'As Built'!B:B,1,FALSE)</f>
        <v>#N/A</v>
      </c>
      <c r="BP255" t="str">
        <f>IF(ISNA(Table613[[#This Row],[VM Build Sheet Check]]),'VM Specs'!K255,"")</f>
        <v>vmpfbpf2ohb01</v>
      </c>
    </row>
    <row r="256" spans="1:68" ht="33" customHeight="1" x14ac:dyDescent="0.35">
      <c r="A256" t="str">
        <f>IF(COUNTIF(AsBuilt[[#This Row],[VM Check]:[Data Disk 1 Type Check]],"Fail")&gt;0,"Fail","Pass")</f>
        <v>Fail</v>
      </c>
      <c r="B256" t="s">
        <v>2554</v>
      </c>
      <c r="C256" t="s">
        <v>754</v>
      </c>
      <c r="D256" t="s">
        <v>2100</v>
      </c>
      <c r="E256" t="s">
        <v>756</v>
      </c>
      <c r="F256" t="s">
        <v>757</v>
      </c>
      <c r="G256" t="s">
        <v>758</v>
      </c>
      <c r="H256" t="s">
        <v>2547</v>
      </c>
      <c r="J256" t="s">
        <v>760</v>
      </c>
      <c r="K256" t="s">
        <v>2102</v>
      </c>
      <c r="L256" t="s">
        <v>754</v>
      </c>
      <c r="M256" t="s">
        <v>2555</v>
      </c>
      <c r="N256" t="s">
        <v>2104</v>
      </c>
      <c r="O256" t="s">
        <v>2105</v>
      </c>
      <c r="P256" t="s">
        <v>63</v>
      </c>
      <c r="R256" t="s">
        <v>2556</v>
      </c>
      <c r="S256" t="s">
        <v>754</v>
      </c>
      <c r="U256" t="s">
        <v>2557</v>
      </c>
      <c r="V256" t="s">
        <v>767</v>
      </c>
      <c r="W256">
        <v>64</v>
      </c>
      <c r="X256" t="s">
        <v>768</v>
      </c>
      <c r="Y256">
        <v>2</v>
      </c>
      <c r="Z256" t="s">
        <v>2558</v>
      </c>
      <c r="AA256">
        <v>8</v>
      </c>
      <c r="AB256" t="s">
        <v>770</v>
      </c>
      <c r="AC256" t="s">
        <v>768</v>
      </c>
      <c r="AD256" t="s">
        <v>2559</v>
      </c>
      <c r="AE256">
        <v>32</v>
      </c>
      <c r="AF256" t="s">
        <v>770</v>
      </c>
      <c r="AG256" t="s">
        <v>768</v>
      </c>
      <c r="AT256" t="s">
        <v>772</v>
      </c>
      <c r="AU256" t="s">
        <v>2553</v>
      </c>
      <c r="AV256" t="str" cm="1">
        <f t="array" ref="AV256">IF(B256=_xlfn.XLOOKUP(B256,VmSpecs[[#All],[VM Name]],VmSpecs[[#All],[VM Name]],"Failed",0,1),"Pass","Fail")</f>
        <v>Fail</v>
      </c>
      <c r="AW256" t="str" cm="1">
        <f t="array" ref="AW256">IF(D256=_xlfn.XLOOKUP($B256,VmSpecs[[#All],[VM Name]],VmSpecs[[#All],[Virtual Machine Resource Groups]],"Failed",0,1),"Pass","Fail")</f>
        <v>Fail</v>
      </c>
      <c r="AX256" t="str" cm="1">
        <f t="array" ref="AX256">IF(_xlfn.IFS(E256="australiacentral","Australia Central 1",E256="australiaeast","Australia East",E256="australiasoutheast","Australia SouthEast")=_xlfn.XLOOKUP($B256,VmSpecs[[#All],[VM Name]],VmSpecs[[#All],[Region]],"Failed",0,1),"Pass","Fail")</f>
        <v>Fail</v>
      </c>
      <c r="AY256" t="str" cm="1">
        <f t="array" ref="AY256">IF(F256=_xlfn.XLOOKUP($B256,VmSpecs[[#All],[VM Name]],VmSpecs[[#All],[Instance size]],"Failed",0,1),"Pass","Fail")</f>
        <v>Fail</v>
      </c>
      <c r="AZ256" t="str" cm="1">
        <f t="array" ref="AZ256">IF(LOWER(H256)=_xlfn.XLOOKUP($B256,VmSpecs[[#All],[VM Name]],VmSpecs[[#All],[Availability Set Name]],"Failed",0,1),"Pass","Fail")</f>
        <v>Fail</v>
      </c>
      <c r="BA256" t="str" cm="1">
        <f t="array" ref="BA256">IF(J256=_xlfn.XLOOKUP($B256,VmSpecs[[#All],[VM Name]],VmSpecs[[#All],[Virtual Network]],"Failed",0,1),"Pass","Fail")</f>
        <v>Fail</v>
      </c>
      <c r="BB256" t="str" cm="1">
        <f t="array" ref="BB256">IF(K256=_xlfn.XLOOKUP($B256,VmSpecs[[#All],[VM Name]],VmSpecs[[#All],[Subnet]],"Failed",0,1),"Pass","Fail")</f>
        <v>Fail</v>
      </c>
      <c r="BC256" t="str" cm="1">
        <f t="array" ref="BC256">IF(M256=_xlfn.XLOOKUP($B256,VmSpecs[[#All],[VM Name]],VmSpecs[[#All],[IP]],"Failed",0,1),"Pass","Fail")</f>
        <v>Fail</v>
      </c>
      <c r="BD256" t="str" cm="1">
        <f t="array" ref="BD256">IF(N256=_xlfn.XLOOKUP($B256,VmSpecs[[#All],[VM Name]],VmSpecs[[#All],[Network Security Group]],"Failed",0,1),"Pass","Fail")</f>
        <v>Fail</v>
      </c>
      <c r="BE256" t="str" cm="1">
        <f t="array" ref="BE256">IF(O256=_xlfn.XLOOKUP($B256,VmSpecs[[#All],[VM Name]],VmSpecs[[#All],[Route Table Name]],"Failed",0,1),"Pass","Fail")</f>
        <v>Fail</v>
      </c>
      <c r="BF256" t="str" cm="1">
        <f t="array" ref="BF256">IF(P256=_xlfn.XLOOKUP($B256,VmSpecs[[#All],[VM Name]],VmSpecs[[#All],[Operating System]],"Failed",0,1),"Pass","Fail")</f>
        <v>Fail</v>
      </c>
      <c r="BG256" t="str" cm="1">
        <f t="array" ref="BG256">IF(R256=_xlfn.XLOOKUP($B256,VmSpecs[[#All],[VM Name]],VmSpecs[[#All],[NIC name]],"Failed",0,1),"Pass","Fail")</f>
        <v>Fail</v>
      </c>
      <c r="BH256" t="str" cm="1">
        <f t="array" ref="BH256">IF(U256=_xlfn.XLOOKUP($B256,VmSpecs[[#All],[VM Name]],VmSpecs[[#All],[OS Disk Name]],"Failed",0,1),"Pass","Fail")</f>
        <v>Fail</v>
      </c>
      <c r="BI256" t="str" cm="1">
        <f t="array" ref="BI256">IF(W256=_xlfn.XLOOKUP($B256,VmSpecs[[#All],[VM Name]],VmSpecs[[#All],[OS Disk Size]],"Failed",0,1),"Pass","Fail")</f>
        <v>Fail</v>
      </c>
      <c r="BJ256" t="str" cm="1">
        <f t="array" ref="BJ256">IF(LEFT(X256,4)=LEFT(_xlfn.XLOOKUP($B256,VmSpecs[[#All],[VM Name]],VmSpecs[[#All],[OS Disk Type (Standard SSD etc)]],"Failed",0,1),4),"Pass","Fail")</f>
        <v>Fail</v>
      </c>
      <c r="BK256" t="str" cm="1">
        <f t="array" ref="BK256">IF(Z256=_xlfn.XLOOKUP($B256,VmSpecs[[#All],[VM Name]],VmSpecs[[#All],[Data Disk1 Name]],"Failed",0,1),"Pass","Fail")</f>
        <v>Fail</v>
      </c>
      <c r="BL256" t="str" cm="1">
        <f t="array" ref="BL256">IF(AA256=_xlfn.XLOOKUP($B256,VmSpecs[[#All],[VM Name]],VmSpecs[[#All],[Data Disk1 Size]],"Failed",0,1),"Pass","Fail")</f>
        <v>Fail</v>
      </c>
      <c r="BM256" t="str" cm="1">
        <f t="array" ref="BM256">IF(LEFT(AC256,4)=LEFT(_xlfn.XLOOKUP($B256,VmSpecs[[#All],[VM Name]],VmSpecs[[#All],[Data Disk1 Type]],"Failed",0,1),4),"Pass","Fail")</f>
        <v>Fail</v>
      </c>
      <c r="BO256" t="e">
        <f>VLOOKUP('VM Specs'!K256,'As Built'!B:B,1,FALSE)</f>
        <v>#N/A</v>
      </c>
      <c r="BP256" t="str">
        <f>IF(ISNA(Table613[[#This Row],[VM Build Sheet Check]]),'VM Specs'!K256,"")</f>
        <v>vmpfbpf2ohb02</v>
      </c>
    </row>
    <row r="257" spans="1:68" ht="33" customHeight="1" x14ac:dyDescent="0.35">
      <c r="A257" t="str">
        <f>IF(COUNTIF(AsBuilt[[#This Row],[VM Check]:[Data Disk 1 Type Check]],"Fail")&gt;0,"Fail","Pass")</f>
        <v>Fail</v>
      </c>
      <c r="B257" t="s">
        <v>2560</v>
      </c>
      <c r="C257" t="s">
        <v>754</v>
      </c>
      <c r="D257" t="s">
        <v>2100</v>
      </c>
      <c r="E257" t="s">
        <v>756</v>
      </c>
      <c r="F257" t="s">
        <v>757</v>
      </c>
      <c r="G257" t="s">
        <v>758</v>
      </c>
      <c r="H257" t="s">
        <v>2547</v>
      </c>
      <c r="J257" t="s">
        <v>760</v>
      </c>
      <c r="K257" t="s">
        <v>2102</v>
      </c>
      <c r="L257" t="s">
        <v>754</v>
      </c>
      <c r="M257" t="s">
        <v>2561</v>
      </c>
      <c r="N257" t="s">
        <v>2104</v>
      </c>
      <c r="O257" t="s">
        <v>2105</v>
      </c>
      <c r="P257" t="s">
        <v>63</v>
      </c>
      <c r="R257" t="s">
        <v>2562</v>
      </c>
      <c r="S257" t="s">
        <v>754</v>
      </c>
      <c r="U257" t="s">
        <v>2563</v>
      </c>
      <c r="V257" t="s">
        <v>767</v>
      </c>
      <c r="W257">
        <v>64</v>
      </c>
      <c r="X257" t="s">
        <v>768</v>
      </c>
      <c r="Y257">
        <v>2</v>
      </c>
      <c r="Z257" t="s">
        <v>2564</v>
      </c>
      <c r="AA257">
        <v>8</v>
      </c>
      <c r="AB257" t="s">
        <v>770</v>
      </c>
      <c r="AC257" t="s">
        <v>768</v>
      </c>
      <c r="AD257" t="s">
        <v>2565</v>
      </c>
      <c r="AE257">
        <v>32</v>
      </c>
      <c r="AF257" t="s">
        <v>770</v>
      </c>
      <c r="AG257" t="s">
        <v>768</v>
      </c>
      <c r="AT257" t="s">
        <v>772</v>
      </c>
      <c r="AU257" t="s">
        <v>2553</v>
      </c>
      <c r="AV257" t="str" cm="1">
        <f t="array" ref="AV257">IF(B257=_xlfn.XLOOKUP(B257,VmSpecs[[#All],[VM Name]],VmSpecs[[#All],[VM Name]],"Failed",0,1),"Pass","Fail")</f>
        <v>Fail</v>
      </c>
      <c r="AW257" t="str" cm="1">
        <f t="array" ref="AW257">IF(D257=_xlfn.XLOOKUP($B257,VmSpecs[[#All],[VM Name]],VmSpecs[[#All],[Virtual Machine Resource Groups]],"Failed",0,1),"Pass","Fail")</f>
        <v>Fail</v>
      </c>
      <c r="AX257" t="str" cm="1">
        <f t="array" ref="AX257">IF(_xlfn.IFS(E257="australiacentral","Australia Central 1",E257="australiaeast","Australia East",E257="australiasoutheast","Australia SouthEast")=_xlfn.XLOOKUP($B257,VmSpecs[[#All],[VM Name]],VmSpecs[[#All],[Region]],"Failed",0,1),"Pass","Fail")</f>
        <v>Fail</v>
      </c>
      <c r="AY257" t="str" cm="1">
        <f t="array" ref="AY257">IF(F257=_xlfn.XLOOKUP($B257,VmSpecs[[#All],[VM Name]],VmSpecs[[#All],[Instance size]],"Failed",0,1),"Pass","Fail")</f>
        <v>Fail</v>
      </c>
      <c r="AZ257" t="str" cm="1">
        <f t="array" ref="AZ257">IF(LOWER(H257)=_xlfn.XLOOKUP($B257,VmSpecs[[#All],[VM Name]],VmSpecs[[#All],[Availability Set Name]],"Failed",0,1),"Pass","Fail")</f>
        <v>Fail</v>
      </c>
      <c r="BA257" t="str" cm="1">
        <f t="array" ref="BA257">IF(J257=_xlfn.XLOOKUP($B257,VmSpecs[[#All],[VM Name]],VmSpecs[[#All],[Virtual Network]],"Failed",0,1),"Pass","Fail")</f>
        <v>Fail</v>
      </c>
      <c r="BB257" t="str" cm="1">
        <f t="array" ref="BB257">IF(K257=_xlfn.XLOOKUP($B257,VmSpecs[[#All],[VM Name]],VmSpecs[[#All],[Subnet]],"Failed",0,1),"Pass","Fail")</f>
        <v>Fail</v>
      </c>
      <c r="BC257" t="str" cm="1">
        <f t="array" ref="BC257">IF(M257=_xlfn.XLOOKUP($B257,VmSpecs[[#All],[VM Name]],VmSpecs[[#All],[IP]],"Failed",0,1),"Pass","Fail")</f>
        <v>Fail</v>
      </c>
      <c r="BD257" t="str" cm="1">
        <f t="array" ref="BD257">IF(N257=_xlfn.XLOOKUP($B257,VmSpecs[[#All],[VM Name]],VmSpecs[[#All],[Network Security Group]],"Failed",0,1),"Pass","Fail")</f>
        <v>Fail</v>
      </c>
      <c r="BE257" t="str" cm="1">
        <f t="array" ref="BE257">IF(O257=_xlfn.XLOOKUP($B257,VmSpecs[[#All],[VM Name]],VmSpecs[[#All],[Route Table Name]],"Failed",0,1),"Pass","Fail")</f>
        <v>Fail</v>
      </c>
      <c r="BF257" t="str" cm="1">
        <f t="array" ref="BF257">IF(P257=_xlfn.XLOOKUP($B257,VmSpecs[[#All],[VM Name]],VmSpecs[[#All],[Operating System]],"Failed",0,1),"Pass","Fail")</f>
        <v>Fail</v>
      </c>
      <c r="BG257" t="str" cm="1">
        <f t="array" ref="BG257">IF(R257=_xlfn.XLOOKUP($B257,VmSpecs[[#All],[VM Name]],VmSpecs[[#All],[NIC name]],"Failed",0,1),"Pass","Fail")</f>
        <v>Fail</v>
      </c>
      <c r="BH257" t="str" cm="1">
        <f t="array" ref="BH257">IF(U257=_xlfn.XLOOKUP($B257,VmSpecs[[#All],[VM Name]],VmSpecs[[#All],[OS Disk Name]],"Failed",0,1),"Pass","Fail")</f>
        <v>Fail</v>
      </c>
      <c r="BI257" t="str" cm="1">
        <f t="array" ref="BI257">IF(W257=_xlfn.XLOOKUP($B257,VmSpecs[[#All],[VM Name]],VmSpecs[[#All],[OS Disk Size]],"Failed",0,1),"Pass","Fail")</f>
        <v>Fail</v>
      </c>
      <c r="BJ257" t="str" cm="1">
        <f t="array" ref="BJ257">IF(LEFT(X257,4)=LEFT(_xlfn.XLOOKUP($B257,VmSpecs[[#All],[VM Name]],VmSpecs[[#All],[OS Disk Type (Standard SSD etc)]],"Failed",0,1),4),"Pass","Fail")</f>
        <v>Fail</v>
      </c>
      <c r="BK257" t="str" cm="1">
        <f t="array" ref="BK257">IF(Z257=_xlfn.XLOOKUP($B257,VmSpecs[[#All],[VM Name]],VmSpecs[[#All],[Data Disk1 Name]],"Failed",0,1),"Pass","Fail")</f>
        <v>Fail</v>
      </c>
      <c r="BL257" t="str" cm="1">
        <f t="array" ref="BL257">IF(AA257=_xlfn.XLOOKUP($B257,VmSpecs[[#All],[VM Name]],VmSpecs[[#All],[Data Disk1 Size]],"Failed",0,1),"Pass","Fail")</f>
        <v>Fail</v>
      </c>
      <c r="BM257" t="str" cm="1">
        <f t="array" ref="BM257">IF(LEFT(AC257,4)=LEFT(_xlfn.XLOOKUP($B257,VmSpecs[[#All],[VM Name]],VmSpecs[[#All],[Data Disk1 Type]],"Failed",0,1),4),"Pass","Fail")</f>
        <v>Fail</v>
      </c>
      <c r="BO257" t="e">
        <f>VLOOKUP('VM Specs'!K257,'As Built'!B:B,1,FALSE)</f>
        <v>#N/A</v>
      </c>
      <c r="BP257" t="str">
        <f>IF(ISNA(Table613[[#This Row],[VM Build Sheet Check]]),'VM Specs'!K257,"")</f>
        <v>vmpfbpf2ohb03</v>
      </c>
    </row>
    <row r="258" spans="1:68" ht="33" customHeight="1" x14ac:dyDescent="0.35">
      <c r="A258" t="str">
        <f>IF(COUNTIF(AsBuilt[[#This Row],[VM Check]:[Data Disk 1 Type Check]],"Fail")&gt;0,"Fail","Pass")</f>
        <v>Fail</v>
      </c>
      <c r="B258" t="s">
        <v>2566</v>
      </c>
      <c r="C258" t="s">
        <v>754</v>
      </c>
      <c r="D258" t="s">
        <v>2100</v>
      </c>
      <c r="E258" t="s">
        <v>756</v>
      </c>
      <c r="F258" t="s">
        <v>757</v>
      </c>
      <c r="G258" t="s">
        <v>758</v>
      </c>
      <c r="H258" t="s">
        <v>2547</v>
      </c>
      <c r="J258" t="s">
        <v>760</v>
      </c>
      <c r="K258" t="s">
        <v>2102</v>
      </c>
      <c r="L258" t="s">
        <v>754</v>
      </c>
      <c r="M258" t="s">
        <v>2567</v>
      </c>
      <c r="N258" t="s">
        <v>2104</v>
      </c>
      <c r="O258" t="s">
        <v>2105</v>
      </c>
      <c r="P258" t="s">
        <v>63</v>
      </c>
      <c r="R258" t="s">
        <v>2568</v>
      </c>
      <c r="S258" t="s">
        <v>754</v>
      </c>
      <c r="U258" t="s">
        <v>2569</v>
      </c>
      <c r="V258" t="s">
        <v>767</v>
      </c>
      <c r="W258">
        <v>64</v>
      </c>
      <c r="X258" t="s">
        <v>768</v>
      </c>
      <c r="Y258">
        <v>2</v>
      </c>
      <c r="Z258" t="s">
        <v>2570</v>
      </c>
      <c r="AA258">
        <v>8</v>
      </c>
      <c r="AB258" t="s">
        <v>770</v>
      </c>
      <c r="AC258" t="s">
        <v>768</v>
      </c>
      <c r="AD258" t="s">
        <v>2571</v>
      </c>
      <c r="AE258">
        <v>32</v>
      </c>
      <c r="AF258" t="s">
        <v>770</v>
      </c>
      <c r="AG258" t="s">
        <v>768</v>
      </c>
      <c r="AT258" t="s">
        <v>772</v>
      </c>
      <c r="AU258" t="s">
        <v>2553</v>
      </c>
      <c r="AV258" t="str" cm="1">
        <f t="array" ref="AV258">IF(B258=_xlfn.XLOOKUP(B258,VmSpecs[[#All],[VM Name]],VmSpecs[[#All],[VM Name]],"Failed",0,1),"Pass","Fail")</f>
        <v>Fail</v>
      </c>
      <c r="AW258" t="str" cm="1">
        <f t="array" ref="AW258">IF(D258=_xlfn.XLOOKUP($B258,VmSpecs[[#All],[VM Name]],VmSpecs[[#All],[Virtual Machine Resource Groups]],"Failed",0,1),"Pass","Fail")</f>
        <v>Fail</v>
      </c>
      <c r="AX258" t="str" cm="1">
        <f t="array" ref="AX258">IF(_xlfn.IFS(E258="australiacentral","Australia Central 1",E258="australiaeast","Australia East",E258="australiasoutheast","Australia SouthEast")=_xlfn.XLOOKUP($B258,VmSpecs[[#All],[VM Name]],VmSpecs[[#All],[Region]],"Failed",0,1),"Pass","Fail")</f>
        <v>Fail</v>
      </c>
      <c r="AY258" t="str" cm="1">
        <f t="array" ref="AY258">IF(F258=_xlfn.XLOOKUP($B258,VmSpecs[[#All],[VM Name]],VmSpecs[[#All],[Instance size]],"Failed",0,1),"Pass","Fail")</f>
        <v>Fail</v>
      </c>
      <c r="AZ258" t="str" cm="1">
        <f t="array" ref="AZ258">IF(LOWER(H258)=_xlfn.XLOOKUP($B258,VmSpecs[[#All],[VM Name]],VmSpecs[[#All],[Availability Set Name]],"Failed",0,1),"Pass","Fail")</f>
        <v>Fail</v>
      </c>
      <c r="BA258" t="str" cm="1">
        <f t="array" ref="BA258">IF(J258=_xlfn.XLOOKUP($B258,VmSpecs[[#All],[VM Name]],VmSpecs[[#All],[Virtual Network]],"Failed",0,1),"Pass","Fail")</f>
        <v>Fail</v>
      </c>
      <c r="BB258" t="str" cm="1">
        <f t="array" ref="BB258">IF(K258=_xlfn.XLOOKUP($B258,VmSpecs[[#All],[VM Name]],VmSpecs[[#All],[Subnet]],"Failed",0,1),"Pass","Fail")</f>
        <v>Fail</v>
      </c>
      <c r="BC258" t="str" cm="1">
        <f t="array" ref="BC258">IF(M258=_xlfn.XLOOKUP($B258,VmSpecs[[#All],[VM Name]],VmSpecs[[#All],[IP]],"Failed",0,1),"Pass","Fail")</f>
        <v>Fail</v>
      </c>
      <c r="BD258" t="str" cm="1">
        <f t="array" ref="BD258">IF(N258=_xlfn.XLOOKUP($B258,VmSpecs[[#All],[VM Name]],VmSpecs[[#All],[Network Security Group]],"Failed",0,1),"Pass","Fail")</f>
        <v>Fail</v>
      </c>
      <c r="BE258" t="str" cm="1">
        <f t="array" ref="BE258">IF(O258=_xlfn.XLOOKUP($B258,VmSpecs[[#All],[VM Name]],VmSpecs[[#All],[Route Table Name]],"Failed",0,1),"Pass","Fail")</f>
        <v>Fail</v>
      </c>
      <c r="BF258" t="str" cm="1">
        <f t="array" ref="BF258">IF(P258=_xlfn.XLOOKUP($B258,VmSpecs[[#All],[VM Name]],VmSpecs[[#All],[Operating System]],"Failed",0,1),"Pass","Fail")</f>
        <v>Fail</v>
      </c>
      <c r="BG258" t="str" cm="1">
        <f t="array" ref="BG258">IF(R258=_xlfn.XLOOKUP($B258,VmSpecs[[#All],[VM Name]],VmSpecs[[#All],[NIC name]],"Failed",0,1),"Pass","Fail")</f>
        <v>Fail</v>
      </c>
      <c r="BH258" t="str" cm="1">
        <f t="array" ref="BH258">IF(U258=_xlfn.XLOOKUP($B258,VmSpecs[[#All],[VM Name]],VmSpecs[[#All],[OS Disk Name]],"Failed",0,1),"Pass","Fail")</f>
        <v>Fail</v>
      </c>
      <c r="BI258" t="str" cm="1">
        <f t="array" ref="BI258">IF(W258=_xlfn.XLOOKUP($B258,VmSpecs[[#All],[VM Name]],VmSpecs[[#All],[OS Disk Size]],"Failed",0,1),"Pass","Fail")</f>
        <v>Fail</v>
      </c>
      <c r="BJ258" t="str" cm="1">
        <f t="array" ref="BJ258">IF(LEFT(X258,4)=LEFT(_xlfn.XLOOKUP($B258,VmSpecs[[#All],[VM Name]],VmSpecs[[#All],[OS Disk Type (Standard SSD etc)]],"Failed",0,1),4),"Pass","Fail")</f>
        <v>Fail</v>
      </c>
      <c r="BK258" t="str" cm="1">
        <f t="array" ref="BK258">IF(Z258=_xlfn.XLOOKUP($B258,VmSpecs[[#All],[VM Name]],VmSpecs[[#All],[Data Disk1 Name]],"Failed",0,1),"Pass","Fail")</f>
        <v>Fail</v>
      </c>
      <c r="BL258" t="str" cm="1">
        <f t="array" ref="BL258">IF(AA258=_xlfn.XLOOKUP($B258,VmSpecs[[#All],[VM Name]],VmSpecs[[#All],[Data Disk1 Size]],"Failed",0,1),"Pass","Fail")</f>
        <v>Fail</v>
      </c>
      <c r="BM258" t="str" cm="1">
        <f t="array" ref="BM258">IF(LEFT(AC258,4)=LEFT(_xlfn.XLOOKUP($B258,VmSpecs[[#All],[VM Name]],VmSpecs[[#All],[Data Disk1 Type]],"Failed",0,1),4),"Pass","Fail")</f>
        <v>Fail</v>
      </c>
      <c r="BO258" t="e">
        <f>VLOOKUP('VM Specs'!K258,'As Built'!B:B,1,FALSE)</f>
        <v>#N/A</v>
      </c>
      <c r="BP258" t="str">
        <f>IF(ISNA(Table613[[#This Row],[VM Build Sheet Check]]),'VM Specs'!K258,"")</f>
        <v>vmpfbpf2ohb04</v>
      </c>
    </row>
    <row r="259" spans="1:68" ht="33" customHeight="1" x14ac:dyDescent="0.35">
      <c r="A259" t="str">
        <f>IF(COUNTIF(AsBuilt[[#This Row],[VM Check]:[Data Disk 1 Type Check]],"Fail")&gt;0,"Fail","Pass")</f>
        <v>Fail</v>
      </c>
      <c r="B259" t="s">
        <v>2572</v>
      </c>
      <c r="C259" t="s">
        <v>754</v>
      </c>
      <c r="D259" t="s">
        <v>2100</v>
      </c>
      <c r="E259" t="s">
        <v>756</v>
      </c>
      <c r="F259" t="s">
        <v>757</v>
      </c>
      <c r="G259" t="s">
        <v>758</v>
      </c>
      <c r="H259" t="s">
        <v>2547</v>
      </c>
      <c r="J259" t="s">
        <v>760</v>
      </c>
      <c r="K259" t="s">
        <v>2102</v>
      </c>
      <c r="L259" t="s">
        <v>754</v>
      </c>
      <c r="M259" t="s">
        <v>2573</v>
      </c>
      <c r="N259" t="s">
        <v>2104</v>
      </c>
      <c r="O259" t="s">
        <v>2105</v>
      </c>
      <c r="P259" t="s">
        <v>63</v>
      </c>
      <c r="R259" t="s">
        <v>2574</v>
      </c>
      <c r="S259" t="s">
        <v>754</v>
      </c>
      <c r="U259" t="s">
        <v>2575</v>
      </c>
      <c r="V259" t="s">
        <v>767</v>
      </c>
      <c r="W259">
        <v>64</v>
      </c>
      <c r="X259" t="s">
        <v>768</v>
      </c>
      <c r="Y259">
        <v>2</v>
      </c>
      <c r="Z259" t="s">
        <v>2576</v>
      </c>
      <c r="AA259">
        <v>8</v>
      </c>
      <c r="AB259" t="s">
        <v>770</v>
      </c>
      <c r="AC259" t="s">
        <v>768</v>
      </c>
      <c r="AD259" t="s">
        <v>2577</v>
      </c>
      <c r="AE259">
        <v>32</v>
      </c>
      <c r="AF259" t="s">
        <v>770</v>
      </c>
      <c r="AG259" t="s">
        <v>768</v>
      </c>
      <c r="AT259" t="s">
        <v>772</v>
      </c>
      <c r="AU259" t="s">
        <v>2553</v>
      </c>
      <c r="AV259" t="str" cm="1">
        <f t="array" ref="AV259">IF(B259=_xlfn.XLOOKUP(B259,VmSpecs[[#All],[VM Name]],VmSpecs[[#All],[VM Name]],"Failed",0,1),"Pass","Fail")</f>
        <v>Fail</v>
      </c>
      <c r="AW259" t="str" cm="1">
        <f t="array" ref="AW259">IF(D259=_xlfn.XLOOKUP($B259,VmSpecs[[#All],[VM Name]],VmSpecs[[#All],[Virtual Machine Resource Groups]],"Failed",0,1),"Pass","Fail")</f>
        <v>Fail</v>
      </c>
      <c r="AX259" t="str" cm="1">
        <f t="array" ref="AX259">IF(_xlfn.IFS(E259="australiacentral","Australia Central 1",E259="australiaeast","Australia East",E259="australiasoutheast","Australia SouthEast")=_xlfn.XLOOKUP($B259,VmSpecs[[#All],[VM Name]],VmSpecs[[#All],[Region]],"Failed",0,1),"Pass","Fail")</f>
        <v>Fail</v>
      </c>
      <c r="AY259" t="str" cm="1">
        <f t="array" ref="AY259">IF(F259=_xlfn.XLOOKUP($B259,VmSpecs[[#All],[VM Name]],VmSpecs[[#All],[Instance size]],"Failed",0,1),"Pass","Fail")</f>
        <v>Fail</v>
      </c>
      <c r="AZ259" t="str" cm="1">
        <f t="array" ref="AZ259">IF(LOWER(H259)=_xlfn.XLOOKUP($B259,VmSpecs[[#All],[VM Name]],VmSpecs[[#All],[Availability Set Name]],"Failed",0,1),"Pass","Fail")</f>
        <v>Fail</v>
      </c>
      <c r="BA259" t="str" cm="1">
        <f t="array" ref="BA259">IF(J259=_xlfn.XLOOKUP($B259,VmSpecs[[#All],[VM Name]],VmSpecs[[#All],[Virtual Network]],"Failed",0,1),"Pass","Fail")</f>
        <v>Fail</v>
      </c>
      <c r="BB259" t="str" cm="1">
        <f t="array" ref="BB259">IF(K259=_xlfn.XLOOKUP($B259,VmSpecs[[#All],[VM Name]],VmSpecs[[#All],[Subnet]],"Failed",0,1),"Pass","Fail")</f>
        <v>Fail</v>
      </c>
      <c r="BC259" t="str" cm="1">
        <f t="array" ref="BC259">IF(M259=_xlfn.XLOOKUP($B259,VmSpecs[[#All],[VM Name]],VmSpecs[[#All],[IP]],"Failed",0,1),"Pass","Fail")</f>
        <v>Fail</v>
      </c>
      <c r="BD259" t="str" cm="1">
        <f t="array" ref="BD259">IF(N259=_xlfn.XLOOKUP($B259,VmSpecs[[#All],[VM Name]],VmSpecs[[#All],[Network Security Group]],"Failed",0,1),"Pass","Fail")</f>
        <v>Fail</v>
      </c>
      <c r="BE259" t="str" cm="1">
        <f t="array" ref="BE259">IF(O259=_xlfn.XLOOKUP($B259,VmSpecs[[#All],[VM Name]],VmSpecs[[#All],[Route Table Name]],"Failed",0,1),"Pass","Fail")</f>
        <v>Fail</v>
      </c>
      <c r="BF259" t="str" cm="1">
        <f t="array" ref="BF259">IF(P259=_xlfn.XLOOKUP($B259,VmSpecs[[#All],[VM Name]],VmSpecs[[#All],[Operating System]],"Failed",0,1),"Pass","Fail")</f>
        <v>Fail</v>
      </c>
      <c r="BG259" t="str" cm="1">
        <f t="array" ref="BG259">IF(R259=_xlfn.XLOOKUP($B259,VmSpecs[[#All],[VM Name]],VmSpecs[[#All],[NIC name]],"Failed",0,1),"Pass","Fail")</f>
        <v>Fail</v>
      </c>
      <c r="BH259" t="str" cm="1">
        <f t="array" ref="BH259">IF(U259=_xlfn.XLOOKUP($B259,VmSpecs[[#All],[VM Name]],VmSpecs[[#All],[OS Disk Name]],"Failed",0,1),"Pass","Fail")</f>
        <v>Fail</v>
      </c>
      <c r="BI259" t="str" cm="1">
        <f t="array" ref="BI259">IF(W259=_xlfn.XLOOKUP($B259,VmSpecs[[#All],[VM Name]],VmSpecs[[#All],[OS Disk Size]],"Failed",0,1),"Pass","Fail")</f>
        <v>Fail</v>
      </c>
      <c r="BJ259" t="str" cm="1">
        <f t="array" ref="BJ259">IF(LEFT(X259,4)=LEFT(_xlfn.XLOOKUP($B259,VmSpecs[[#All],[VM Name]],VmSpecs[[#All],[OS Disk Type (Standard SSD etc)]],"Failed",0,1),4),"Pass","Fail")</f>
        <v>Fail</v>
      </c>
      <c r="BK259" t="str" cm="1">
        <f t="array" ref="BK259">IF(Z259=_xlfn.XLOOKUP($B259,VmSpecs[[#All],[VM Name]],VmSpecs[[#All],[Data Disk1 Name]],"Failed",0,1),"Pass","Fail")</f>
        <v>Fail</v>
      </c>
      <c r="BL259" t="str" cm="1">
        <f t="array" ref="BL259">IF(AA259=_xlfn.XLOOKUP($B259,VmSpecs[[#All],[VM Name]],VmSpecs[[#All],[Data Disk1 Size]],"Failed",0,1),"Pass","Fail")</f>
        <v>Fail</v>
      </c>
      <c r="BM259" t="str" cm="1">
        <f t="array" ref="BM259">IF(LEFT(AC259,4)=LEFT(_xlfn.XLOOKUP($B259,VmSpecs[[#All],[VM Name]],VmSpecs[[#All],[Data Disk1 Type]],"Failed",0,1),4),"Pass","Fail")</f>
        <v>Fail</v>
      </c>
      <c r="BO259" t="e">
        <f>VLOOKUP('VM Specs'!K259,'As Built'!B:B,1,FALSE)</f>
        <v>#N/A</v>
      </c>
      <c r="BP259" t="str">
        <f>IF(ISNA(Table613[[#This Row],[VM Build Sheet Check]]),'VM Specs'!K259,"")</f>
        <v>vmpfbpf2ohb05</v>
      </c>
    </row>
    <row r="260" spans="1:68" ht="33" customHeight="1" x14ac:dyDescent="0.35">
      <c r="A260" t="str">
        <f>IF(COUNTIF(AsBuilt[[#This Row],[VM Check]:[Data Disk 1 Type Check]],"Fail")&gt;0,"Fail","Pass")</f>
        <v>Fail</v>
      </c>
      <c r="B260" t="s">
        <v>2578</v>
      </c>
      <c r="C260" t="s">
        <v>754</v>
      </c>
      <c r="D260" t="s">
        <v>2100</v>
      </c>
      <c r="E260" t="s">
        <v>756</v>
      </c>
      <c r="F260" t="s">
        <v>757</v>
      </c>
      <c r="G260" t="s">
        <v>758</v>
      </c>
      <c r="H260" t="s">
        <v>2547</v>
      </c>
      <c r="J260" t="s">
        <v>760</v>
      </c>
      <c r="K260" t="s">
        <v>2102</v>
      </c>
      <c r="L260" t="s">
        <v>754</v>
      </c>
      <c r="M260" t="s">
        <v>2579</v>
      </c>
      <c r="N260" t="s">
        <v>2104</v>
      </c>
      <c r="O260" t="s">
        <v>2105</v>
      </c>
      <c r="P260" t="s">
        <v>63</v>
      </c>
      <c r="R260" t="s">
        <v>2580</v>
      </c>
      <c r="S260" t="s">
        <v>754</v>
      </c>
      <c r="U260" t="s">
        <v>2581</v>
      </c>
      <c r="V260" t="s">
        <v>767</v>
      </c>
      <c r="W260">
        <v>64</v>
      </c>
      <c r="X260" t="s">
        <v>768</v>
      </c>
      <c r="Y260">
        <v>2</v>
      </c>
      <c r="Z260" t="s">
        <v>2582</v>
      </c>
      <c r="AA260">
        <v>8</v>
      </c>
      <c r="AB260" t="s">
        <v>770</v>
      </c>
      <c r="AC260" t="s">
        <v>768</v>
      </c>
      <c r="AD260" t="s">
        <v>2583</v>
      </c>
      <c r="AE260">
        <v>32</v>
      </c>
      <c r="AF260" t="s">
        <v>770</v>
      </c>
      <c r="AG260" t="s">
        <v>768</v>
      </c>
      <c r="AT260" t="s">
        <v>772</v>
      </c>
      <c r="AU260" t="s">
        <v>2553</v>
      </c>
      <c r="AV260" t="str" cm="1">
        <f t="array" ref="AV260">IF(B260=_xlfn.XLOOKUP(B260,VmSpecs[[#All],[VM Name]],VmSpecs[[#All],[VM Name]],"Failed",0,1),"Pass","Fail")</f>
        <v>Fail</v>
      </c>
      <c r="AW260" t="str" cm="1">
        <f t="array" ref="AW260">IF(D260=_xlfn.XLOOKUP($B260,VmSpecs[[#All],[VM Name]],VmSpecs[[#All],[Virtual Machine Resource Groups]],"Failed",0,1),"Pass","Fail")</f>
        <v>Fail</v>
      </c>
      <c r="AX260" t="str" cm="1">
        <f t="array" ref="AX260">IF(_xlfn.IFS(E260="australiacentral","Australia Central 1",E260="australiaeast","Australia East",E260="australiasoutheast","Australia SouthEast")=_xlfn.XLOOKUP($B260,VmSpecs[[#All],[VM Name]],VmSpecs[[#All],[Region]],"Failed",0,1),"Pass","Fail")</f>
        <v>Fail</v>
      </c>
      <c r="AY260" t="str" cm="1">
        <f t="array" ref="AY260">IF(F260=_xlfn.XLOOKUP($B260,VmSpecs[[#All],[VM Name]],VmSpecs[[#All],[Instance size]],"Failed",0,1),"Pass","Fail")</f>
        <v>Fail</v>
      </c>
      <c r="AZ260" t="str" cm="1">
        <f t="array" ref="AZ260">IF(LOWER(H260)=_xlfn.XLOOKUP($B260,VmSpecs[[#All],[VM Name]],VmSpecs[[#All],[Availability Set Name]],"Failed",0,1),"Pass","Fail")</f>
        <v>Fail</v>
      </c>
      <c r="BA260" t="str" cm="1">
        <f t="array" ref="BA260">IF(J260=_xlfn.XLOOKUP($B260,VmSpecs[[#All],[VM Name]],VmSpecs[[#All],[Virtual Network]],"Failed",0,1),"Pass","Fail")</f>
        <v>Fail</v>
      </c>
      <c r="BB260" t="str" cm="1">
        <f t="array" ref="BB260">IF(K260=_xlfn.XLOOKUP($B260,VmSpecs[[#All],[VM Name]],VmSpecs[[#All],[Subnet]],"Failed",0,1),"Pass","Fail")</f>
        <v>Fail</v>
      </c>
      <c r="BC260" t="str" cm="1">
        <f t="array" ref="BC260">IF(M260=_xlfn.XLOOKUP($B260,VmSpecs[[#All],[VM Name]],VmSpecs[[#All],[IP]],"Failed",0,1),"Pass","Fail")</f>
        <v>Fail</v>
      </c>
      <c r="BD260" t="str" cm="1">
        <f t="array" ref="BD260">IF(N260=_xlfn.XLOOKUP($B260,VmSpecs[[#All],[VM Name]],VmSpecs[[#All],[Network Security Group]],"Failed",0,1),"Pass","Fail")</f>
        <v>Fail</v>
      </c>
      <c r="BE260" t="str" cm="1">
        <f t="array" ref="BE260">IF(O260=_xlfn.XLOOKUP($B260,VmSpecs[[#All],[VM Name]],VmSpecs[[#All],[Route Table Name]],"Failed",0,1),"Pass","Fail")</f>
        <v>Fail</v>
      </c>
      <c r="BF260" t="str" cm="1">
        <f t="array" ref="BF260">IF(P260=_xlfn.XLOOKUP($B260,VmSpecs[[#All],[VM Name]],VmSpecs[[#All],[Operating System]],"Failed",0,1),"Pass","Fail")</f>
        <v>Fail</v>
      </c>
      <c r="BG260" t="str" cm="1">
        <f t="array" ref="BG260">IF(R260=_xlfn.XLOOKUP($B260,VmSpecs[[#All],[VM Name]],VmSpecs[[#All],[NIC name]],"Failed",0,1),"Pass","Fail")</f>
        <v>Fail</v>
      </c>
      <c r="BH260" t="str" cm="1">
        <f t="array" ref="BH260">IF(U260=_xlfn.XLOOKUP($B260,VmSpecs[[#All],[VM Name]],VmSpecs[[#All],[OS Disk Name]],"Failed",0,1),"Pass","Fail")</f>
        <v>Fail</v>
      </c>
      <c r="BI260" t="str" cm="1">
        <f t="array" ref="BI260">IF(W260=_xlfn.XLOOKUP($B260,VmSpecs[[#All],[VM Name]],VmSpecs[[#All],[OS Disk Size]],"Failed",0,1),"Pass","Fail")</f>
        <v>Fail</v>
      </c>
      <c r="BJ260" t="str" cm="1">
        <f t="array" ref="BJ260">IF(LEFT(X260,4)=LEFT(_xlfn.XLOOKUP($B260,VmSpecs[[#All],[VM Name]],VmSpecs[[#All],[OS Disk Type (Standard SSD etc)]],"Failed",0,1),4),"Pass","Fail")</f>
        <v>Fail</v>
      </c>
      <c r="BK260" t="str" cm="1">
        <f t="array" ref="BK260">IF(Z260=_xlfn.XLOOKUP($B260,VmSpecs[[#All],[VM Name]],VmSpecs[[#All],[Data Disk1 Name]],"Failed",0,1),"Pass","Fail")</f>
        <v>Fail</v>
      </c>
      <c r="BL260" t="str" cm="1">
        <f t="array" ref="BL260">IF(AA260=_xlfn.XLOOKUP($B260,VmSpecs[[#All],[VM Name]],VmSpecs[[#All],[Data Disk1 Size]],"Failed",0,1),"Pass","Fail")</f>
        <v>Fail</v>
      </c>
      <c r="BM260" t="str" cm="1">
        <f t="array" ref="BM260">IF(LEFT(AC260,4)=LEFT(_xlfn.XLOOKUP($B260,VmSpecs[[#All],[VM Name]],VmSpecs[[#All],[Data Disk1 Type]],"Failed",0,1),4),"Pass","Fail")</f>
        <v>Fail</v>
      </c>
      <c r="BO260" t="e">
        <f>VLOOKUP('VM Specs'!K260,'As Built'!B:B,1,FALSE)</f>
        <v>#N/A</v>
      </c>
      <c r="BP260" t="str">
        <f>IF(ISNA(Table613[[#This Row],[VM Build Sheet Check]]),'VM Specs'!K260,"")</f>
        <v>vmpfbpf2ohb06</v>
      </c>
    </row>
    <row r="261" spans="1:68" ht="33" customHeight="1" x14ac:dyDescent="0.35">
      <c r="A261" t="str">
        <f>IF(COUNTIF(AsBuilt[[#This Row],[VM Check]:[Data Disk 1 Type Check]],"Fail")&gt;0,"Fail","Pass")</f>
        <v>Fail</v>
      </c>
      <c r="B261" t="s">
        <v>2584</v>
      </c>
      <c r="C261" t="s">
        <v>754</v>
      </c>
      <c r="D261" t="s">
        <v>2100</v>
      </c>
      <c r="E261" t="s">
        <v>756</v>
      </c>
      <c r="F261" t="s">
        <v>1067</v>
      </c>
      <c r="G261" t="s">
        <v>758</v>
      </c>
      <c r="H261" t="s">
        <v>2585</v>
      </c>
      <c r="J261" t="s">
        <v>760</v>
      </c>
      <c r="K261" t="s">
        <v>2102</v>
      </c>
      <c r="L261" t="s">
        <v>754</v>
      </c>
      <c r="M261" t="s">
        <v>2586</v>
      </c>
      <c r="N261" t="s">
        <v>2104</v>
      </c>
      <c r="O261" t="s">
        <v>2105</v>
      </c>
      <c r="P261" t="s">
        <v>63</v>
      </c>
      <c r="R261" t="s">
        <v>2587</v>
      </c>
      <c r="S261" t="s">
        <v>754</v>
      </c>
      <c r="U261" t="s">
        <v>2588</v>
      </c>
      <c r="V261" t="s">
        <v>767</v>
      </c>
      <c r="W261">
        <v>64</v>
      </c>
      <c r="X261" t="s">
        <v>768</v>
      </c>
      <c r="Y261">
        <v>2</v>
      </c>
      <c r="Z261" t="s">
        <v>2589</v>
      </c>
      <c r="AA261">
        <v>8</v>
      </c>
      <c r="AB261" t="s">
        <v>770</v>
      </c>
      <c r="AC261" t="s">
        <v>768</v>
      </c>
      <c r="AD261" t="s">
        <v>2590</v>
      </c>
      <c r="AE261">
        <v>32</v>
      </c>
      <c r="AF261" t="s">
        <v>770</v>
      </c>
      <c r="AG261" t="s">
        <v>768</v>
      </c>
      <c r="AT261" t="s">
        <v>772</v>
      </c>
      <c r="AU261" t="s">
        <v>2591</v>
      </c>
      <c r="AV261" t="str" cm="1">
        <f t="array" ref="AV261">IF(B261=_xlfn.XLOOKUP(B261,VmSpecs[[#All],[VM Name]],VmSpecs[[#All],[VM Name]],"Failed",0,1),"Pass","Fail")</f>
        <v>Fail</v>
      </c>
      <c r="AW261" t="str" cm="1">
        <f t="array" ref="AW261">IF(D261=_xlfn.XLOOKUP($B261,VmSpecs[[#All],[VM Name]],VmSpecs[[#All],[Virtual Machine Resource Groups]],"Failed",0,1),"Pass","Fail")</f>
        <v>Fail</v>
      </c>
      <c r="AX261" t="str" cm="1">
        <f t="array" ref="AX261">IF(_xlfn.IFS(E261="australiacentral","Australia Central 1",E261="australiaeast","Australia East",E261="australiasoutheast","Australia SouthEast")=_xlfn.XLOOKUP($B261,VmSpecs[[#All],[VM Name]],VmSpecs[[#All],[Region]],"Failed",0,1),"Pass","Fail")</f>
        <v>Fail</v>
      </c>
      <c r="AY261" t="str" cm="1">
        <f t="array" ref="AY261">IF(F261=_xlfn.XLOOKUP($B261,VmSpecs[[#All],[VM Name]],VmSpecs[[#All],[Instance size]],"Failed",0,1),"Pass","Fail")</f>
        <v>Fail</v>
      </c>
      <c r="AZ261" t="str" cm="1">
        <f t="array" ref="AZ261">IF(LOWER(H261)=_xlfn.XLOOKUP($B261,VmSpecs[[#All],[VM Name]],VmSpecs[[#All],[Availability Set Name]],"Failed",0,1),"Pass","Fail")</f>
        <v>Fail</v>
      </c>
      <c r="BA261" t="str" cm="1">
        <f t="array" ref="BA261">IF(J261=_xlfn.XLOOKUP($B261,VmSpecs[[#All],[VM Name]],VmSpecs[[#All],[Virtual Network]],"Failed",0,1),"Pass","Fail")</f>
        <v>Fail</v>
      </c>
      <c r="BB261" t="str" cm="1">
        <f t="array" ref="BB261">IF(K261=_xlfn.XLOOKUP($B261,VmSpecs[[#All],[VM Name]],VmSpecs[[#All],[Subnet]],"Failed",0,1),"Pass","Fail")</f>
        <v>Fail</v>
      </c>
      <c r="BC261" t="str" cm="1">
        <f t="array" ref="BC261">IF(M261=_xlfn.XLOOKUP($B261,VmSpecs[[#All],[VM Name]],VmSpecs[[#All],[IP]],"Failed",0,1),"Pass","Fail")</f>
        <v>Fail</v>
      </c>
      <c r="BD261" t="str" cm="1">
        <f t="array" ref="BD261">IF(N261=_xlfn.XLOOKUP($B261,VmSpecs[[#All],[VM Name]],VmSpecs[[#All],[Network Security Group]],"Failed",0,1),"Pass","Fail")</f>
        <v>Fail</v>
      </c>
      <c r="BE261" t="str" cm="1">
        <f t="array" ref="BE261">IF(O261=_xlfn.XLOOKUP($B261,VmSpecs[[#All],[VM Name]],VmSpecs[[#All],[Route Table Name]],"Failed",0,1),"Pass","Fail")</f>
        <v>Fail</v>
      </c>
      <c r="BF261" t="str" cm="1">
        <f t="array" ref="BF261">IF(P261=_xlfn.XLOOKUP($B261,VmSpecs[[#All],[VM Name]],VmSpecs[[#All],[Operating System]],"Failed",0,1),"Pass","Fail")</f>
        <v>Fail</v>
      </c>
      <c r="BG261" t="str" cm="1">
        <f t="array" ref="BG261">IF(R261=_xlfn.XLOOKUP($B261,VmSpecs[[#All],[VM Name]],VmSpecs[[#All],[NIC name]],"Failed",0,1),"Pass","Fail")</f>
        <v>Fail</v>
      </c>
      <c r="BH261" t="str" cm="1">
        <f t="array" ref="BH261">IF(U261=_xlfn.XLOOKUP($B261,VmSpecs[[#All],[VM Name]],VmSpecs[[#All],[OS Disk Name]],"Failed",0,1),"Pass","Fail")</f>
        <v>Fail</v>
      </c>
      <c r="BI261" t="str" cm="1">
        <f t="array" ref="BI261">IF(W261=_xlfn.XLOOKUP($B261,VmSpecs[[#All],[VM Name]],VmSpecs[[#All],[OS Disk Size]],"Failed",0,1),"Pass","Fail")</f>
        <v>Fail</v>
      </c>
      <c r="BJ261" t="str" cm="1">
        <f t="array" ref="BJ261">IF(LEFT(X261,4)=LEFT(_xlfn.XLOOKUP($B261,VmSpecs[[#All],[VM Name]],VmSpecs[[#All],[OS Disk Type (Standard SSD etc)]],"Failed",0,1),4),"Pass","Fail")</f>
        <v>Fail</v>
      </c>
      <c r="BK261" t="str" cm="1">
        <f t="array" ref="BK261">IF(Z261=_xlfn.XLOOKUP($B261,VmSpecs[[#All],[VM Name]],VmSpecs[[#All],[Data Disk1 Name]],"Failed",0,1),"Pass","Fail")</f>
        <v>Fail</v>
      </c>
      <c r="BL261" t="str" cm="1">
        <f t="array" ref="BL261">IF(AA261=_xlfn.XLOOKUP($B261,VmSpecs[[#All],[VM Name]],VmSpecs[[#All],[Data Disk1 Size]],"Failed",0,1),"Pass","Fail")</f>
        <v>Fail</v>
      </c>
      <c r="BM261" t="str" cm="1">
        <f t="array" ref="BM261">IF(LEFT(AC261,4)=LEFT(_xlfn.XLOOKUP($B261,VmSpecs[[#All],[VM Name]],VmSpecs[[#All],[Data Disk1 Type]],"Failed",0,1),4),"Pass","Fail")</f>
        <v>Fail</v>
      </c>
      <c r="BO261" t="e">
        <f>VLOOKUP('VM Specs'!K261,'As Built'!B:B,1,FALSE)</f>
        <v>#N/A</v>
      </c>
      <c r="BP261" t="str">
        <f>IF(ISNA(Table613[[#This Row],[VM Build Sheet Check]]),'VM Specs'!K261,"")</f>
        <v>vmpfbpf2ohc01</v>
      </c>
    </row>
    <row r="262" spans="1:68" ht="33" customHeight="1" x14ac:dyDescent="0.35">
      <c r="A262" t="str">
        <f>IF(COUNTIF(AsBuilt[[#This Row],[VM Check]:[Data Disk 1 Type Check]],"Fail")&gt;0,"Fail","Pass")</f>
        <v>Fail</v>
      </c>
      <c r="B262" t="s">
        <v>2592</v>
      </c>
      <c r="C262" t="s">
        <v>754</v>
      </c>
      <c r="D262" t="s">
        <v>2100</v>
      </c>
      <c r="E262" t="s">
        <v>756</v>
      </c>
      <c r="F262" t="s">
        <v>1067</v>
      </c>
      <c r="G262" t="s">
        <v>758</v>
      </c>
      <c r="H262" t="s">
        <v>2585</v>
      </c>
      <c r="J262" t="s">
        <v>760</v>
      </c>
      <c r="K262" t="s">
        <v>2102</v>
      </c>
      <c r="L262" t="s">
        <v>754</v>
      </c>
      <c r="M262" t="s">
        <v>2593</v>
      </c>
      <c r="N262" t="s">
        <v>2104</v>
      </c>
      <c r="O262" t="s">
        <v>2105</v>
      </c>
      <c r="P262" t="s">
        <v>63</v>
      </c>
      <c r="R262" t="s">
        <v>2594</v>
      </c>
      <c r="S262" t="s">
        <v>754</v>
      </c>
      <c r="U262" t="s">
        <v>2595</v>
      </c>
      <c r="V262" t="s">
        <v>767</v>
      </c>
      <c r="W262">
        <v>64</v>
      </c>
      <c r="X262" t="s">
        <v>768</v>
      </c>
      <c r="Y262">
        <v>2</v>
      </c>
      <c r="Z262" t="s">
        <v>2596</v>
      </c>
      <c r="AA262">
        <v>8</v>
      </c>
      <c r="AB262" t="s">
        <v>770</v>
      </c>
      <c r="AC262" t="s">
        <v>768</v>
      </c>
      <c r="AD262" t="s">
        <v>2597</v>
      </c>
      <c r="AE262">
        <v>32</v>
      </c>
      <c r="AF262" t="s">
        <v>770</v>
      </c>
      <c r="AG262" t="s">
        <v>768</v>
      </c>
      <c r="AT262" t="s">
        <v>772</v>
      </c>
      <c r="AU262" t="s">
        <v>2598</v>
      </c>
      <c r="AV262" t="str" cm="1">
        <f t="array" ref="AV262">IF(B262=_xlfn.XLOOKUP(B262,VmSpecs[[#All],[VM Name]],VmSpecs[[#All],[VM Name]],"Failed",0,1),"Pass","Fail")</f>
        <v>Fail</v>
      </c>
      <c r="AW262" t="str" cm="1">
        <f t="array" ref="AW262">IF(D262=_xlfn.XLOOKUP($B262,VmSpecs[[#All],[VM Name]],VmSpecs[[#All],[Virtual Machine Resource Groups]],"Failed",0,1),"Pass","Fail")</f>
        <v>Fail</v>
      </c>
      <c r="AX262" t="str" cm="1">
        <f t="array" ref="AX262">IF(_xlfn.IFS(E262="australiacentral","Australia Central 1",E262="australiaeast","Australia East",E262="australiasoutheast","Australia SouthEast")=_xlfn.XLOOKUP($B262,VmSpecs[[#All],[VM Name]],VmSpecs[[#All],[Region]],"Failed",0,1),"Pass","Fail")</f>
        <v>Fail</v>
      </c>
      <c r="AY262" t="str" cm="1">
        <f t="array" ref="AY262">IF(F262=_xlfn.XLOOKUP($B262,VmSpecs[[#All],[VM Name]],VmSpecs[[#All],[Instance size]],"Failed",0,1),"Pass","Fail")</f>
        <v>Fail</v>
      </c>
      <c r="AZ262" t="str" cm="1">
        <f t="array" ref="AZ262">IF(LOWER(H262)=_xlfn.XLOOKUP($B262,VmSpecs[[#All],[VM Name]],VmSpecs[[#All],[Availability Set Name]],"Failed",0,1),"Pass","Fail")</f>
        <v>Fail</v>
      </c>
      <c r="BA262" t="str" cm="1">
        <f t="array" ref="BA262">IF(J262=_xlfn.XLOOKUP($B262,VmSpecs[[#All],[VM Name]],VmSpecs[[#All],[Virtual Network]],"Failed",0,1),"Pass","Fail")</f>
        <v>Fail</v>
      </c>
      <c r="BB262" t="str" cm="1">
        <f t="array" ref="BB262">IF(K262=_xlfn.XLOOKUP($B262,VmSpecs[[#All],[VM Name]],VmSpecs[[#All],[Subnet]],"Failed",0,1),"Pass","Fail")</f>
        <v>Fail</v>
      </c>
      <c r="BC262" t="str" cm="1">
        <f t="array" ref="BC262">IF(M262=_xlfn.XLOOKUP($B262,VmSpecs[[#All],[VM Name]],VmSpecs[[#All],[IP]],"Failed",0,1),"Pass","Fail")</f>
        <v>Fail</v>
      </c>
      <c r="BD262" t="str" cm="1">
        <f t="array" ref="BD262">IF(N262=_xlfn.XLOOKUP($B262,VmSpecs[[#All],[VM Name]],VmSpecs[[#All],[Network Security Group]],"Failed",0,1),"Pass","Fail")</f>
        <v>Fail</v>
      </c>
      <c r="BE262" t="str" cm="1">
        <f t="array" ref="BE262">IF(O262=_xlfn.XLOOKUP($B262,VmSpecs[[#All],[VM Name]],VmSpecs[[#All],[Route Table Name]],"Failed",0,1),"Pass","Fail")</f>
        <v>Fail</v>
      </c>
      <c r="BF262" t="str" cm="1">
        <f t="array" ref="BF262">IF(P262=_xlfn.XLOOKUP($B262,VmSpecs[[#All],[VM Name]],VmSpecs[[#All],[Operating System]],"Failed",0,1),"Pass","Fail")</f>
        <v>Fail</v>
      </c>
      <c r="BG262" t="str" cm="1">
        <f t="array" ref="BG262">IF(R262=_xlfn.XLOOKUP($B262,VmSpecs[[#All],[VM Name]],VmSpecs[[#All],[NIC name]],"Failed",0,1),"Pass","Fail")</f>
        <v>Fail</v>
      </c>
      <c r="BH262" t="str" cm="1">
        <f t="array" ref="BH262">IF(U262=_xlfn.XLOOKUP($B262,VmSpecs[[#All],[VM Name]],VmSpecs[[#All],[OS Disk Name]],"Failed",0,1),"Pass","Fail")</f>
        <v>Fail</v>
      </c>
      <c r="BI262" t="str" cm="1">
        <f t="array" ref="BI262">IF(W262=_xlfn.XLOOKUP($B262,VmSpecs[[#All],[VM Name]],VmSpecs[[#All],[OS Disk Size]],"Failed",0,1),"Pass","Fail")</f>
        <v>Fail</v>
      </c>
      <c r="BJ262" t="str" cm="1">
        <f t="array" ref="BJ262">IF(LEFT(X262,4)=LEFT(_xlfn.XLOOKUP($B262,VmSpecs[[#All],[VM Name]],VmSpecs[[#All],[OS Disk Type (Standard SSD etc)]],"Failed",0,1),4),"Pass","Fail")</f>
        <v>Fail</v>
      </c>
      <c r="BK262" t="str" cm="1">
        <f t="array" ref="BK262">IF(Z262=_xlfn.XLOOKUP($B262,VmSpecs[[#All],[VM Name]],VmSpecs[[#All],[Data Disk1 Name]],"Failed",0,1),"Pass","Fail")</f>
        <v>Fail</v>
      </c>
      <c r="BL262" t="str" cm="1">
        <f t="array" ref="BL262">IF(AA262=_xlfn.XLOOKUP($B262,VmSpecs[[#All],[VM Name]],VmSpecs[[#All],[Data Disk1 Size]],"Failed",0,1),"Pass","Fail")</f>
        <v>Fail</v>
      </c>
      <c r="BM262" t="str" cm="1">
        <f t="array" ref="BM262">IF(LEFT(AC262,4)=LEFT(_xlfn.XLOOKUP($B262,VmSpecs[[#All],[VM Name]],VmSpecs[[#All],[Data Disk1 Type]],"Failed",0,1),4),"Pass","Fail")</f>
        <v>Fail</v>
      </c>
      <c r="BO262" t="e">
        <f>VLOOKUP('VM Specs'!K262,'As Built'!B:B,1,FALSE)</f>
        <v>#N/A</v>
      </c>
      <c r="BP262" t="str">
        <f>IF(ISNA(Table613[[#This Row],[VM Build Sheet Check]]),'VM Specs'!K262,"")</f>
        <v>vmpfbpf2ohc02</v>
      </c>
    </row>
    <row r="263" spans="1:68" ht="33" customHeight="1" x14ac:dyDescent="0.35">
      <c r="A263" t="str">
        <f>IF(COUNTIF(AsBuilt[[#This Row],[VM Check]:[Data Disk 1 Type Check]],"Fail")&gt;0,"Fail","Pass")</f>
        <v>Fail</v>
      </c>
      <c r="B263" t="s">
        <v>2599</v>
      </c>
      <c r="C263" t="s">
        <v>754</v>
      </c>
      <c r="D263" t="s">
        <v>2100</v>
      </c>
      <c r="E263" t="s">
        <v>756</v>
      </c>
      <c r="F263" t="s">
        <v>1067</v>
      </c>
      <c r="G263" t="s">
        <v>758</v>
      </c>
      <c r="H263" t="s">
        <v>2585</v>
      </c>
      <c r="J263" t="s">
        <v>760</v>
      </c>
      <c r="K263" t="s">
        <v>2102</v>
      </c>
      <c r="L263" t="s">
        <v>754</v>
      </c>
      <c r="M263" t="s">
        <v>2600</v>
      </c>
      <c r="N263" t="s">
        <v>2104</v>
      </c>
      <c r="O263" t="s">
        <v>2105</v>
      </c>
      <c r="P263" t="s">
        <v>63</v>
      </c>
      <c r="R263" t="s">
        <v>2601</v>
      </c>
      <c r="S263" t="s">
        <v>754</v>
      </c>
      <c r="U263" t="s">
        <v>2602</v>
      </c>
      <c r="V263" t="s">
        <v>767</v>
      </c>
      <c r="W263">
        <v>64</v>
      </c>
      <c r="X263" t="s">
        <v>768</v>
      </c>
      <c r="Y263">
        <v>2</v>
      </c>
      <c r="Z263" t="s">
        <v>2603</v>
      </c>
      <c r="AA263">
        <v>8</v>
      </c>
      <c r="AB263" t="s">
        <v>770</v>
      </c>
      <c r="AC263" t="s">
        <v>768</v>
      </c>
      <c r="AD263" t="s">
        <v>2604</v>
      </c>
      <c r="AE263">
        <v>32</v>
      </c>
      <c r="AF263" t="s">
        <v>770</v>
      </c>
      <c r="AG263" t="s">
        <v>768</v>
      </c>
      <c r="AT263" t="s">
        <v>772</v>
      </c>
      <c r="AU263" t="s">
        <v>2605</v>
      </c>
      <c r="AV263" t="str" cm="1">
        <f t="array" ref="AV263">IF(B263=_xlfn.XLOOKUP(B263,VmSpecs[[#All],[VM Name]],VmSpecs[[#All],[VM Name]],"Failed",0,1),"Pass","Fail")</f>
        <v>Fail</v>
      </c>
      <c r="AW263" t="str" cm="1">
        <f t="array" ref="AW263">IF(D263=_xlfn.XLOOKUP($B263,VmSpecs[[#All],[VM Name]],VmSpecs[[#All],[Virtual Machine Resource Groups]],"Failed",0,1),"Pass","Fail")</f>
        <v>Fail</v>
      </c>
      <c r="AX263" t="str" cm="1">
        <f t="array" ref="AX263">IF(_xlfn.IFS(E263="australiacentral","Australia Central 1",E263="australiaeast","Australia East",E263="australiasoutheast","Australia SouthEast")=_xlfn.XLOOKUP($B263,VmSpecs[[#All],[VM Name]],VmSpecs[[#All],[Region]],"Failed",0,1),"Pass","Fail")</f>
        <v>Fail</v>
      </c>
      <c r="AY263" t="str" cm="1">
        <f t="array" ref="AY263">IF(F263=_xlfn.XLOOKUP($B263,VmSpecs[[#All],[VM Name]],VmSpecs[[#All],[Instance size]],"Failed",0,1),"Pass","Fail")</f>
        <v>Fail</v>
      </c>
      <c r="AZ263" t="str" cm="1">
        <f t="array" ref="AZ263">IF(LOWER(H263)=_xlfn.XLOOKUP($B263,VmSpecs[[#All],[VM Name]],VmSpecs[[#All],[Availability Set Name]],"Failed",0,1),"Pass","Fail")</f>
        <v>Fail</v>
      </c>
      <c r="BA263" t="str" cm="1">
        <f t="array" ref="BA263">IF(J263=_xlfn.XLOOKUP($B263,VmSpecs[[#All],[VM Name]],VmSpecs[[#All],[Virtual Network]],"Failed",0,1),"Pass","Fail")</f>
        <v>Fail</v>
      </c>
      <c r="BB263" t="str" cm="1">
        <f t="array" ref="BB263">IF(K263=_xlfn.XLOOKUP($B263,VmSpecs[[#All],[VM Name]],VmSpecs[[#All],[Subnet]],"Failed",0,1),"Pass","Fail")</f>
        <v>Fail</v>
      </c>
      <c r="BC263" t="str" cm="1">
        <f t="array" ref="BC263">IF(M263=_xlfn.XLOOKUP($B263,VmSpecs[[#All],[VM Name]],VmSpecs[[#All],[IP]],"Failed",0,1),"Pass","Fail")</f>
        <v>Fail</v>
      </c>
      <c r="BD263" t="str" cm="1">
        <f t="array" ref="BD263">IF(N263=_xlfn.XLOOKUP($B263,VmSpecs[[#All],[VM Name]],VmSpecs[[#All],[Network Security Group]],"Failed",0,1),"Pass","Fail")</f>
        <v>Fail</v>
      </c>
      <c r="BE263" t="str" cm="1">
        <f t="array" ref="BE263">IF(O263=_xlfn.XLOOKUP($B263,VmSpecs[[#All],[VM Name]],VmSpecs[[#All],[Route Table Name]],"Failed",0,1),"Pass","Fail")</f>
        <v>Fail</v>
      </c>
      <c r="BF263" t="str" cm="1">
        <f t="array" ref="BF263">IF(P263=_xlfn.XLOOKUP($B263,VmSpecs[[#All],[VM Name]],VmSpecs[[#All],[Operating System]],"Failed",0,1),"Pass","Fail")</f>
        <v>Fail</v>
      </c>
      <c r="BG263" t="str" cm="1">
        <f t="array" ref="BG263">IF(R263=_xlfn.XLOOKUP($B263,VmSpecs[[#All],[VM Name]],VmSpecs[[#All],[NIC name]],"Failed",0,1),"Pass","Fail")</f>
        <v>Fail</v>
      </c>
      <c r="BH263" t="str" cm="1">
        <f t="array" ref="BH263">IF(U263=_xlfn.XLOOKUP($B263,VmSpecs[[#All],[VM Name]],VmSpecs[[#All],[OS Disk Name]],"Failed",0,1),"Pass","Fail")</f>
        <v>Fail</v>
      </c>
      <c r="BI263" t="str" cm="1">
        <f t="array" ref="BI263">IF(W263=_xlfn.XLOOKUP($B263,VmSpecs[[#All],[VM Name]],VmSpecs[[#All],[OS Disk Size]],"Failed",0,1),"Pass","Fail")</f>
        <v>Fail</v>
      </c>
      <c r="BJ263" t="str" cm="1">
        <f t="array" ref="BJ263">IF(LEFT(X263,4)=LEFT(_xlfn.XLOOKUP($B263,VmSpecs[[#All],[VM Name]],VmSpecs[[#All],[OS Disk Type (Standard SSD etc)]],"Failed",0,1),4),"Pass","Fail")</f>
        <v>Fail</v>
      </c>
      <c r="BK263" t="str" cm="1">
        <f t="array" ref="BK263">IF(Z263=_xlfn.XLOOKUP($B263,VmSpecs[[#All],[VM Name]],VmSpecs[[#All],[Data Disk1 Name]],"Failed",0,1),"Pass","Fail")</f>
        <v>Fail</v>
      </c>
      <c r="BL263" t="str" cm="1">
        <f t="array" ref="BL263">IF(AA263=_xlfn.XLOOKUP($B263,VmSpecs[[#All],[VM Name]],VmSpecs[[#All],[Data Disk1 Size]],"Failed",0,1),"Pass","Fail")</f>
        <v>Fail</v>
      </c>
      <c r="BM263" t="str" cm="1">
        <f t="array" ref="BM263">IF(LEFT(AC263,4)=LEFT(_xlfn.XLOOKUP($B263,VmSpecs[[#All],[VM Name]],VmSpecs[[#All],[Data Disk1 Type]],"Failed",0,1),4),"Pass","Fail")</f>
        <v>Fail</v>
      </c>
      <c r="BO263" t="e">
        <f>VLOOKUP('VM Specs'!K263,'As Built'!B:B,1,FALSE)</f>
        <v>#N/A</v>
      </c>
      <c r="BP263" t="str">
        <f>IF(ISNA(Table613[[#This Row],[VM Build Sheet Check]]),'VM Specs'!K263,"")</f>
        <v>vmpfbpf2ohc03</v>
      </c>
    </row>
    <row r="264" spans="1:68" ht="33" customHeight="1" x14ac:dyDescent="0.35">
      <c r="A264" t="str">
        <f>IF(COUNTIF(AsBuilt[[#This Row],[VM Check]:[Data Disk 1 Type Check]],"Fail")&gt;0,"Fail","Pass")</f>
        <v>Fail</v>
      </c>
      <c r="B264" t="s">
        <v>2606</v>
      </c>
      <c r="C264" t="s">
        <v>754</v>
      </c>
      <c r="D264" t="s">
        <v>2100</v>
      </c>
      <c r="E264" t="s">
        <v>756</v>
      </c>
      <c r="F264" t="s">
        <v>1067</v>
      </c>
      <c r="G264" t="s">
        <v>758</v>
      </c>
      <c r="H264" t="s">
        <v>2585</v>
      </c>
      <c r="J264" t="s">
        <v>760</v>
      </c>
      <c r="K264" t="s">
        <v>2102</v>
      </c>
      <c r="L264" t="s">
        <v>754</v>
      </c>
      <c r="M264" t="s">
        <v>2607</v>
      </c>
      <c r="N264" t="s">
        <v>2104</v>
      </c>
      <c r="O264" t="s">
        <v>2105</v>
      </c>
      <c r="P264" t="s">
        <v>63</v>
      </c>
      <c r="R264" t="s">
        <v>2608</v>
      </c>
      <c r="S264" t="s">
        <v>754</v>
      </c>
      <c r="U264" t="s">
        <v>2609</v>
      </c>
      <c r="V264" t="s">
        <v>767</v>
      </c>
      <c r="W264">
        <v>64</v>
      </c>
      <c r="X264" t="s">
        <v>768</v>
      </c>
      <c r="Y264">
        <v>2</v>
      </c>
      <c r="Z264" t="s">
        <v>2610</v>
      </c>
      <c r="AA264">
        <v>8</v>
      </c>
      <c r="AB264" t="s">
        <v>770</v>
      </c>
      <c r="AC264" t="s">
        <v>768</v>
      </c>
      <c r="AD264" t="s">
        <v>2611</v>
      </c>
      <c r="AE264">
        <v>32</v>
      </c>
      <c r="AF264" t="s">
        <v>770</v>
      </c>
      <c r="AG264" t="s">
        <v>768</v>
      </c>
      <c r="AT264" t="s">
        <v>772</v>
      </c>
      <c r="AU264" t="s">
        <v>2612</v>
      </c>
      <c r="AV264" t="str" cm="1">
        <f t="array" ref="AV264">IF(B264=_xlfn.XLOOKUP(B264,VmSpecs[[#All],[VM Name]],VmSpecs[[#All],[VM Name]],"Failed",0,1),"Pass","Fail")</f>
        <v>Fail</v>
      </c>
      <c r="AW264" t="str" cm="1">
        <f t="array" ref="AW264">IF(D264=_xlfn.XLOOKUP($B264,VmSpecs[[#All],[VM Name]],VmSpecs[[#All],[Virtual Machine Resource Groups]],"Failed",0,1),"Pass","Fail")</f>
        <v>Fail</v>
      </c>
      <c r="AX264" t="str" cm="1">
        <f t="array" ref="AX264">IF(_xlfn.IFS(E264="australiacentral","Australia Central 1",E264="australiaeast","Australia East",E264="australiasoutheast","Australia SouthEast")=_xlfn.XLOOKUP($B264,VmSpecs[[#All],[VM Name]],VmSpecs[[#All],[Region]],"Failed",0,1),"Pass","Fail")</f>
        <v>Fail</v>
      </c>
      <c r="AY264" t="str" cm="1">
        <f t="array" ref="AY264">IF(F264=_xlfn.XLOOKUP($B264,VmSpecs[[#All],[VM Name]],VmSpecs[[#All],[Instance size]],"Failed",0,1),"Pass","Fail")</f>
        <v>Fail</v>
      </c>
      <c r="AZ264" t="str" cm="1">
        <f t="array" ref="AZ264">IF(LOWER(H264)=_xlfn.XLOOKUP($B264,VmSpecs[[#All],[VM Name]],VmSpecs[[#All],[Availability Set Name]],"Failed",0,1),"Pass","Fail")</f>
        <v>Fail</v>
      </c>
      <c r="BA264" t="str" cm="1">
        <f t="array" ref="BA264">IF(J264=_xlfn.XLOOKUP($B264,VmSpecs[[#All],[VM Name]],VmSpecs[[#All],[Virtual Network]],"Failed",0,1),"Pass","Fail")</f>
        <v>Fail</v>
      </c>
      <c r="BB264" t="str" cm="1">
        <f t="array" ref="BB264">IF(K264=_xlfn.XLOOKUP($B264,VmSpecs[[#All],[VM Name]],VmSpecs[[#All],[Subnet]],"Failed",0,1),"Pass","Fail")</f>
        <v>Fail</v>
      </c>
      <c r="BC264" t="str" cm="1">
        <f t="array" ref="BC264">IF(M264=_xlfn.XLOOKUP($B264,VmSpecs[[#All],[VM Name]],VmSpecs[[#All],[IP]],"Failed",0,1),"Pass","Fail")</f>
        <v>Fail</v>
      </c>
      <c r="BD264" t="str" cm="1">
        <f t="array" ref="BD264">IF(N264=_xlfn.XLOOKUP($B264,VmSpecs[[#All],[VM Name]],VmSpecs[[#All],[Network Security Group]],"Failed",0,1),"Pass","Fail")</f>
        <v>Fail</v>
      </c>
      <c r="BE264" t="str" cm="1">
        <f t="array" ref="BE264">IF(O264=_xlfn.XLOOKUP($B264,VmSpecs[[#All],[VM Name]],VmSpecs[[#All],[Route Table Name]],"Failed",0,1),"Pass","Fail")</f>
        <v>Fail</v>
      </c>
      <c r="BF264" t="str" cm="1">
        <f t="array" ref="BF264">IF(P264=_xlfn.XLOOKUP($B264,VmSpecs[[#All],[VM Name]],VmSpecs[[#All],[Operating System]],"Failed",0,1),"Pass","Fail")</f>
        <v>Fail</v>
      </c>
      <c r="BG264" t="str" cm="1">
        <f t="array" ref="BG264">IF(R264=_xlfn.XLOOKUP($B264,VmSpecs[[#All],[VM Name]],VmSpecs[[#All],[NIC name]],"Failed",0,1),"Pass","Fail")</f>
        <v>Fail</v>
      </c>
      <c r="BH264" t="str" cm="1">
        <f t="array" ref="BH264">IF(U264=_xlfn.XLOOKUP($B264,VmSpecs[[#All],[VM Name]],VmSpecs[[#All],[OS Disk Name]],"Failed",0,1),"Pass","Fail")</f>
        <v>Fail</v>
      </c>
      <c r="BI264" t="str" cm="1">
        <f t="array" ref="BI264">IF(W264=_xlfn.XLOOKUP($B264,VmSpecs[[#All],[VM Name]],VmSpecs[[#All],[OS Disk Size]],"Failed",0,1),"Pass","Fail")</f>
        <v>Fail</v>
      </c>
      <c r="BJ264" t="str" cm="1">
        <f t="array" ref="BJ264">IF(LEFT(X264,4)=LEFT(_xlfn.XLOOKUP($B264,VmSpecs[[#All],[VM Name]],VmSpecs[[#All],[OS Disk Type (Standard SSD etc)]],"Failed",0,1),4),"Pass","Fail")</f>
        <v>Fail</v>
      </c>
      <c r="BK264" t="str" cm="1">
        <f t="array" ref="BK264">IF(Z264=_xlfn.XLOOKUP($B264,VmSpecs[[#All],[VM Name]],VmSpecs[[#All],[Data Disk1 Name]],"Failed",0,1),"Pass","Fail")</f>
        <v>Fail</v>
      </c>
      <c r="BL264" t="str" cm="1">
        <f t="array" ref="BL264">IF(AA264=_xlfn.XLOOKUP($B264,VmSpecs[[#All],[VM Name]],VmSpecs[[#All],[Data Disk1 Size]],"Failed",0,1),"Pass","Fail")</f>
        <v>Fail</v>
      </c>
      <c r="BM264" t="str" cm="1">
        <f t="array" ref="BM264">IF(LEFT(AC264,4)=LEFT(_xlfn.XLOOKUP($B264,VmSpecs[[#All],[VM Name]],VmSpecs[[#All],[Data Disk1 Type]],"Failed",0,1),4),"Pass","Fail")</f>
        <v>Fail</v>
      </c>
      <c r="BO264" t="e">
        <f>VLOOKUP('VM Specs'!K264,'As Built'!B:B,1,FALSE)</f>
        <v>#N/A</v>
      </c>
      <c r="BP264" t="str">
        <f>IF(ISNA(Table613[[#This Row],[VM Build Sheet Check]]),'VM Specs'!K264,"")</f>
        <v>vmpfbpf2ohc04</v>
      </c>
    </row>
    <row r="265" spans="1:68" ht="33" customHeight="1" x14ac:dyDescent="0.35">
      <c r="A265" t="str">
        <f>IF(COUNTIF(AsBuilt[[#This Row],[VM Check]:[Data Disk 1 Type Check]],"Fail")&gt;0,"Fail","Pass")</f>
        <v>Fail</v>
      </c>
      <c r="B265" t="s">
        <v>2613</v>
      </c>
      <c r="C265" t="s">
        <v>754</v>
      </c>
      <c r="D265" t="s">
        <v>2100</v>
      </c>
      <c r="E265" t="s">
        <v>756</v>
      </c>
      <c r="F265" t="s">
        <v>757</v>
      </c>
      <c r="G265" t="s">
        <v>758</v>
      </c>
      <c r="H265" t="s">
        <v>2585</v>
      </c>
      <c r="J265" t="s">
        <v>760</v>
      </c>
      <c r="K265" t="s">
        <v>2102</v>
      </c>
      <c r="L265" t="s">
        <v>754</v>
      </c>
      <c r="M265" t="s">
        <v>2614</v>
      </c>
      <c r="N265" t="s">
        <v>2104</v>
      </c>
      <c r="O265" t="s">
        <v>2105</v>
      </c>
      <c r="P265" t="s">
        <v>63</v>
      </c>
      <c r="R265" t="s">
        <v>2615</v>
      </c>
      <c r="S265" t="s">
        <v>754</v>
      </c>
      <c r="U265" t="s">
        <v>2616</v>
      </c>
      <c r="V265" t="s">
        <v>767</v>
      </c>
      <c r="W265">
        <v>64</v>
      </c>
      <c r="X265" t="s">
        <v>768</v>
      </c>
      <c r="Y265">
        <v>2</v>
      </c>
      <c r="Z265" t="s">
        <v>2617</v>
      </c>
      <c r="AA265">
        <v>8</v>
      </c>
      <c r="AB265" t="s">
        <v>770</v>
      </c>
      <c r="AC265" t="s">
        <v>768</v>
      </c>
      <c r="AD265" t="s">
        <v>2618</v>
      </c>
      <c r="AE265">
        <v>32</v>
      </c>
      <c r="AF265" t="s">
        <v>770</v>
      </c>
      <c r="AG265" t="s">
        <v>768</v>
      </c>
      <c r="AT265" t="s">
        <v>772</v>
      </c>
      <c r="AU265" t="s">
        <v>2619</v>
      </c>
      <c r="AV265" t="str" cm="1">
        <f t="array" ref="AV265">IF(B265=_xlfn.XLOOKUP(B265,VmSpecs[[#All],[VM Name]],VmSpecs[[#All],[VM Name]],"Failed",0,1),"Pass","Fail")</f>
        <v>Fail</v>
      </c>
      <c r="AW265" t="str" cm="1">
        <f t="array" ref="AW265">IF(D265=_xlfn.XLOOKUP($B265,VmSpecs[[#All],[VM Name]],VmSpecs[[#All],[Virtual Machine Resource Groups]],"Failed",0,1),"Pass","Fail")</f>
        <v>Fail</v>
      </c>
      <c r="AX265" t="str" cm="1">
        <f t="array" ref="AX265">IF(_xlfn.IFS(E265="australiacentral","Australia Central 1",E265="australiaeast","Australia East",E265="australiasoutheast","Australia SouthEast")=_xlfn.XLOOKUP($B265,VmSpecs[[#All],[VM Name]],VmSpecs[[#All],[Region]],"Failed",0,1),"Pass","Fail")</f>
        <v>Fail</v>
      </c>
      <c r="AY265" t="str" cm="1">
        <f t="array" ref="AY265">IF(F265=_xlfn.XLOOKUP($B265,VmSpecs[[#All],[VM Name]],VmSpecs[[#All],[Instance size]],"Failed",0,1),"Pass","Fail")</f>
        <v>Fail</v>
      </c>
      <c r="AZ265" t="str" cm="1">
        <f t="array" ref="AZ265">IF(LOWER(H265)=_xlfn.XLOOKUP($B265,VmSpecs[[#All],[VM Name]],VmSpecs[[#All],[Availability Set Name]],"Failed",0,1),"Pass","Fail")</f>
        <v>Fail</v>
      </c>
      <c r="BA265" t="str" cm="1">
        <f t="array" ref="BA265">IF(J265=_xlfn.XLOOKUP($B265,VmSpecs[[#All],[VM Name]],VmSpecs[[#All],[Virtual Network]],"Failed",0,1),"Pass","Fail")</f>
        <v>Fail</v>
      </c>
      <c r="BB265" t="str" cm="1">
        <f t="array" ref="BB265">IF(K265=_xlfn.XLOOKUP($B265,VmSpecs[[#All],[VM Name]],VmSpecs[[#All],[Subnet]],"Failed",0,1),"Pass","Fail")</f>
        <v>Fail</v>
      </c>
      <c r="BC265" t="str" cm="1">
        <f t="array" ref="BC265">IF(M265=_xlfn.XLOOKUP($B265,VmSpecs[[#All],[VM Name]],VmSpecs[[#All],[IP]],"Failed",0,1),"Pass","Fail")</f>
        <v>Fail</v>
      </c>
      <c r="BD265" t="str" cm="1">
        <f t="array" ref="BD265">IF(N265=_xlfn.XLOOKUP($B265,VmSpecs[[#All],[VM Name]],VmSpecs[[#All],[Network Security Group]],"Failed",0,1),"Pass","Fail")</f>
        <v>Fail</v>
      </c>
      <c r="BE265" t="str" cm="1">
        <f t="array" ref="BE265">IF(O265=_xlfn.XLOOKUP($B265,VmSpecs[[#All],[VM Name]],VmSpecs[[#All],[Route Table Name]],"Failed",0,1),"Pass","Fail")</f>
        <v>Fail</v>
      </c>
      <c r="BF265" t="str" cm="1">
        <f t="array" ref="BF265">IF(P265=_xlfn.XLOOKUP($B265,VmSpecs[[#All],[VM Name]],VmSpecs[[#All],[Operating System]],"Failed",0,1),"Pass","Fail")</f>
        <v>Fail</v>
      </c>
      <c r="BG265" t="str" cm="1">
        <f t="array" ref="BG265">IF(R265=_xlfn.XLOOKUP($B265,VmSpecs[[#All],[VM Name]],VmSpecs[[#All],[NIC name]],"Failed",0,1),"Pass","Fail")</f>
        <v>Fail</v>
      </c>
      <c r="BH265" t="str" cm="1">
        <f t="array" ref="BH265">IF(U265=_xlfn.XLOOKUP($B265,VmSpecs[[#All],[VM Name]],VmSpecs[[#All],[OS Disk Name]],"Failed",0,1),"Pass","Fail")</f>
        <v>Fail</v>
      </c>
      <c r="BI265" t="str" cm="1">
        <f t="array" ref="BI265">IF(W265=_xlfn.XLOOKUP($B265,VmSpecs[[#All],[VM Name]],VmSpecs[[#All],[OS Disk Size]],"Failed",0,1),"Pass","Fail")</f>
        <v>Fail</v>
      </c>
      <c r="BJ265" t="str" cm="1">
        <f t="array" ref="BJ265">IF(LEFT(X265,4)=LEFT(_xlfn.XLOOKUP($B265,VmSpecs[[#All],[VM Name]],VmSpecs[[#All],[OS Disk Type (Standard SSD etc)]],"Failed",0,1),4),"Pass","Fail")</f>
        <v>Fail</v>
      </c>
      <c r="BK265" t="str" cm="1">
        <f t="array" ref="BK265">IF(Z265=_xlfn.XLOOKUP($B265,VmSpecs[[#All],[VM Name]],VmSpecs[[#All],[Data Disk1 Name]],"Failed",0,1),"Pass","Fail")</f>
        <v>Fail</v>
      </c>
      <c r="BL265" t="str" cm="1">
        <f t="array" ref="BL265">IF(AA265=_xlfn.XLOOKUP($B265,VmSpecs[[#All],[VM Name]],VmSpecs[[#All],[Data Disk1 Size]],"Failed",0,1),"Pass","Fail")</f>
        <v>Fail</v>
      </c>
      <c r="BM265" t="str" cm="1">
        <f t="array" ref="BM265">IF(LEFT(AC265,4)=LEFT(_xlfn.XLOOKUP($B265,VmSpecs[[#All],[VM Name]],VmSpecs[[#All],[Data Disk1 Type]],"Failed",0,1),4),"Pass","Fail")</f>
        <v>Fail</v>
      </c>
      <c r="BO265" t="e">
        <f>VLOOKUP('VM Specs'!K265,'As Built'!B:B,1,FALSE)</f>
        <v>#N/A</v>
      </c>
      <c r="BP265" t="str">
        <f>IF(ISNA(Table613[[#This Row],[VM Build Sheet Check]]),'VM Specs'!K265,"")</f>
        <v>vmpfbpf2ohc05</v>
      </c>
    </row>
    <row r="266" spans="1:68" ht="33" customHeight="1" x14ac:dyDescent="0.35">
      <c r="A266" t="str">
        <f>IF(COUNTIF(AsBuilt[[#This Row],[VM Check]:[Data Disk 1 Type Check]],"Fail")&gt;0,"Fail","Pass")</f>
        <v>Fail</v>
      </c>
      <c r="B266" t="s">
        <v>2620</v>
      </c>
      <c r="C266" t="s">
        <v>754</v>
      </c>
      <c r="D266" t="s">
        <v>2100</v>
      </c>
      <c r="E266" t="s">
        <v>756</v>
      </c>
      <c r="F266" t="s">
        <v>757</v>
      </c>
      <c r="G266" t="s">
        <v>758</v>
      </c>
      <c r="H266" t="s">
        <v>2585</v>
      </c>
      <c r="J266" t="s">
        <v>760</v>
      </c>
      <c r="K266" t="s">
        <v>2102</v>
      </c>
      <c r="L266" t="s">
        <v>754</v>
      </c>
      <c r="M266" t="s">
        <v>2621</v>
      </c>
      <c r="N266" t="s">
        <v>2104</v>
      </c>
      <c r="O266" t="s">
        <v>2105</v>
      </c>
      <c r="P266" t="s">
        <v>63</v>
      </c>
      <c r="R266" t="s">
        <v>2622</v>
      </c>
      <c r="S266" t="s">
        <v>754</v>
      </c>
      <c r="U266" t="s">
        <v>2623</v>
      </c>
      <c r="V266" t="s">
        <v>767</v>
      </c>
      <c r="W266">
        <v>64</v>
      </c>
      <c r="X266" t="s">
        <v>768</v>
      </c>
      <c r="Y266">
        <v>2</v>
      </c>
      <c r="Z266" t="s">
        <v>2624</v>
      </c>
      <c r="AA266">
        <v>8</v>
      </c>
      <c r="AB266" t="s">
        <v>770</v>
      </c>
      <c r="AC266" t="s">
        <v>768</v>
      </c>
      <c r="AD266" t="s">
        <v>2625</v>
      </c>
      <c r="AE266">
        <v>32</v>
      </c>
      <c r="AF266" t="s">
        <v>770</v>
      </c>
      <c r="AG266" t="s">
        <v>768</v>
      </c>
      <c r="AT266" t="s">
        <v>772</v>
      </c>
      <c r="AU266" t="s">
        <v>2626</v>
      </c>
      <c r="AV266" t="str" cm="1">
        <f t="array" ref="AV266">IF(B266=_xlfn.XLOOKUP(B266,VmSpecs[[#All],[VM Name]],VmSpecs[[#All],[VM Name]],"Failed",0,1),"Pass","Fail")</f>
        <v>Fail</v>
      </c>
      <c r="AW266" t="str" cm="1">
        <f t="array" ref="AW266">IF(D266=_xlfn.XLOOKUP($B266,VmSpecs[[#All],[VM Name]],VmSpecs[[#All],[Virtual Machine Resource Groups]],"Failed",0,1),"Pass","Fail")</f>
        <v>Fail</v>
      </c>
      <c r="AX266" t="str" cm="1">
        <f t="array" ref="AX266">IF(_xlfn.IFS(E266="australiacentral","Australia Central 1",E266="australiaeast","Australia East",E266="australiasoutheast","Australia SouthEast")=_xlfn.XLOOKUP($B266,VmSpecs[[#All],[VM Name]],VmSpecs[[#All],[Region]],"Failed",0,1),"Pass","Fail")</f>
        <v>Fail</v>
      </c>
      <c r="AY266" t="str" cm="1">
        <f t="array" ref="AY266">IF(F266=_xlfn.XLOOKUP($B266,VmSpecs[[#All],[VM Name]],VmSpecs[[#All],[Instance size]],"Failed",0,1),"Pass","Fail")</f>
        <v>Fail</v>
      </c>
      <c r="AZ266" t="str" cm="1">
        <f t="array" ref="AZ266">IF(LOWER(H266)=_xlfn.XLOOKUP($B266,VmSpecs[[#All],[VM Name]],VmSpecs[[#All],[Availability Set Name]],"Failed",0,1),"Pass","Fail")</f>
        <v>Fail</v>
      </c>
      <c r="BA266" t="str" cm="1">
        <f t="array" ref="BA266">IF(J266=_xlfn.XLOOKUP($B266,VmSpecs[[#All],[VM Name]],VmSpecs[[#All],[Virtual Network]],"Failed",0,1),"Pass","Fail")</f>
        <v>Fail</v>
      </c>
      <c r="BB266" t="str" cm="1">
        <f t="array" ref="BB266">IF(K266=_xlfn.XLOOKUP($B266,VmSpecs[[#All],[VM Name]],VmSpecs[[#All],[Subnet]],"Failed",0,1),"Pass","Fail")</f>
        <v>Fail</v>
      </c>
      <c r="BC266" t="str" cm="1">
        <f t="array" ref="BC266">IF(M266=_xlfn.XLOOKUP($B266,VmSpecs[[#All],[VM Name]],VmSpecs[[#All],[IP]],"Failed",0,1),"Pass","Fail")</f>
        <v>Fail</v>
      </c>
      <c r="BD266" t="str" cm="1">
        <f t="array" ref="BD266">IF(N266=_xlfn.XLOOKUP($B266,VmSpecs[[#All],[VM Name]],VmSpecs[[#All],[Network Security Group]],"Failed",0,1),"Pass","Fail")</f>
        <v>Fail</v>
      </c>
      <c r="BE266" t="str" cm="1">
        <f t="array" ref="BE266">IF(O266=_xlfn.XLOOKUP($B266,VmSpecs[[#All],[VM Name]],VmSpecs[[#All],[Route Table Name]],"Failed",0,1),"Pass","Fail")</f>
        <v>Fail</v>
      </c>
      <c r="BF266" t="str" cm="1">
        <f t="array" ref="BF266">IF(P266=_xlfn.XLOOKUP($B266,VmSpecs[[#All],[VM Name]],VmSpecs[[#All],[Operating System]],"Failed",0,1),"Pass","Fail")</f>
        <v>Fail</v>
      </c>
      <c r="BG266" t="str" cm="1">
        <f t="array" ref="BG266">IF(R266=_xlfn.XLOOKUP($B266,VmSpecs[[#All],[VM Name]],VmSpecs[[#All],[NIC name]],"Failed",0,1),"Pass","Fail")</f>
        <v>Fail</v>
      </c>
      <c r="BH266" t="str" cm="1">
        <f t="array" ref="BH266">IF(U266=_xlfn.XLOOKUP($B266,VmSpecs[[#All],[VM Name]],VmSpecs[[#All],[OS Disk Name]],"Failed",0,1),"Pass","Fail")</f>
        <v>Fail</v>
      </c>
      <c r="BI266" t="str" cm="1">
        <f t="array" ref="BI266">IF(W266=_xlfn.XLOOKUP($B266,VmSpecs[[#All],[VM Name]],VmSpecs[[#All],[OS Disk Size]],"Failed",0,1),"Pass","Fail")</f>
        <v>Fail</v>
      </c>
      <c r="BJ266" t="str" cm="1">
        <f t="array" ref="BJ266">IF(LEFT(X266,4)=LEFT(_xlfn.XLOOKUP($B266,VmSpecs[[#All],[VM Name]],VmSpecs[[#All],[OS Disk Type (Standard SSD etc)]],"Failed",0,1),4),"Pass","Fail")</f>
        <v>Fail</v>
      </c>
      <c r="BK266" t="str" cm="1">
        <f t="array" ref="BK266">IF(Z266=_xlfn.XLOOKUP($B266,VmSpecs[[#All],[VM Name]],VmSpecs[[#All],[Data Disk1 Name]],"Failed",0,1),"Pass","Fail")</f>
        <v>Fail</v>
      </c>
      <c r="BL266" t="str" cm="1">
        <f t="array" ref="BL266">IF(AA266=_xlfn.XLOOKUP($B266,VmSpecs[[#All],[VM Name]],VmSpecs[[#All],[Data Disk1 Size]],"Failed",0,1),"Pass","Fail")</f>
        <v>Fail</v>
      </c>
      <c r="BM266" t="str" cm="1">
        <f t="array" ref="BM266">IF(LEFT(AC266,4)=LEFT(_xlfn.XLOOKUP($B266,VmSpecs[[#All],[VM Name]],VmSpecs[[#All],[Data Disk1 Type]],"Failed",0,1),4),"Pass","Fail")</f>
        <v>Fail</v>
      </c>
      <c r="BO266" t="e">
        <f>VLOOKUP('VM Specs'!K266,'As Built'!B:B,1,FALSE)</f>
        <v>#N/A</v>
      </c>
      <c r="BP266" t="str">
        <f>IF(ISNA(Table613[[#This Row],[VM Build Sheet Check]]),'VM Specs'!K266,"")</f>
        <v>vmpfbpf2ohc06</v>
      </c>
    </row>
    <row r="267" spans="1:68" ht="33" customHeight="1" x14ac:dyDescent="0.35">
      <c r="A267" t="str">
        <f>IF(COUNTIF(AsBuilt[[#This Row],[VM Check]:[Data Disk 1 Type Check]],"Fail")&gt;0,"Fail","Pass")</f>
        <v>Fail</v>
      </c>
      <c r="B267" t="s">
        <v>2627</v>
      </c>
      <c r="C267" t="s">
        <v>754</v>
      </c>
      <c r="D267" t="s">
        <v>2100</v>
      </c>
      <c r="E267" t="s">
        <v>756</v>
      </c>
      <c r="F267" t="s">
        <v>757</v>
      </c>
      <c r="G267" t="s">
        <v>758</v>
      </c>
      <c r="H267" t="s">
        <v>2585</v>
      </c>
      <c r="J267" t="s">
        <v>760</v>
      </c>
      <c r="K267" t="s">
        <v>2102</v>
      </c>
      <c r="L267" t="s">
        <v>754</v>
      </c>
      <c r="M267" t="s">
        <v>2628</v>
      </c>
      <c r="N267" t="s">
        <v>2104</v>
      </c>
      <c r="O267" t="s">
        <v>2105</v>
      </c>
      <c r="P267" t="s">
        <v>63</v>
      </c>
      <c r="R267" t="s">
        <v>2629</v>
      </c>
      <c r="S267" t="s">
        <v>754</v>
      </c>
      <c r="U267" t="s">
        <v>2630</v>
      </c>
      <c r="V267" t="s">
        <v>767</v>
      </c>
      <c r="W267">
        <v>64</v>
      </c>
      <c r="X267" t="s">
        <v>768</v>
      </c>
      <c r="Y267">
        <v>2</v>
      </c>
      <c r="Z267" t="s">
        <v>2631</v>
      </c>
      <c r="AA267">
        <v>8</v>
      </c>
      <c r="AB267" t="s">
        <v>770</v>
      </c>
      <c r="AC267" t="s">
        <v>768</v>
      </c>
      <c r="AD267" t="s">
        <v>2632</v>
      </c>
      <c r="AE267">
        <v>32</v>
      </c>
      <c r="AF267" t="s">
        <v>770</v>
      </c>
      <c r="AG267" t="s">
        <v>768</v>
      </c>
      <c r="AT267" t="s">
        <v>772</v>
      </c>
      <c r="AU267" t="s">
        <v>2633</v>
      </c>
      <c r="AV267" t="str" cm="1">
        <f t="array" ref="AV267">IF(B267=_xlfn.XLOOKUP(B267,VmSpecs[[#All],[VM Name]],VmSpecs[[#All],[VM Name]],"Failed",0,1),"Pass","Fail")</f>
        <v>Fail</v>
      </c>
      <c r="AW267" t="str" cm="1">
        <f t="array" ref="AW267">IF(D267=_xlfn.XLOOKUP($B267,VmSpecs[[#All],[VM Name]],VmSpecs[[#All],[Virtual Machine Resource Groups]],"Failed",0,1),"Pass","Fail")</f>
        <v>Fail</v>
      </c>
      <c r="AX267" t="str" cm="1">
        <f t="array" ref="AX267">IF(_xlfn.IFS(E267="australiacentral","Australia Central 1",E267="australiaeast","Australia East",E267="australiasoutheast","Australia SouthEast")=_xlfn.XLOOKUP($B267,VmSpecs[[#All],[VM Name]],VmSpecs[[#All],[Region]],"Failed",0,1),"Pass","Fail")</f>
        <v>Fail</v>
      </c>
      <c r="AY267" t="str" cm="1">
        <f t="array" ref="AY267">IF(F267=_xlfn.XLOOKUP($B267,VmSpecs[[#All],[VM Name]],VmSpecs[[#All],[Instance size]],"Failed",0,1),"Pass","Fail")</f>
        <v>Fail</v>
      </c>
      <c r="AZ267" t="str" cm="1">
        <f t="array" ref="AZ267">IF(LOWER(H267)=_xlfn.XLOOKUP($B267,VmSpecs[[#All],[VM Name]],VmSpecs[[#All],[Availability Set Name]],"Failed",0,1),"Pass","Fail")</f>
        <v>Fail</v>
      </c>
      <c r="BA267" t="str" cm="1">
        <f t="array" ref="BA267">IF(J267=_xlfn.XLOOKUP($B267,VmSpecs[[#All],[VM Name]],VmSpecs[[#All],[Virtual Network]],"Failed",0,1),"Pass","Fail")</f>
        <v>Fail</v>
      </c>
      <c r="BB267" t="str" cm="1">
        <f t="array" ref="BB267">IF(K267=_xlfn.XLOOKUP($B267,VmSpecs[[#All],[VM Name]],VmSpecs[[#All],[Subnet]],"Failed",0,1),"Pass","Fail")</f>
        <v>Fail</v>
      </c>
      <c r="BC267" t="str" cm="1">
        <f t="array" ref="BC267">IF(M267=_xlfn.XLOOKUP($B267,VmSpecs[[#All],[VM Name]],VmSpecs[[#All],[IP]],"Failed",0,1),"Pass","Fail")</f>
        <v>Fail</v>
      </c>
      <c r="BD267" t="str" cm="1">
        <f t="array" ref="BD267">IF(N267=_xlfn.XLOOKUP($B267,VmSpecs[[#All],[VM Name]],VmSpecs[[#All],[Network Security Group]],"Failed",0,1),"Pass","Fail")</f>
        <v>Fail</v>
      </c>
      <c r="BE267" t="str" cm="1">
        <f t="array" ref="BE267">IF(O267=_xlfn.XLOOKUP($B267,VmSpecs[[#All],[VM Name]],VmSpecs[[#All],[Route Table Name]],"Failed",0,1),"Pass","Fail")</f>
        <v>Fail</v>
      </c>
      <c r="BF267" t="str" cm="1">
        <f t="array" ref="BF267">IF(P267=_xlfn.XLOOKUP($B267,VmSpecs[[#All],[VM Name]],VmSpecs[[#All],[Operating System]],"Failed",0,1),"Pass","Fail")</f>
        <v>Fail</v>
      </c>
      <c r="BG267" t="str" cm="1">
        <f t="array" ref="BG267">IF(R267=_xlfn.XLOOKUP($B267,VmSpecs[[#All],[VM Name]],VmSpecs[[#All],[NIC name]],"Failed",0,1),"Pass","Fail")</f>
        <v>Fail</v>
      </c>
      <c r="BH267" t="str" cm="1">
        <f t="array" ref="BH267">IF(U267=_xlfn.XLOOKUP($B267,VmSpecs[[#All],[VM Name]],VmSpecs[[#All],[OS Disk Name]],"Failed",0,1),"Pass","Fail")</f>
        <v>Fail</v>
      </c>
      <c r="BI267" t="str" cm="1">
        <f t="array" ref="BI267">IF(W267=_xlfn.XLOOKUP($B267,VmSpecs[[#All],[VM Name]],VmSpecs[[#All],[OS Disk Size]],"Failed",0,1),"Pass","Fail")</f>
        <v>Fail</v>
      </c>
      <c r="BJ267" t="str" cm="1">
        <f t="array" ref="BJ267">IF(LEFT(X267,4)=LEFT(_xlfn.XLOOKUP($B267,VmSpecs[[#All],[VM Name]],VmSpecs[[#All],[OS Disk Type (Standard SSD etc)]],"Failed",0,1),4),"Pass","Fail")</f>
        <v>Fail</v>
      </c>
      <c r="BK267" t="str" cm="1">
        <f t="array" ref="BK267">IF(Z267=_xlfn.XLOOKUP($B267,VmSpecs[[#All],[VM Name]],VmSpecs[[#All],[Data Disk1 Name]],"Failed",0,1),"Pass","Fail")</f>
        <v>Fail</v>
      </c>
      <c r="BL267" t="str" cm="1">
        <f t="array" ref="BL267">IF(AA267=_xlfn.XLOOKUP($B267,VmSpecs[[#All],[VM Name]],VmSpecs[[#All],[Data Disk1 Size]],"Failed",0,1),"Pass","Fail")</f>
        <v>Fail</v>
      </c>
      <c r="BM267" t="str" cm="1">
        <f t="array" ref="BM267">IF(LEFT(AC267,4)=LEFT(_xlfn.XLOOKUP($B267,VmSpecs[[#All],[VM Name]],VmSpecs[[#All],[Data Disk1 Type]],"Failed",0,1),4),"Pass","Fail")</f>
        <v>Fail</v>
      </c>
      <c r="BO267" t="e">
        <f>VLOOKUP('VM Specs'!K267,'As Built'!B:B,1,FALSE)</f>
        <v>#N/A</v>
      </c>
      <c r="BP267" t="str">
        <f>IF(ISNA(Table613[[#This Row],[VM Build Sheet Check]]),'VM Specs'!K267,"")</f>
        <v>vmpfbpf2ohc07</v>
      </c>
    </row>
    <row r="268" spans="1:68" ht="33" customHeight="1" x14ac:dyDescent="0.35">
      <c r="A268" t="str">
        <f>IF(COUNTIF(AsBuilt[[#This Row],[VM Check]:[Data Disk 1 Type Check]],"Fail")&gt;0,"Fail","Pass")</f>
        <v>Fail</v>
      </c>
      <c r="B268" t="s">
        <v>2634</v>
      </c>
      <c r="C268" t="s">
        <v>754</v>
      </c>
      <c r="D268" t="s">
        <v>2100</v>
      </c>
      <c r="E268" t="s">
        <v>756</v>
      </c>
      <c r="F268" t="s">
        <v>757</v>
      </c>
      <c r="G268" t="s">
        <v>758</v>
      </c>
      <c r="H268" t="s">
        <v>2585</v>
      </c>
      <c r="J268" t="s">
        <v>760</v>
      </c>
      <c r="K268" t="s">
        <v>2102</v>
      </c>
      <c r="L268" t="s">
        <v>754</v>
      </c>
      <c r="M268" t="s">
        <v>2635</v>
      </c>
      <c r="N268" t="s">
        <v>2104</v>
      </c>
      <c r="O268" t="s">
        <v>2105</v>
      </c>
      <c r="P268" t="s">
        <v>63</v>
      </c>
      <c r="R268" t="s">
        <v>2636</v>
      </c>
      <c r="S268" t="s">
        <v>754</v>
      </c>
      <c r="U268" t="s">
        <v>2637</v>
      </c>
      <c r="V268" t="s">
        <v>767</v>
      </c>
      <c r="W268">
        <v>64</v>
      </c>
      <c r="X268" t="s">
        <v>768</v>
      </c>
      <c r="Y268">
        <v>2</v>
      </c>
      <c r="Z268" t="s">
        <v>2638</v>
      </c>
      <c r="AA268">
        <v>8</v>
      </c>
      <c r="AB268" t="s">
        <v>770</v>
      </c>
      <c r="AC268" t="s">
        <v>768</v>
      </c>
      <c r="AD268" t="s">
        <v>2639</v>
      </c>
      <c r="AE268">
        <v>32</v>
      </c>
      <c r="AF268" t="s">
        <v>770</v>
      </c>
      <c r="AG268" t="s">
        <v>768</v>
      </c>
      <c r="AT268" t="s">
        <v>772</v>
      </c>
      <c r="AU268" t="s">
        <v>2640</v>
      </c>
      <c r="AV268" t="str" cm="1">
        <f t="array" ref="AV268">IF(B268=_xlfn.XLOOKUP(B268,VmSpecs[[#All],[VM Name]],VmSpecs[[#All],[VM Name]],"Failed",0,1),"Pass","Fail")</f>
        <v>Fail</v>
      </c>
      <c r="AW268" t="str" cm="1">
        <f t="array" ref="AW268">IF(D268=_xlfn.XLOOKUP($B268,VmSpecs[[#All],[VM Name]],VmSpecs[[#All],[Virtual Machine Resource Groups]],"Failed",0,1),"Pass","Fail")</f>
        <v>Fail</v>
      </c>
      <c r="AX268" t="str" cm="1">
        <f t="array" ref="AX268">IF(_xlfn.IFS(E268="australiacentral","Australia Central 1",E268="australiaeast","Australia East",E268="australiasoutheast","Australia SouthEast")=_xlfn.XLOOKUP($B268,VmSpecs[[#All],[VM Name]],VmSpecs[[#All],[Region]],"Failed",0,1),"Pass","Fail")</f>
        <v>Fail</v>
      </c>
      <c r="AY268" t="str" cm="1">
        <f t="array" ref="AY268">IF(F268=_xlfn.XLOOKUP($B268,VmSpecs[[#All],[VM Name]],VmSpecs[[#All],[Instance size]],"Failed",0,1),"Pass","Fail")</f>
        <v>Fail</v>
      </c>
      <c r="AZ268" t="str" cm="1">
        <f t="array" ref="AZ268">IF(LOWER(H268)=_xlfn.XLOOKUP($B268,VmSpecs[[#All],[VM Name]],VmSpecs[[#All],[Availability Set Name]],"Failed",0,1),"Pass","Fail")</f>
        <v>Fail</v>
      </c>
      <c r="BA268" t="str" cm="1">
        <f t="array" ref="BA268">IF(J268=_xlfn.XLOOKUP($B268,VmSpecs[[#All],[VM Name]],VmSpecs[[#All],[Virtual Network]],"Failed",0,1),"Pass","Fail")</f>
        <v>Fail</v>
      </c>
      <c r="BB268" t="str" cm="1">
        <f t="array" ref="BB268">IF(K268=_xlfn.XLOOKUP($B268,VmSpecs[[#All],[VM Name]],VmSpecs[[#All],[Subnet]],"Failed",0,1),"Pass","Fail")</f>
        <v>Fail</v>
      </c>
      <c r="BC268" t="str" cm="1">
        <f t="array" ref="BC268">IF(M268=_xlfn.XLOOKUP($B268,VmSpecs[[#All],[VM Name]],VmSpecs[[#All],[IP]],"Failed",0,1),"Pass","Fail")</f>
        <v>Fail</v>
      </c>
      <c r="BD268" t="str" cm="1">
        <f t="array" ref="BD268">IF(N268=_xlfn.XLOOKUP($B268,VmSpecs[[#All],[VM Name]],VmSpecs[[#All],[Network Security Group]],"Failed",0,1),"Pass","Fail")</f>
        <v>Fail</v>
      </c>
      <c r="BE268" t="str" cm="1">
        <f t="array" ref="BE268">IF(O268=_xlfn.XLOOKUP($B268,VmSpecs[[#All],[VM Name]],VmSpecs[[#All],[Route Table Name]],"Failed",0,1),"Pass","Fail")</f>
        <v>Fail</v>
      </c>
      <c r="BF268" t="str" cm="1">
        <f t="array" ref="BF268">IF(P268=_xlfn.XLOOKUP($B268,VmSpecs[[#All],[VM Name]],VmSpecs[[#All],[Operating System]],"Failed",0,1),"Pass","Fail")</f>
        <v>Fail</v>
      </c>
      <c r="BG268" t="str" cm="1">
        <f t="array" ref="BG268">IF(R268=_xlfn.XLOOKUP($B268,VmSpecs[[#All],[VM Name]],VmSpecs[[#All],[NIC name]],"Failed",0,1),"Pass","Fail")</f>
        <v>Fail</v>
      </c>
      <c r="BH268" t="str" cm="1">
        <f t="array" ref="BH268">IF(U268=_xlfn.XLOOKUP($B268,VmSpecs[[#All],[VM Name]],VmSpecs[[#All],[OS Disk Name]],"Failed",0,1),"Pass","Fail")</f>
        <v>Fail</v>
      </c>
      <c r="BI268" t="str" cm="1">
        <f t="array" ref="BI268">IF(W268=_xlfn.XLOOKUP($B268,VmSpecs[[#All],[VM Name]],VmSpecs[[#All],[OS Disk Size]],"Failed",0,1),"Pass","Fail")</f>
        <v>Fail</v>
      </c>
      <c r="BJ268" t="str" cm="1">
        <f t="array" ref="BJ268">IF(LEFT(X268,4)=LEFT(_xlfn.XLOOKUP($B268,VmSpecs[[#All],[VM Name]],VmSpecs[[#All],[OS Disk Type (Standard SSD etc)]],"Failed",0,1),4),"Pass","Fail")</f>
        <v>Fail</v>
      </c>
      <c r="BK268" t="str" cm="1">
        <f t="array" ref="BK268">IF(Z268=_xlfn.XLOOKUP($B268,VmSpecs[[#All],[VM Name]],VmSpecs[[#All],[Data Disk1 Name]],"Failed",0,1),"Pass","Fail")</f>
        <v>Fail</v>
      </c>
      <c r="BL268" t="str" cm="1">
        <f t="array" ref="BL268">IF(AA268=_xlfn.XLOOKUP($B268,VmSpecs[[#All],[VM Name]],VmSpecs[[#All],[Data Disk1 Size]],"Failed",0,1),"Pass","Fail")</f>
        <v>Fail</v>
      </c>
      <c r="BM268" t="str" cm="1">
        <f t="array" ref="BM268">IF(LEFT(AC268,4)=LEFT(_xlfn.XLOOKUP($B268,VmSpecs[[#All],[VM Name]],VmSpecs[[#All],[Data Disk1 Type]],"Failed",0,1),4),"Pass","Fail")</f>
        <v>Fail</v>
      </c>
      <c r="BO268" t="e">
        <f>VLOOKUP('VM Specs'!K268,'As Built'!B:B,1,FALSE)</f>
        <v>#N/A</v>
      </c>
      <c r="BP268" t="str">
        <f>IF(ISNA(Table613[[#This Row],[VM Build Sheet Check]]),'VM Specs'!K268,"")</f>
        <v>vmpfbpf2ohc08</v>
      </c>
    </row>
    <row r="269" spans="1:68" ht="33" customHeight="1" x14ac:dyDescent="0.35">
      <c r="A269" t="str">
        <f>IF(COUNTIF(AsBuilt[[#This Row],[VM Check]:[Data Disk 1 Type Check]],"Fail")&gt;0,"Fail","Pass")</f>
        <v>Fail</v>
      </c>
      <c r="B269" t="s">
        <v>2641</v>
      </c>
      <c r="C269" t="s">
        <v>754</v>
      </c>
      <c r="D269" t="s">
        <v>2100</v>
      </c>
      <c r="E269" t="s">
        <v>756</v>
      </c>
      <c r="F269" t="s">
        <v>801</v>
      </c>
      <c r="G269" t="s">
        <v>758</v>
      </c>
      <c r="H269" t="s">
        <v>2642</v>
      </c>
      <c r="J269" t="s">
        <v>760</v>
      </c>
      <c r="K269" t="s">
        <v>2102</v>
      </c>
      <c r="L269" t="s">
        <v>754</v>
      </c>
      <c r="M269" t="s">
        <v>2643</v>
      </c>
      <c r="N269" t="s">
        <v>2104</v>
      </c>
      <c r="O269" t="s">
        <v>2105</v>
      </c>
      <c r="P269" t="s">
        <v>63</v>
      </c>
      <c r="R269" t="s">
        <v>2644</v>
      </c>
      <c r="S269" t="s">
        <v>754</v>
      </c>
      <c r="U269" t="s">
        <v>2645</v>
      </c>
      <c r="V269" t="s">
        <v>767</v>
      </c>
      <c r="W269">
        <v>64</v>
      </c>
      <c r="X269" t="s">
        <v>768</v>
      </c>
      <c r="Y269">
        <v>2</v>
      </c>
      <c r="Z269" t="s">
        <v>2646</v>
      </c>
      <c r="AA269">
        <v>8</v>
      </c>
      <c r="AB269" t="s">
        <v>770</v>
      </c>
      <c r="AC269" t="s">
        <v>768</v>
      </c>
      <c r="AD269" t="s">
        <v>2647</v>
      </c>
      <c r="AE269">
        <v>32</v>
      </c>
      <c r="AF269" t="s">
        <v>770</v>
      </c>
      <c r="AG269" t="s">
        <v>768</v>
      </c>
      <c r="AT269" t="s">
        <v>772</v>
      </c>
      <c r="AU269" t="s">
        <v>2648</v>
      </c>
      <c r="AV269" t="str" cm="1">
        <f t="array" ref="AV269">IF(B269=_xlfn.XLOOKUP(B269,VmSpecs[[#All],[VM Name]],VmSpecs[[#All],[VM Name]],"Failed",0,1),"Pass","Fail")</f>
        <v>Fail</v>
      </c>
      <c r="AW269" t="str" cm="1">
        <f t="array" ref="AW269">IF(D269=_xlfn.XLOOKUP($B269,VmSpecs[[#All],[VM Name]],VmSpecs[[#All],[Virtual Machine Resource Groups]],"Failed",0,1),"Pass","Fail")</f>
        <v>Fail</v>
      </c>
      <c r="AX269" t="str" cm="1">
        <f t="array" ref="AX269">IF(_xlfn.IFS(E269="australiacentral","Australia Central 1",E269="australiaeast","Australia East",E269="australiasoutheast","Australia SouthEast")=_xlfn.XLOOKUP($B269,VmSpecs[[#All],[VM Name]],VmSpecs[[#All],[Region]],"Failed",0,1),"Pass","Fail")</f>
        <v>Fail</v>
      </c>
      <c r="AY269" t="str" cm="1">
        <f t="array" ref="AY269">IF(F269=_xlfn.XLOOKUP($B269,VmSpecs[[#All],[VM Name]],VmSpecs[[#All],[Instance size]],"Failed",0,1),"Pass","Fail")</f>
        <v>Fail</v>
      </c>
      <c r="AZ269" t="str" cm="1">
        <f t="array" ref="AZ269">IF(LOWER(H269)=_xlfn.XLOOKUP($B269,VmSpecs[[#All],[VM Name]],VmSpecs[[#All],[Availability Set Name]],"Failed",0,1),"Pass","Fail")</f>
        <v>Fail</v>
      </c>
      <c r="BA269" t="str" cm="1">
        <f t="array" ref="BA269">IF(J269=_xlfn.XLOOKUP($B269,VmSpecs[[#All],[VM Name]],VmSpecs[[#All],[Virtual Network]],"Failed",0,1),"Pass","Fail")</f>
        <v>Fail</v>
      </c>
      <c r="BB269" t="str" cm="1">
        <f t="array" ref="BB269">IF(K269=_xlfn.XLOOKUP($B269,VmSpecs[[#All],[VM Name]],VmSpecs[[#All],[Subnet]],"Failed",0,1),"Pass","Fail")</f>
        <v>Fail</v>
      </c>
      <c r="BC269" t="str" cm="1">
        <f t="array" ref="BC269">IF(M269=_xlfn.XLOOKUP($B269,VmSpecs[[#All],[VM Name]],VmSpecs[[#All],[IP]],"Failed",0,1),"Pass","Fail")</f>
        <v>Fail</v>
      </c>
      <c r="BD269" t="str" cm="1">
        <f t="array" ref="BD269">IF(N269=_xlfn.XLOOKUP($B269,VmSpecs[[#All],[VM Name]],VmSpecs[[#All],[Network Security Group]],"Failed",0,1),"Pass","Fail")</f>
        <v>Fail</v>
      </c>
      <c r="BE269" t="str" cm="1">
        <f t="array" ref="BE269">IF(O269=_xlfn.XLOOKUP($B269,VmSpecs[[#All],[VM Name]],VmSpecs[[#All],[Route Table Name]],"Failed",0,1),"Pass","Fail")</f>
        <v>Fail</v>
      </c>
      <c r="BF269" t="str" cm="1">
        <f t="array" ref="BF269">IF(P269=_xlfn.XLOOKUP($B269,VmSpecs[[#All],[VM Name]],VmSpecs[[#All],[Operating System]],"Failed",0,1),"Pass","Fail")</f>
        <v>Fail</v>
      </c>
      <c r="BG269" t="str" cm="1">
        <f t="array" ref="BG269">IF(R269=_xlfn.XLOOKUP($B269,VmSpecs[[#All],[VM Name]],VmSpecs[[#All],[NIC name]],"Failed",0,1),"Pass","Fail")</f>
        <v>Fail</v>
      </c>
      <c r="BH269" t="str" cm="1">
        <f t="array" ref="BH269">IF(U269=_xlfn.XLOOKUP($B269,VmSpecs[[#All],[VM Name]],VmSpecs[[#All],[OS Disk Name]],"Failed",0,1),"Pass","Fail")</f>
        <v>Fail</v>
      </c>
      <c r="BI269" t="str" cm="1">
        <f t="array" ref="BI269">IF(W269=_xlfn.XLOOKUP($B269,VmSpecs[[#All],[VM Name]],VmSpecs[[#All],[OS Disk Size]],"Failed",0,1),"Pass","Fail")</f>
        <v>Fail</v>
      </c>
      <c r="BJ269" t="str" cm="1">
        <f t="array" ref="BJ269">IF(LEFT(X269,4)=LEFT(_xlfn.XLOOKUP($B269,VmSpecs[[#All],[VM Name]],VmSpecs[[#All],[OS Disk Type (Standard SSD etc)]],"Failed",0,1),4),"Pass","Fail")</f>
        <v>Fail</v>
      </c>
      <c r="BK269" t="str" cm="1">
        <f t="array" ref="BK269">IF(Z269=_xlfn.XLOOKUP($B269,VmSpecs[[#All],[VM Name]],VmSpecs[[#All],[Data Disk1 Name]],"Failed",0,1),"Pass","Fail")</f>
        <v>Fail</v>
      </c>
      <c r="BL269" t="str" cm="1">
        <f t="array" ref="BL269">IF(AA269=_xlfn.XLOOKUP($B269,VmSpecs[[#All],[VM Name]],VmSpecs[[#All],[Data Disk1 Size]],"Failed",0,1),"Pass","Fail")</f>
        <v>Fail</v>
      </c>
      <c r="BM269" t="str" cm="1">
        <f t="array" ref="BM269">IF(LEFT(AC269,4)=LEFT(_xlfn.XLOOKUP($B269,VmSpecs[[#All],[VM Name]],VmSpecs[[#All],[Data Disk1 Type]],"Failed",0,1),4),"Pass","Fail")</f>
        <v>Fail</v>
      </c>
      <c r="BO269" t="e">
        <f>VLOOKUP('VM Specs'!K269,'As Built'!B:B,1,FALSE)</f>
        <v>#N/A</v>
      </c>
      <c r="BP269" t="str">
        <f>IF(ISNA(Table613[[#This Row],[VM Build Sheet Check]]),'VM Specs'!K269,"")</f>
        <v>vmpfbpf2ohm01</v>
      </c>
    </row>
    <row r="270" spans="1:68" ht="33" customHeight="1" x14ac:dyDescent="0.35">
      <c r="A270" t="str">
        <f>IF(COUNTIF(AsBuilt[[#This Row],[VM Check]:[Data Disk 1 Type Check]],"Fail")&gt;0,"Fail","Pass")</f>
        <v>Fail</v>
      </c>
      <c r="B270" t="s">
        <v>2649</v>
      </c>
      <c r="C270" t="s">
        <v>754</v>
      </c>
      <c r="D270" t="s">
        <v>2100</v>
      </c>
      <c r="E270" t="s">
        <v>756</v>
      </c>
      <c r="F270" t="s">
        <v>801</v>
      </c>
      <c r="G270" t="s">
        <v>758</v>
      </c>
      <c r="H270" t="s">
        <v>2642</v>
      </c>
      <c r="J270" t="s">
        <v>760</v>
      </c>
      <c r="K270" t="s">
        <v>2102</v>
      </c>
      <c r="L270" t="s">
        <v>754</v>
      </c>
      <c r="M270" t="s">
        <v>2650</v>
      </c>
      <c r="N270" t="s">
        <v>2104</v>
      </c>
      <c r="O270" t="s">
        <v>2105</v>
      </c>
      <c r="P270" t="s">
        <v>63</v>
      </c>
      <c r="R270" t="s">
        <v>2651</v>
      </c>
      <c r="S270" t="s">
        <v>754</v>
      </c>
      <c r="U270" t="s">
        <v>2652</v>
      </c>
      <c r="V270" t="s">
        <v>767</v>
      </c>
      <c r="W270">
        <v>64</v>
      </c>
      <c r="X270" t="s">
        <v>768</v>
      </c>
      <c r="Y270">
        <v>2</v>
      </c>
      <c r="Z270" t="s">
        <v>2653</v>
      </c>
      <c r="AA270">
        <v>8</v>
      </c>
      <c r="AB270" t="s">
        <v>770</v>
      </c>
      <c r="AC270" t="s">
        <v>768</v>
      </c>
      <c r="AD270" t="s">
        <v>2654</v>
      </c>
      <c r="AE270">
        <v>32</v>
      </c>
      <c r="AF270" t="s">
        <v>770</v>
      </c>
      <c r="AG270" t="s">
        <v>768</v>
      </c>
      <c r="AT270" t="s">
        <v>772</v>
      </c>
      <c r="AU270" t="s">
        <v>2648</v>
      </c>
      <c r="AV270" t="str" cm="1">
        <f t="array" ref="AV270">IF(B270=_xlfn.XLOOKUP(B270,VmSpecs[[#All],[VM Name]],VmSpecs[[#All],[VM Name]],"Failed",0,1),"Pass","Fail")</f>
        <v>Fail</v>
      </c>
      <c r="AW270" t="str" cm="1">
        <f t="array" ref="AW270">IF(D270=_xlfn.XLOOKUP($B270,VmSpecs[[#All],[VM Name]],VmSpecs[[#All],[Virtual Machine Resource Groups]],"Failed",0,1),"Pass","Fail")</f>
        <v>Fail</v>
      </c>
      <c r="AX270" t="str" cm="1">
        <f t="array" ref="AX270">IF(_xlfn.IFS(E270="australiacentral","Australia Central 1",E270="australiaeast","Australia East",E270="australiasoutheast","Australia SouthEast")=_xlfn.XLOOKUP($B270,VmSpecs[[#All],[VM Name]],VmSpecs[[#All],[Region]],"Failed",0,1),"Pass","Fail")</f>
        <v>Fail</v>
      </c>
      <c r="AY270" t="str" cm="1">
        <f t="array" ref="AY270">IF(F270=_xlfn.XLOOKUP($B270,VmSpecs[[#All],[VM Name]],VmSpecs[[#All],[Instance size]],"Failed",0,1),"Pass","Fail")</f>
        <v>Fail</v>
      </c>
      <c r="AZ270" t="str" cm="1">
        <f t="array" ref="AZ270">IF(LOWER(H270)=_xlfn.XLOOKUP($B270,VmSpecs[[#All],[VM Name]],VmSpecs[[#All],[Availability Set Name]],"Failed",0,1),"Pass","Fail")</f>
        <v>Fail</v>
      </c>
      <c r="BA270" t="str" cm="1">
        <f t="array" ref="BA270">IF(J270=_xlfn.XLOOKUP($B270,VmSpecs[[#All],[VM Name]],VmSpecs[[#All],[Virtual Network]],"Failed",0,1),"Pass","Fail")</f>
        <v>Fail</v>
      </c>
      <c r="BB270" t="str" cm="1">
        <f t="array" ref="BB270">IF(K270=_xlfn.XLOOKUP($B270,VmSpecs[[#All],[VM Name]],VmSpecs[[#All],[Subnet]],"Failed",0,1),"Pass","Fail")</f>
        <v>Fail</v>
      </c>
      <c r="BC270" t="str" cm="1">
        <f t="array" ref="BC270">IF(M270=_xlfn.XLOOKUP($B270,VmSpecs[[#All],[VM Name]],VmSpecs[[#All],[IP]],"Failed",0,1),"Pass","Fail")</f>
        <v>Fail</v>
      </c>
      <c r="BD270" t="str" cm="1">
        <f t="array" ref="BD270">IF(N270=_xlfn.XLOOKUP($B270,VmSpecs[[#All],[VM Name]],VmSpecs[[#All],[Network Security Group]],"Failed",0,1),"Pass","Fail")</f>
        <v>Fail</v>
      </c>
      <c r="BE270" t="str" cm="1">
        <f t="array" ref="BE270">IF(O270=_xlfn.XLOOKUP($B270,VmSpecs[[#All],[VM Name]],VmSpecs[[#All],[Route Table Name]],"Failed",0,1),"Pass","Fail")</f>
        <v>Fail</v>
      </c>
      <c r="BF270" t="str" cm="1">
        <f t="array" ref="BF270">IF(P270=_xlfn.XLOOKUP($B270,VmSpecs[[#All],[VM Name]],VmSpecs[[#All],[Operating System]],"Failed",0,1),"Pass","Fail")</f>
        <v>Fail</v>
      </c>
      <c r="BG270" t="str" cm="1">
        <f t="array" ref="BG270">IF(R270=_xlfn.XLOOKUP($B270,VmSpecs[[#All],[VM Name]],VmSpecs[[#All],[NIC name]],"Failed",0,1),"Pass","Fail")</f>
        <v>Fail</v>
      </c>
      <c r="BH270" t="str" cm="1">
        <f t="array" ref="BH270">IF(U270=_xlfn.XLOOKUP($B270,VmSpecs[[#All],[VM Name]],VmSpecs[[#All],[OS Disk Name]],"Failed",0,1),"Pass","Fail")</f>
        <v>Fail</v>
      </c>
      <c r="BI270" t="str" cm="1">
        <f t="array" ref="BI270">IF(W270=_xlfn.XLOOKUP($B270,VmSpecs[[#All],[VM Name]],VmSpecs[[#All],[OS Disk Size]],"Failed",0,1),"Pass","Fail")</f>
        <v>Fail</v>
      </c>
      <c r="BJ270" t="str" cm="1">
        <f t="array" ref="BJ270">IF(LEFT(X270,4)=LEFT(_xlfn.XLOOKUP($B270,VmSpecs[[#All],[VM Name]],VmSpecs[[#All],[OS Disk Type (Standard SSD etc)]],"Failed",0,1),4),"Pass","Fail")</f>
        <v>Fail</v>
      </c>
      <c r="BK270" t="str" cm="1">
        <f t="array" ref="BK270">IF(Z270=_xlfn.XLOOKUP($B270,VmSpecs[[#All],[VM Name]],VmSpecs[[#All],[Data Disk1 Name]],"Failed",0,1),"Pass","Fail")</f>
        <v>Fail</v>
      </c>
      <c r="BL270" t="str" cm="1">
        <f t="array" ref="BL270">IF(AA270=_xlfn.XLOOKUP($B270,VmSpecs[[#All],[VM Name]],VmSpecs[[#All],[Data Disk1 Size]],"Failed",0,1),"Pass","Fail")</f>
        <v>Fail</v>
      </c>
      <c r="BM270" t="str" cm="1">
        <f t="array" ref="BM270">IF(LEFT(AC270,4)=LEFT(_xlfn.XLOOKUP($B270,VmSpecs[[#All],[VM Name]],VmSpecs[[#All],[Data Disk1 Type]],"Failed",0,1),4),"Pass","Fail")</f>
        <v>Fail</v>
      </c>
      <c r="BO270" t="e">
        <f>VLOOKUP('VM Specs'!K270,'As Built'!B:B,1,FALSE)</f>
        <v>#N/A</v>
      </c>
      <c r="BP270" t="str">
        <f>IF(ISNA(Table613[[#This Row],[VM Build Sheet Check]]),'VM Specs'!K270,"")</f>
        <v>vmpfbpf2ohm02</v>
      </c>
    </row>
    <row r="271" spans="1:68" ht="33" customHeight="1" x14ac:dyDescent="0.35">
      <c r="A271" t="str">
        <f>IF(COUNTIF(AsBuilt[[#This Row],[VM Check]:[Data Disk 1 Type Check]],"Fail")&gt;0,"Fail","Pass")</f>
        <v>Fail</v>
      </c>
      <c r="B271" t="s">
        <v>2655</v>
      </c>
      <c r="C271" t="s">
        <v>754</v>
      </c>
      <c r="D271" t="s">
        <v>2100</v>
      </c>
      <c r="E271" t="s">
        <v>756</v>
      </c>
      <c r="F271" t="s">
        <v>801</v>
      </c>
      <c r="G271" t="s">
        <v>758</v>
      </c>
      <c r="H271" t="s">
        <v>2642</v>
      </c>
      <c r="J271" t="s">
        <v>760</v>
      </c>
      <c r="K271" t="s">
        <v>2102</v>
      </c>
      <c r="L271" t="s">
        <v>754</v>
      </c>
      <c r="M271" t="s">
        <v>2656</v>
      </c>
      <c r="N271" t="s">
        <v>2104</v>
      </c>
      <c r="O271" t="s">
        <v>2105</v>
      </c>
      <c r="P271" t="s">
        <v>63</v>
      </c>
      <c r="R271" t="s">
        <v>2657</v>
      </c>
      <c r="S271" t="s">
        <v>754</v>
      </c>
      <c r="U271" t="s">
        <v>2658</v>
      </c>
      <c r="V271" t="s">
        <v>767</v>
      </c>
      <c r="W271">
        <v>64</v>
      </c>
      <c r="X271" t="s">
        <v>768</v>
      </c>
      <c r="Y271">
        <v>2</v>
      </c>
      <c r="Z271" t="s">
        <v>2659</v>
      </c>
      <c r="AA271">
        <v>8</v>
      </c>
      <c r="AB271" t="s">
        <v>770</v>
      </c>
      <c r="AC271" t="s">
        <v>768</v>
      </c>
      <c r="AD271" t="s">
        <v>2660</v>
      </c>
      <c r="AE271">
        <v>32</v>
      </c>
      <c r="AF271" t="s">
        <v>770</v>
      </c>
      <c r="AG271" t="s">
        <v>768</v>
      </c>
      <c r="AT271" t="s">
        <v>772</v>
      </c>
      <c r="AU271" t="s">
        <v>2648</v>
      </c>
      <c r="AV271" t="str" cm="1">
        <f t="array" ref="AV271">IF(B271=_xlfn.XLOOKUP(B271,VmSpecs[[#All],[VM Name]],VmSpecs[[#All],[VM Name]],"Failed",0,1),"Pass","Fail")</f>
        <v>Fail</v>
      </c>
      <c r="AW271" t="str" cm="1">
        <f t="array" ref="AW271">IF(D271=_xlfn.XLOOKUP($B271,VmSpecs[[#All],[VM Name]],VmSpecs[[#All],[Virtual Machine Resource Groups]],"Failed",0,1),"Pass","Fail")</f>
        <v>Fail</v>
      </c>
      <c r="AX271" t="str" cm="1">
        <f t="array" ref="AX271">IF(_xlfn.IFS(E271="australiacentral","Australia Central 1",E271="australiaeast","Australia East",E271="australiasoutheast","Australia SouthEast")=_xlfn.XLOOKUP($B271,VmSpecs[[#All],[VM Name]],VmSpecs[[#All],[Region]],"Failed",0,1),"Pass","Fail")</f>
        <v>Fail</v>
      </c>
      <c r="AY271" t="str" cm="1">
        <f t="array" ref="AY271">IF(F271=_xlfn.XLOOKUP($B271,VmSpecs[[#All],[VM Name]],VmSpecs[[#All],[Instance size]],"Failed",0,1),"Pass","Fail")</f>
        <v>Fail</v>
      </c>
      <c r="AZ271" t="str" cm="1">
        <f t="array" ref="AZ271">IF(LOWER(H271)=_xlfn.XLOOKUP($B271,VmSpecs[[#All],[VM Name]],VmSpecs[[#All],[Availability Set Name]],"Failed",0,1),"Pass","Fail")</f>
        <v>Fail</v>
      </c>
      <c r="BA271" t="str" cm="1">
        <f t="array" ref="BA271">IF(J271=_xlfn.XLOOKUP($B271,VmSpecs[[#All],[VM Name]],VmSpecs[[#All],[Virtual Network]],"Failed",0,1),"Pass","Fail")</f>
        <v>Fail</v>
      </c>
      <c r="BB271" t="str" cm="1">
        <f t="array" ref="BB271">IF(K271=_xlfn.XLOOKUP($B271,VmSpecs[[#All],[VM Name]],VmSpecs[[#All],[Subnet]],"Failed",0,1),"Pass","Fail")</f>
        <v>Fail</v>
      </c>
      <c r="BC271" t="str" cm="1">
        <f t="array" ref="BC271">IF(M271=_xlfn.XLOOKUP($B271,VmSpecs[[#All],[VM Name]],VmSpecs[[#All],[IP]],"Failed",0,1),"Pass","Fail")</f>
        <v>Fail</v>
      </c>
      <c r="BD271" t="str" cm="1">
        <f t="array" ref="BD271">IF(N271=_xlfn.XLOOKUP($B271,VmSpecs[[#All],[VM Name]],VmSpecs[[#All],[Network Security Group]],"Failed",0,1),"Pass","Fail")</f>
        <v>Fail</v>
      </c>
      <c r="BE271" t="str" cm="1">
        <f t="array" ref="BE271">IF(O271=_xlfn.XLOOKUP($B271,VmSpecs[[#All],[VM Name]],VmSpecs[[#All],[Route Table Name]],"Failed",0,1),"Pass","Fail")</f>
        <v>Fail</v>
      </c>
      <c r="BF271" t="str" cm="1">
        <f t="array" ref="BF271">IF(P271=_xlfn.XLOOKUP($B271,VmSpecs[[#All],[VM Name]],VmSpecs[[#All],[Operating System]],"Failed",0,1),"Pass","Fail")</f>
        <v>Fail</v>
      </c>
      <c r="BG271" t="str" cm="1">
        <f t="array" ref="BG271">IF(R271=_xlfn.XLOOKUP($B271,VmSpecs[[#All],[VM Name]],VmSpecs[[#All],[NIC name]],"Failed",0,1),"Pass","Fail")</f>
        <v>Fail</v>
      </c>
      <c r="BH271" t="str" cm="1">
        <f t="array" ref="BH271">IF(U271=_xlfn.XLOOKUP($B271,VmSpecs[[#All],[VM Name]],VmSpecs[[#All],[OS Disk Name]],"Failed",0,1),"Pass","Fail")</f>
        <v>Fail</v>
      </c>
      <c r="BI271" t="str" cm="1">
        <f t="array" ref="BI271">IF(W271=_xlfn.XLOOKUP($B271,VmSpecs[[#All],[VM Name]],VmSpecs[[#All],[OS Disk Size]],"Failed",0,1),"Pass","Fail")</f>
        <v>Fail</v>
      </c>
      <c r="BJ271" t="str" cm="1">
        <f t="array" ref="BJ271">IF(LEFT(X271,4)=LEFT(_xlfn.XLOOKUP($B271,VmSpecs[[#All],[VM Name]],VmSpecs[[#All],[OS Disk Type (Standard SSD etc)]],"Failed",0,1),4),"Pass","Fail")</f>
        <v>Fail</v>
      </c>
      <c r="BK271" t="str" cm="1">
        <f t="array" ref="BK271">IF(Z271=_xlfn.XLOOKUP($B271,VmSpecs[[#All],[VM Name]],VmSpecs[[#All],[Data Disk1 Name]],"Failed",0,1),"Pass","Fail")</f>
        <v>Fail</v>
      </c>
      <c r="BL271" t="str" cm="1">
        <f t="array" ref="BL271">IF(AA271=_xlfn.XLOOKUP($B271,VmSpecs[[#All],[VM Name]],VmSpecs[[#All],[Data Disk1 Size]],"Failed",0,1),"Pass","Fail")</f>
        <v>Fail</v>
      </c>
      <c r="BM271" t="str" cm="1">
        <f t="array" ref="BM271">IF(LEFT(AC271,4)=LEFT(_xlfn.XLOOKUP($B271,VmSpecs[[#All],[VM Name]],VmSpecs[[#All],[Data Disk1 Type]],"Failed",0,1),4),"Pass","Fail")</f>
        <v>Fail</v>
      </c>
      <c r="BO271" t="e">
        <f>VLOOKUP('VM Specs'!K271,'As Built'!B:B,1,FALSE)</f>
        <v>#N/A</v>
      </c>
      <c r="BP271" t="str">
        <f>IF(ISNA(Table613[[#This Row],[VM Build Sheet Check]]),'VM Specs'!K271,"")</f>
        <v>vmpfbpf2ohm03</v>
      </c>
    </row>
    <row r="272" spans="1:68" ht="33" customHeight="1" x14ac:dyDescent="0.35">
      <c r="A272" t="str">
        <f>IF(COUNTIF(AsBuilt[[#This Row],[VM Check]:[Data Disk 1 Type Check]],"Fail")&gt;0,"Fail","Pass")</f>
        <v>Fail</v>
      </c>
      <c r="B272" t="s">
        <v>2661</v>
      </c>
      <c r="C272" t="s">
        <v>754</v>
      </c>
      <c r="D272" t="s">
        <v>2100</v>
      </c>
      <c r="E272" t="s">
        <v>756</v>
      </c>
      <c r="F272" t="s">
        <v>801</v>
      </c>
      <c r="G272" t="s">
        <v>758</v>
      </c>
      <c r="H272" t="s">
        <v>2642</v>
      </c>
      <c r="J272" t="s">
        <v>760</v>
      </c>
      <c r="K272" t="s">
        <v>2102</v>
      </c>
      <c r="L272" t="s">
        <v>754</v>
      </c>
      <c r="M272" t="s">
        <v>2662</v>
      </c>
      <c r="N272" t="s">
        <v>2104</v>
      </c>
      <c r="O272" t="s">
        <v>2105</v>
      </c>
      <c r="P272" t="s">
        <v>63</v>
      </c>
      <c r="R272" t="s">
        <v>2663</v>
      </c>
      <c r="S272" t="s">
        <v>754</v>
      </c>
      <c r="U272" t="s">
        <v>2664</v>
      </c>
      <c r="V272" t="s">
        <v>767</v>
      </c>
      <c r="W272">
        <v>64</v>
      </c>
      <c r="X272" t="s">
        <v>768</v>
      </c>
      <c r="Y272">
        <v>2</v>
      </c>
      <c r="Z272" t="s">
        <v>2665</v>
      </c>
      <c r="AA272">
        <v>8</v>
      </c>
      <c r="AB272" t="s">
        <v>770</v>
      </c>
      <c r="AC272" t="s">
        <v>768</v>
      </c>
      <c r="AD272" t="s">
        <v>2666</v>
      </c>
      <c r="AE272">
        <v>32</v>
      </c>
      <c r="AF272" t="s">
        <v>770</v>
      </c>
      <c r="AG272" t="s">
        <v>768</v>
      </c>
      <c r="AT272" t="s">
        <v>772</v>
      </c>
      <c r="AU272" t="s">
        <v>2648</v>
      </c>
      <c r="AV272" t="str" cm="1">
        <f t="array" ref="AV272">IF(B272=_xlfn.XLOOKUP(B272,VmSpecs[[#All],[VM Name]],VmSpecs[[#All],[VM Name]],"Failed",0,1),"Pass","Fail")</f>
        <v>Fail</v>
      </c>
      <c r="AW272" t="str" cm="1">
        <f t="array" ref="AW272">IF(D272=_xlfn.XLOOKUP($B272,VmSpecs[[#All],[VM Name]],VmSpecs[[#All],[Virtual Machine Resource Groups]],"Failed",0,1),"Pass","Fail")</f>
        <v>Fail</v>
      </c>
      <c r="AX272" t="str" cm="1">
        <f t="array" ref="AX272">IF(_xlfn.IFS(E272="australiacentral","Australia Central 1",E272="australiaeast","Australia East",E272="australiasoutheast","Australia SouthEast")=_xlfn.XLOOKUP($B272,VmSpecs[[#All],[VM Name]],VmSpecs[[#All],[Region]],"Failed",0,1),"Pass","Fail")</f>
        <v>Fail</v>
      </c>
      <c r="AY272" t="str" cm="1">
        <f t="array" ref="AY272">IF(F272=_xlfn.XLOOKUP($B272,VmSpecs[[#All],[VM Name]],VmSpecs[[#All],[Instance size]],"Failed",0,1),"Pass","Fail")</f>
        <v>Fail</v>
      </c>
      <c r="AZ272" t="str" cm="1">
        <f t="array" ref="AZ272">IF(LOWER(H272)=_xlfn.XLOOKUP($B272,VmSpecs[[#All],[VM Name]],VmSpecs[[#All],[Availability Set Name]],"Failed",0,1),"Pass","Fail")</f>
        <v>Fail</v>
      </c>
      <c r="BA272" t="str" cm="1">
        <f t="array" ref="BA272">IF(J272=_xlfn.XLOOKUP($B272,VmSpecs[[#All],[VM Name]],VmSpecs[[#All],[Virtual Network]],"Failed",0,1),"Pass","Fail")</f>
        <v>Fail</v>
      </c>
      <c r="BB272" t="str" cm="1">
        <f t="array" ref="BB272">IF(K272=_xlfn.XLOOKUP($B272,VmSpecs[[#All],[VM Name]],VmSpecs[[#All],[Subnet]],"Failed",0,1),"Pass","Fail")</f>
        <v>Fail</v>
      </c>
      <c r="BC272" t="str" cm="1">
        <f t="array" ref="BC272">IF(M272=_xlfn.XLOOKUP($B272,VmSpecs[[#All],[VM Name]],VmSpecs[[#All],[IP]],"Failed",0,1),"Pass","Fail")</f>
        <v>Fail</v>
      </c>
      <c r="BD272" t="str" cm="1">
        <f t="array" ref="BD272">IF(N272=_xlfn.XLOOKUP($B272,VmSpecs[[#All],[VM Name]],VmSpecs[[#All],[Network Security Group]],"Failed",0,1),"Pass","Fail")</f>
        <v>Fail</v>
      </c>
      <c r="BE272" t="str" cm="1">
        <f t="array" ref="BE272">IF(O272=_xlfn.XLOOKUP($B272,VmSpecs[[#All],[VM Name]],VmSpecs[[#All],[Route Table Name]],"Failed",0,1),"Pass","Fail")</f>
        <v>Fail</v>
      </c>
      <c r="BF272" t="str" cm="1">
        <f t="array" ref="BF272">IF(P272=_xlfn.XLOOKUP($B272,VmSpecs[[#All],[VM Name]],VmSpecs[[#All],[Operating System]],"Failed",0,1),"Pass","Fail")</f>
        <v>Fail</v>
      </c>
      <c r="BG272" t="str" cm="1">
        <f t="array" ref="BG272">IF(R272=_xlfn.XLOOKUP($B272,VmSpecs[[#All],[VM Name]],VmSpecs[[#All],[NIC name]],"Failed",0,1),"Pass","Fail")</f>
        <v>Fail</v>
      </c>
      <c r="BH272" t="str" cm="1">
        <f t="array" ref="BH272">IF(U272=_xlfn.XLOOKUP($B272,VmSpecs[[#All],[VM Name]],VmSpecs[[#All],[OS Disk Name]],"Failed",0,1),"Pass","Fail")</f>
        <v>Fail</v>
      </c>
      <c r="BI272" t="str" cm="1">
        <f t="array" ref="BI272">IF(W272=_xlfn.XLOOKUP($B272,VmSpecs[[#All],[VM Name]],VmSpecs[[#All],[OS Disk Size]],"Failed",0,1),"Pass","Fail")</f>
        <v>Fail</v>
      </c>
      <c r="BJ272" t="str" cm="1">
        <f t="array" ref="BJ272">IF(LEFT(X272,4)=LEFT(_xlfn.XLOOKUP($B272,VmSpecs[[#All],[VM Name]],VmSpecs[[#All],[OS Disk Type (Standard SSD etc)]],"Failed",0,1),4),"Pass","Fail")</f>
        <v>Fail</v>
      </c>
      <c r="BK272" t="str" cm="1">
        <f t="array" ref="BK272">IF(Z272=_xlfn.XLOOKUP($B272,VmSpecs[[#All],[VM Name]],VmSpecs[[#All],[Data Disk1 Name]],"Failed",0,1),"Pass","Fail")</f>
        <v>Fail</v>
      </c>
      <c r="BL272" t="str" cm="1">
        <f t="array" ref="BL272">IF(AA272=_xlfn.XLOOKUP($B272,VmSpecs[[#All],[VM Name]],VmSpecs[[#All],[Data Disk1 Size]],"Failed",0,1),"Pass","Fail")</f>
        <v>Fail</v>
      </c>
      <c r="BM272" t="str" cm="1">
        <f t="array" ref="BM272">IF(LEFT(AC272,4)=LEFT(_xlfn.XLOOKUP($B272,VmSpecs[[#All],[VM Name]],VmSpecs[[#All],[Data Disk1 Type]],"Failed",0,1),4),"Pass","Fail")</f>
        <v>Fail</v>
      </c>
      <c r="BO272" t="e">
        <f>VLOOKUP('VM Specs'!K272,'As Built'!B:B,1,FALSE)</f>
        <v>#N/A</v>
      </c>
      <c r="BP272" t="str">
        <f>IF(ISNA(Table613[[#This Row],[VM Build Sheet Check]]),'VM Specs'!K272,"")</f>
        <v>vmpfbpf2ohm04</v>
      </c>
    </row>
    <row r="273" spans="1:68" ht="33" customHeight="1" x14ac:dyDescent="0.35">
      <c r="A273" t="str">
        <f>IF(COUNTIF(AsBuilt[[#This Row],[VM Check]:[Data Disk 1 Type Check]],"Fail")&gt;0,"Fail","Pass")</f>
        <v>Fail</v>
      </c>
      <c r="B273" t="s">
        <v>2667</v>
      </c>
      <c r="C273" t="s">
        <v>754</v>
      </c>
      <c r="D273" t="s">
        <v>2100</v>
      </c>
      <c r="E273" t="s">
        <v>756</v>
      </c>
      <c r="F273" t="s">
        <v>801</v>
      </c>
      <c r="G273" t="s">
        <v>758</v>
      </c>
      <c r="H273" t="s">
        <v>2642</v>
      </c>
      <c r="J273" t="s">
        <v>760</v>
      </c>
      <c r="K273" t="s">
        <v>2102</v>
      </c>
      <c r="L273" t="s">
        <v>754</v>
      </c>
      <c r="M273" t="s">
        <v>2668</v>
      </c>
      <c r="N273" t="s">
        <v>2104</v>
      </c>
      <c r="O273" t="s">
        <v>2105</v>
      </c>
      <c r="P273" t="s">
        <v>63</v>
      </c>
      <c r="R273" t="s">
        <v>2669</v>
      </c>
      <c r="S273" t="s">
        <v>754</v>
      </c>
      <c r="U273" t="s">
        <v>2670</v>
      </c>
      <c r="V273" t="s">
        <v>767</v>
      </c>
      <c r="W273">
        <v>64</v>
      </c>
      <c r="X273" t="s">
        <v>768</v>
      </c>
      <c r="Y273">
        <v>2</v>
      </c>
      <c r="Z273" t="s">
        <v>2671</v>
      </c>
      <c r="AA273">
        <v>8</v>
      </c>
      <c r="AB273" t="s">
        <v>770</v>
      </c>
      <c r="AC273" t="s">
        <v>768</v>
      </c>
      <c r="AD273" t="s">
        <v>2672</v>
      </c>
      <c r="AE273">
        <v>32</v>
      </c>
      <c r="AF273" t="s">
        <v>770</v>
      </c>
      <c r="AG273" t="s">
        <v>768</v>
      </c>
      <c r="AT273" t="s">
        <v>772</v>
      </c>
      <c r="AU273" t="s">
        <v>2648</v>
      </c>
      <c r="AV273" t="str" cm="1">
        <f t="array" ref="AV273">IF(B273=_xlfn.XLOOKUP(B273,VmSpecs[[#All],[VM Name]],VmSpecs[[#All],[VM Name]],"Failed",0,1),"Pass","Fail")</f>
        <v>Fail</v>
      </c>
      <c r="AW273" t="str" cm="1">
        <f t="array" ref="AW273">IF(D273=_xlfn.XLOOKUP($B273,VmSpecs[[#All],[VM Name]],VmSpecs[[#All],[Virtual Machine Resource Groups]],"Failed",0,1),"Pass","Fail")</f>
        <v>Fail</v>
      </c>
      <c r="AX273" t="str" cm="1">
        <f t="array" ref="AX273">IF(_xlfn.IFS(E273="australiacentral","Australia Central 1",E273="australiaeast","Australia East",E273="australiasoutheast","Australia SouthEast")=_xlfn.XLOOKUP($B273,VmSpecs[[#All],[VM Name]],VmSpecs[[#All],[Region]],"Failed",0,1),"Pass","Fail")</f>
        <v>Fail</v>
      </c>
      <c r="AY273" t="str" cm="1">
        <f t="array" ref="AY273">IF(F273=_xlfn.XLOOKUP($B273,VmSpecs[[#All],[VM Name]],VmSpecs[[#All],[Instance size]],"Failed",0,1),"Pass","Fail")</f>
        <v>Fail</v>
      </c>
      <c r="AZ273" t="str" cm="1">
        <f t="array" ref="AZ273">IF(LOWER(H273)=_xlfn.XLOOKUP($B273,VmSpecs[[#All],[VM Name]],VmSpecs[[#All],[Availability Set Name]],"Failed",0,1),"Pass","Fail")</f>
        <v>Fail</v>
      </c>
      <c r="BA273" t="str" cm="1">
        <f t="array" ref="BA273">IF(J273=_xlfn.XLOOKUP($B273,VmSpecs[[#All],[VM Name]],VmSpecs[[#All],[Virtual Network]],"Failed",0,1),"Pass","Fail")</f>
        <v>Fail</v>
      </c>
      <c r="BB273" t="str" cm="1">
        <f t="array" ref="BB273">IF(K273=_xlfn.XLOOKUP($B273,VmSpecs[[#All],[VM Name]],VmSpecs[[#All],[Subnet]],"Failed",0,1),"Pass","Fail")</f>
        <v>Fail</v>
      </c>
      <c r="BC273" t="str" cm="1">
        <f t="array" ref="BC273">IF(M273=_xlfn.XLOOKUP($B273,VmSpecs[[#All],[VM Name]],VmSpecs[[#All],[IP]],"Failed",0,1),"Pass","Fail")</f>
        <v>Fail</v>
      </c>
      <c r="BD273" t="str" cm="1">
        <f t="array" ref="BD273">IF(N273=_xlfn.XLOOKUP($B273,VmSpecs[[#All],[VM Name]],VmSpecs[[#All],[Network Security Group]],"Failed",0,1),"Pass","Fail")</f>
        <v>Fail</v>
      </c>
      <c r="BE273" t="str" cm="1">
        <f t="array" ref="BE273">IF(O273=_xlfn.XLOOKUP($B273,VmSpecs[[#All],[VM Name]],VmSpecs[[#All],[Route Table Name]],"Failed",0,1),"Pass","Fail")</f>
        <v>Fail</v>
      </c>
      <c r="BF273" t="str" cm="1">
        <f t="array" ref="BF273">IF(P273=_xlfn.XLOOKUP($B273,VmSpecs[[#All],[VM Name]],VmSpecs[[#All],[Operating System]],"Failed",0,1),"Pass","Fail")</f>
        <v>Fail</v>
      </c>
      <c r="BG273" t="str" cm="1">
        <f t="array" ref="BG273">IF(R273=_xlfn.XLOOKUP($B273,VmSpecs[[#All],[VM Name]],VmSpecs[[#All],[NIC name]],"Failed",0,1),"Pass","Fail")</f>
        <v>Fail</v>
      </c>
      <c r="BH273" t="str" cm="1">
        <f t="array" ref="BH273">IF(U273=_xlfn.XLOOKUP($B273,VmSpecs[[#All],[VM Name]],VmSpecs[[#All],[OS Disk Name]],"Failed",0,1),"Pass","Fail")</f>
        <v>Fail</v>
      </c>
      <c r="BI273" t="str" cm="1">
        <f t="array" ref="BI273">IF(W273=_xlfn.XLOOKUP($B273,VmSpecs[[#All],[VM Name]],VmSpecs[[#All],[OS Disk Size]],"Failed",0,1),"Pass","Fail")</f>
        <v>Fail</v>
      </c>
      <c r="BJ273" t="str" cm="1">
        <f t="array" ref="BJ273">IF(LEFT(X273,4)=LEFT(_xlfn.XLOOKUP($B273,VmSpecs[[#All],[VM Name]],VmSpecs[[#All],[OS Disk Type (Standard SSD etc)]],"Failed",0,1),4),"Pass","Fail")</f>
        <v>Fail</v>
      </c>
      <c r="BK273" t="str" cm="1">
        <f t="array" ref="BK273">IF(Z273=_xlfn.XLOOKUP($B273,VmSpecs[[#All],[VM Name]],VmSpecs[[#All],[Data Disk1 Name]],"Failed",0,1),"Pass","Fail")</f>
        <v>Fail</v>
      </c>
      <c r="BL273" t="str" cm="1">
        <f t="array" ref="BL273">IF(AA273=_xlfn.XLOOKUP($B273,VmSpecs[[#All],[VM Name]],VmSpecs[[#All],[Data Disk1 Size]],"Failed",0,1),"Pass","Fail")</f>
        <v>Fail</v>
      </c>
      <c r="BM273" t="str" cm="1">
        <f t="array" ref="BM273">IF(LEFT(AC273,4)=LEFT(_xlfn.XLOOKUP($B273,VmSpecs[[#All],[VM Name]],VmSpecs[[#All],[Data Disk1 Type]],"Failed",0,1),4),"Pass","Fail")</f>
        <v>Fail</v>
      </c>
      <c r="BO273" t="e">
        <f>VLOOKUP('VM Specs'!K273,'As Built'!B:B,1,FALSE)</f>
        <v>#N/A</v>
      </c>
      <c r="BP273" t="str">
        <f>IF(ISNA(Table613[[#This Row],[VM Build Sheet Check]]),'VM Specs'!K273,"")</f>
        <v>vmpfbpf2ohm05</v>
      </c>
    </row>
    <row r="274" spans="1:68" ht="33" customHeight="1" x14ac:dyDescent="0.35">
      <c r="A274" t="str">
        <f>IF(COUNTIF(AsBuilt[[#This Row],[VM Check]:[Data Disk 1 Type Check]],"Fail")&gt;0,"Fail","Pass")</f>
        <v>Fail</v>
      </c>
      <c r="B274" t="s">
        <v>2673</v>
      </c>
      <c r="C274" t="s">
        <v>754</v>
      </c>
      <c r="D274" t="s">
        <v>2100</v>
      </c>
      <c r="E274" t="s">
        <v>756</v>
      </c>
      <c r="F274" t="s">
        <v>801</v>
      </c>
      <c r="G274" t="s">
        <v>758</v>
      </c>
      <c r="H274" t="s">
        <v>2642</v>
      </c>
      <c r="J274" t="s">
        <v>760</v>
      </c>
      <c r="K274" t="s">
        <v>2102</v>
      </c>
      <c r="L274" t="s">
        <v>754</v>
      </c>
      <c r="M274" t="s">
        <v>2674</v>
      </c>
      <c r="N274" t="s">
        <v>2104</v>
      </c>
      <c r="O274" t="s">
        <v>2105</v>
      </c>
      <c r="P274" t="s">
        <v>63</v>
      </c>
      <c r="R274" t="s">
        <v>2675</v>
      </c>
      <c r="S274" t="s">
        <v>754</v>
      </c>
      <c r="U274" t="s">
        <v>2676</v>
      </c>
      <c r="V274" t="s">
        <v>767</v>
      </c>
      <c r="W274">
        <v>64</v>
      </c>
      <c r="X274" t="s">
        <v>768</v>
      </c>
      <c r="Y274">
        <v>2</v>
      </c>
      <c r="Z274" t="s">
        <v>2677</v>
      </c>
      <c r="AA274">
        <v>8</v>
      </c>
      <c r="AB274" t="s">
        <v>770</v>
      </c>
      <c r="AC274" t="s">
        <v>768</v>
      </c>
      <c r="AD274" t="s">
        <v>2678</v>
      </c>
      <c r="AE274">
        <v>32</v>
      </c>
      <c r="AF274" t="s">
        <v>770</v>
      </c>
      <c r="AG274" t="s">
        <v>768</v>
      </c>
      <c r="AT274" t="s">
        <v>772</v>
      </c>
      <c r="AU274" t="s">
        <v>2648</v>
      </c>
      <c r="AV274" t="str" cm="1">
        <f t="array" ref="AV274">IF(B274=_xlfn.XLOOKUP(B274,VmSpecs[[#All],[VM Name]],VmSpecs[[#All],[VM Name]],"Failed",0,1),"Pass","Fail")</f>
        <v>Fail</v>
      </c>
      <c r="AW274" t="str" cm="1">
        <f t="array" ref="AW274">IF(D274=_xlfn.XLOOKUP($B274,VmSpecs[[#All],[VM Name]],VmSpecs[[#All],[Virtual Machine Resource Groups]],"Failed",0,1),"Pass","Fail")</f>
        <v>Fail</v>
      </c>
      <c r="AX274" t="str" cm="1">
        <f t="array" ref="AX274">IF(_xlfn.IFS(E274="australiacentral","Australia Central 1",E274="australiaeast","Australia East",E274="australiasoutheast","Australia SouthEast")=_xlfn.XLOOKUP($B274,VmSpecs[[#All],[VM Name]],VmSpecs[[#All],[Region]],"Failed",0,1),"Pass","Fail")</f>
        <v>Fail</v>
      </c>
      <c r="AY274" t="str" cm="1">
        <f t="array" ref="AY274">IF(F274=_xlfn.XLOOKUP($B274,VmSpecs[[#All],[VM Name]],VmSpecs[[#All],[Instance size]],"Failed",0,1),"Pass","Fail")</f>
        <v>Fail</v>
      </c>
      <c r="AZ274" t="str" cm="1">
        <f t="array" ref="AZ274">IF(LOWER(H274)=_xlfn.XLOOKUP($B274,VmSpecs[[#All],[VM Name]],VmSpecs[[#All],[Availability Set Name]],"Failed",0,1),"Pass","Fail")</f>
        <v>Fail</v>
      </c>
      <c r="BA274" t="str" cm="1">
        <f t="array" ref="BA274">IF(J274=_xlfn.XLOOKUP($B274,VmSpecs[[#All],[VM Name]],VmSpecs[[#All],[Virtual Network]],"Failed",0,1),"Pass","Fail")</f>
        <v>Fail</v>
      </c>
      <c r="BB274" t="str" cm="1">
        <f t="array" ref="BB274">IF(K274=_xlfn.XLOOKUP($B274,VmSpecs[[#All],[VM Name]],VmSpecs[[#All],[Subnet]],"Failed",0,1),"Pass","Fail")</f>
        <v>Fail</v>
      </c>
      <c r="BC274" t="str" cm="1">
        <f t="array" ref="BC274">IF(M274=_xlfn.XLOOKUP($B274,VmSpecs[[#All],[VM Name]],VmSpecs[[#All],[IP]],"Failed",0,1),"Pass","Fail")</f>
        <v>Fail</v>
      </c>
      <c r="BD274" t="str" cm="1">
        <f t="array" ref="BD274">IF(N274=_xlfn.XLOOKUP($B274,VmSpecs[[#All],[VM Name]],VmSpecs[[#All],[Network Security Group]],"Failed",0,1),"Pass","Fail")</f>
        <v>Fail</v>
      </c>
      <c r="BE274" t="str" cm="1">
        <f t="array" ref="BE274">IF(O274=_xlfn.XLOOKUP($B274,VmSpecs[[#All],[VM Name]],VmSpecs[[#All],[Route Table Name]],"Failed",0,1),"Pass","Fail")</f>
        <v>Fail</v>
      </c>
      <c r="BF274" t="str" cm="1">
        <f t="array" ref="BF274">IF(P274=_xlfn.XLOOKUP($B274,VmSpecs[[#All],[VM Name]],VmSpecs[[#All],[Operating System]],"Failed",0,1),"Pass","Fail")</f>
        <v>Fail</v>
      </c>
      <c r="BG274" t="str" cm="1">
        <f t="array" ref="BG274">IF(R274=_xlfn.XLOOKUP($B274,VmSpecs[[#All],[VM Name]],VmSpecs[[#All],[NIC name]],"Failed",0,1),"Pass","Fail")</f>
        <v>Fail</v>
      </c>
      <c r="BH274" t="str" cm="1">
        <f t="array" ref="BH274">IF(U274=_xlfn.XLOOKUP($B274,VmSpecs[[#All],[VM Name]],VmSpecs[[#All],[OS Disk Name]],"Failed",0,1),"Pass","Fail")</f>
        <v>Fail</v>
      </c>
      <c r="BI274" t="str" cm="1">
        <f t="array" ref="BI274">IF(W274=_xlfn.XLOOKUP($B274,VmSpecs[[#All],[VM Name]],VmSpecs[[#All],[OS Disk Size]],"Failed",0,1),"Pass","Fail")</f>
        <v>Fail</v>
      </c>
      <c r="BJ274" t="str" cm="1">
        <f t="array" ref="BJ274">IF(LEFT(X274,4)=LEFT(_xlfn.XLOOKUP($B274,VmSpecs[[#All],[VM Name]],VmSpecs[[#All],[OS Disk Type (Standard SSD etc)]],"Failed",0,1),4),"Pass","Fail")</f>
        <v>Fail</v>
      </c>
      <c r="BK274" t="str" cm="1">
        <f t="array" ref="BK274">IF(Z274=_xlfn.XLOOKUP($B274,VmSpecs[[#All],[VM Name]],VmSpecs[[#All],[Data Disk1 Name]],"Failed",0,1),"Pass","Fail")</f>
        <v>Fail</v>
      </c>
      <c r="BL274" t="str" cm="1">
        <f t="array" ref="BL274">IF(AA274=_xlfn.XLOOKUP($B274,VmSpecs[[#All],[VM Name]],VmSpecs[[#All],[Data Disk1 Size]],"Failed",0,1),"Pass","Fail")</f>
        <v>Fail</v>
      </c>
      <c r="BM274" t="str" cm="1">
        <f t="array" ref="BM274">IF(LEFT(AC274,4)=LEFT(_xlfn.XLOOKUP($B274,VmSpecs[[#All],[VM Name]],VmSpecs[[#All],[Data Disk1 Type]],"Failed",0,1),4),"Pass","Fail")</f>
        <v>Fail</v>
      </c>
      <c r="BO274" t="e">
        <f>VLOOKUP('VM Specs'!K274,'As Built'!B:B,1,FALSE)</f>
        <v>#N/A</v>
      </c>
      <c r="BP274" t="str">
        <f>IF(ISNA(Table613[[#This Row],[VM Build Sheet Check]]),'VM Specs'!K274,"")</f>
        <v>vmpfbpf2ohm06</v>
      </c>
    </row>
    <row r="275" spans="1:68" ht="33" customHeight="1" x14ac:dyDescent="0.35">
      <c r="A275" t="str">
        <f>IF(COUNTIF(AsBuilt[[#This Row],[VM Check]:[Data Disk 1 Type Check]],"Fail")&gt;0,"Fail","Pass")</f>
        <v>Fail</v>
      </c>
      <c r="B275" t="s">
        <v>2679</v>
      </c>
      <c r="C275" t="s">
        <v>754</v>
      </c>
      <c r="D275" t="s">
        <v>2100</v>
      </c>
      <c r="E275" t="s">
        <v>756</v>
      </c>
      <c r="F275" t="s">
        <v>801</v>
      </c>
      <c r="G275" t="s">
        <v>758</v>
      </c>
      <c r="H275" t="s">
        <v>2642</v>
      </c>
      <c r="J275" t="s">
        <v>760</v>
      </c>
      <c r="K275" t="s">
        <v>2102</v>
      </c>
      <c r="L275" t="s">
        <v>754</v>
      </c>
      <c r="M275" t="s">
        <v>2680</v>
      </c>
      <c r="N275" t="s">
        <v>2104</v>
      </c>
      <c r="O275" t="s">
        <v>2105</v>
      </c>
      <c r="P275" t="s">
        <v>63</v>
      </c>
      <c r="R275" t="s">
        <v>2681</v>
      </c>
      <c r="S275" t="s">
        <v>754</v>
      </c>
      <c r="U275" t="s">
        <v>2682</v>
      </c>
      <c r="V275" t="s">
        <v>767</v>
      </c>
      <c r="W275">
        <v>64</v>
      </c>
      <c r="X275" t="s">
        <v>768</v>
      </c>
      <c r="Y275">
        <v>2</v>
      </c>
      <c r="Z275" t="s">
        <v>2683</v>
      </c>
      <c r="AA275">
        <v>8</v>
      </c>
      <c r="AB275" t="s">
        <v>770</v>
      </c>
      <c r="AC275" t="s">
        <v>768</v>
      </c>
      <c r="AD275" t="s">
        <v>2684</v>
      </c>
      <c r="AE275">
        <v>32</v>
      </c>
      <c r="AF275" t="s">
        <v>770</v>
      </c>
      <c r="AG275" t="s">
        <v>768</v>
      </c>
      <c r="AT275" t="s">
        <v>772</v>
      </c>
      <c r="AU275" t="s">
        <v>2648</v>
      </c>
      <c r="AV275" t="str" cm="1">
        <f t="array" ref="AV275">IF(B275=_xlfn.XLOOKUP(B275,VmSpecs[[#All],[VM Name]],VmSpecs[[#All],[VM Name]],"Failed",0,1),"Pass","Fail")</f>
        <v>Fail</v>
      </c>
      <c r="AW275" t="str" cm="1">
        <f t="array" ref="AW275">IF(D275=_xlfn.XLOOKUP($B275,VmSpecs[[#All],[VM Name]],VmSpecs[[#All],[Virtual Machine Resource Groups]],"Failed",0,1),"Pass","Fail")</f>
        <v>Fail</v>
      </c>
      <c r="AX275" t="str" cm="1">
        <f t="array" ref="AX275">IF(_xlfn.IFS(E275="australiacentral","Australia Central 1",E275="australiaeast","Australia East",E275="australiasoutheast","Australia SouthEast")=_xlfn.XLOOKUP($B275,VmSpecs[[#All],[VM Name]],VmSpecs[[#All],[Region]],"Failed",0,1),"Pass","Fail")</f>
        <v>Fail</v>
      </c>
      <c r="AY275" t="str" cm="1">
        <f t="array" ref="AY275">IF(F275=_xlfn.XLOOKUP($B275,VmSpecs[[#All],[VM Name]],VmSpecs[[#All],[Instance size]],"Failed",0,1),"Pass","Fail")</f>
        <v>Fail</v>
      </c>
      <c r="AZ275" t="str" cm="1">
        <f t="array" ref="AZ275">IF(LOWER(H275)=_xlfn.XLOOKUP($B275,VmSpecs[[#All],[VM Name]],VmSpecs[[#All],[Availability Set Name]],"Failed",0,1),"Pass","Fail")</f>
        <v>Fail</v>
      </c>
      <c r="BA275" t="str" cm="1">
        <f t="array" ref="BA275">IF(J275=_xlfn.XLOOKUP($B275,VmSpecs[[#All],[VM Name]],VmSpecs[[#All],[Virtual Network]],"Failed",0,1),"Pass","Fail")</f>
        <v>Fail</v>
      </c>
      <c r="BB275" t="str" cm="1">
        <f t="array" ref="BB275">IF(K275=_xlfn.XLOOKUP($B275,VmSpecs[[#All],[VM Name]],VmSpecs[[#All],[Subnet]],"Failed",0,1),"Pass","Fail")</f>
        <v>Fail</v>
      </c>
      <c r="BC275" t="str" cm="1">
        <f t="array" ref="BC275">IF(M275=_xlfn.XLOOKUP($B275,VmSpecs[[#All],[VM Name]],VmSpecs[[#All],[IP]],"Failed",0,1),"Pass","Fail")</f>
        <v>Fail</v>
      </c>
      <c r="BD275" t="str" cm="1">
        <f t="array" ref="BD275">IF(N275=_xlfn.XLOOKUP($B275,VmSpecs[[#All],[VM Name]],VmSpecs[[#All],[Network Security Group]],"Failed",0,1),"Pass","Fail")</f>
        <v>Fail</v>
      </c>
      <c r="BE275" t="str" cm="1">
        <f t="array" ref="BE275">IF(O275=_xlfn.XLOOKUP($B275,VmSpecs[[#All],[VM Name]],VmSpecs[[#All],[Route Table Name]],"Failed",0,1),"Pass","Fail")</f>
        <v>Fail</v>
      </c>
      <c r="BF275" t="str" cm="1">
        <f t="array" ref="BF275">IF(P275=_xlfn.XLOOKUP($B275,VmSpecs[[#All],[VM Name]],VmSpecs[[#All],[Operating System]],"Failed",0,1),"Pass","Fail")</f>
        <v>Fail</v>
      </c>
      <c r="BG275" t="str" cm="1">
        <f t="array" ref="BG275">IF(R275=_xlfn.XLOOKUP($B275,VmSpecs[[#All],[VM Name]],VmSpecs[[#All],[NIC name]],"Failed",0,1),"Pass","Fail")</f>
        <v>Fail</v>
      </c>
      <c r="BH275" t="str" cm="1">
        <f t="array" ref="BH275">IF(U275=_xlfn.XLOOKUP($B275,VmSpecs[[#All],[VM Name]],VmSpecs[[#All],[OS Disk Name]],"Failed",0,1),"Pass","Fail")</f>
        <v>Fail</v>
      </c>
      <c r="BI275" t="str" cm="1">
        <f t="array" ref="BI275">IF(W275=_xlfn.XLOOKUP($B275,VmSpecs[[#All],[VM Name]],VmSpecs[[#All],[OS Disk Size]],"Failed",0,1),"Pass","Fail")</f>
        <v>Fail</v>
      </c>
      <c r="BJ275" t="str" cm="1">
        <f t="array" ref="BJ275">IF(LEFT(X275,4)=LEFT(_xlfn.XLOOKUP($B275,VmSpecs[[#All],[VM Name]],VmSpecs[[#All],[OS Disk Type (Standard SSD etc)]],"Failed",0,1),4),"Pass","Fail")</f>
        <v>Fail</v>
      </c>
      <c r="BK275" t="str" cm="1">
        <f t="array" ref="BK275">IF(Z275=_xlfn.XLOOKUP($B275,VmSpecs[[#All],[VM Name]],VmSpecs[[#All],[Data Disk1 Name]],"Failed",0,1),"Pass","Fail")</f>
        <v>Fail</v>
      </c>
      <c r="BL275" t="str" cm="1">
        <f t="array" ref="BL275">IF(AA275=_xlfn.XLOOKUP($B275,VmSpecs[[#All],[VM Name]],VmSpecs[[#All],[Data Disk1 Size]],"Failed",0,1),"Pass","Fail")</f>
        <v>Fail</v>
      </c>
      <c r="BM275" t="str" cm="1">
        <f t="array" ref="BM275">IF(LEFT(AC275,4)=LEFT(_xlfn.XLOOKUP($B275,VmSpecs[[#All],[VM Name]],VmSpecs[[#All],[Data Disk1 Type]],"Failed",0,1),4),"Pass","Fail")</f>
        <v>Fail</v>
      </c>
      <c r="BO275" t="e">
        <f>VLOOKUP('VM Specs'!K275,'As Built'!B:B,1,FALSE)</f>
        <v>#N/A</v>
      </c>
      <c r="BP275" t="str">
        <f>IF(ISNA(Table613[[#This Row],[VM Build Sheet Check]]),'VM Specs'!K275,"")</f>
        <v>vmpfbpf2ohm07</v>
      </c>
    </row>
    <row r="276" spans="1:68" ht="33" customHeight="1" x14ac:dyDescent="0.35">
      <c r="A276" t="str">
        <f>IF(COUNTIF(AsBuilt[[#This Row],[VM Check]:[Data Disk 1 Type Check]],"Fail")&gt;0,"Fail","Pass")</f>
        <v>Fail</v>
      </c>
      <c r="B276" t="s">
        <v>2685</v>
      </c>
      <c r="C276" t="s">
        <v>754</v>
      </c>
      <c r="D276" t="s">
        <v>2100</v>
      </c>
      <c r="E276" t="s">
        <v>756</v>
      </c>
      <c r="F276" t="s">
        <v>801</v>
      </c>
      <c r="G276" t="s">
        <v>758</v>
      </c>
      <c r="H276" t="s">
        <v>2642</v>
      </c>
      <c r="J276" t="s">
        <v>760</v>
      </c>
      <c r="K276" t="s">
        <v>2102</v>
      </c>
      <c r="L276" t="s">
        <v>754</v>
      </c>
      <c r="M276" t="s">
        <v>2686</v>
      </c>
      <c r="N276" t="s">
        <v>2104</v>
      </c>
      <c r="O276" t="s">
        <v>2105</v>
      </c>
      <c r="P276" t="s">
        <v>63</v>
      </c>
      <c r="R276" t="s">
        <v>2687</v>
      </c>
      <c r="S276" t="s">
        <v>754</v>
      </c>
      <c r="U276" t="s">
        <v>2688</v>
      </c>
      <c r="V276" t="s">
        <v>767</v>
      </c>
      <c r="W276">
        <v>64</v>
      </c>
      <c r="X276" t="s">
        <v>768</v>
      </c>
      <c r="Y276">
        <v>2</v>
      </c>
      <c r="Z276" t="s">
        <v>2689</v>
      </c>
      <c r="AA276">
        <v>8</v>
      </c>
      <c r="AB276" t="s">
        <v>770</v>
      </c>
      <c r="AC276" t="s">
        <v>768</v>
      </c>
      <c r="AD276" t="s">
        <v>2690</v>
      </c>
      <c r="AE276">
        <v>32</v>
      </c>
      <c r="AF276" t="s">
        <v>770</v>
      </c>
      <c r="AG276" t="s">
        <v>768</v>
      </c>
      <c r="AT276" t="s">
        <v>772</v>
      </c>
      <c r="AU276" t="s">
        <v>2648</v>
      </c>
      <c r="AV276" t="str" cm="1">
        <f t="array" ref="AV276">IF(B276=_xlfn.XLOOKUP(B276,VmSpecs[[#All],[VM Name]],VmSpecs[[#All],[VM Name]],"Failed",0,1),"Pass","Fail")</f>
        <v>Fail</v>
      </c>
      <c r="AW276" t="str" cm="1">
        <f t="array" ref="AW276">IF(D276=_xlfn.XLOOKUP($B276,VmSpecs[[#All],[VM Name]],VmSpecs[[#All],[Virtual Machine Resource Groups]],"Failed",0,1),"Pass","Fail")</f>
        <v>Fail</v>
      </c>
      <c r="AX276" t="str" cm="1">
        <f t="array" ref="AX276">IF(_xlfn.IFS(E276="australiacentral","Australia Central 1",E276="australiaeast","Australia East",E276="australiasoutheast","Australia SouthEast")=_xlfn.XLOOKUP($B276,VmSpecs[[#All],[VM Name]],VmSpecs[[#All],[Region]],"Failed",0,1),"Pass","Fail")</f>
        <v>Fail</v>
      </c>
      <c r="AY276" t="str" cm="1">
        <f t="array" ref="AY276">IF(F276=_xlfn.XLOOKUP($B276,VmSpecs[[#All],[VM Name]],VmSpecs[[#All],[Instance size]],"Failed",0,1),"Pass","Fail")</f>
        <v>Fail</v>
      </c>
      <c r="AZ276" t="str" cm="1">
        <f t="array" ref="AZ276">IF(LOWER(H276)=_xlfn.XLOOKUP($B276,VmSpecs[[#All],[VM Name]],VmSpecs[[#All],[Availability Set Name]],"Failed",0,1),"Pass","Fail")</f>
        <v>Fail</v>
      </c>
      <c r="BA276" t="str" cm="1">
        <f t="array" ref="BA276">IF(J276=_xlfn.XLOOKUP($B276,VmSpecs[[#All],[VM Name]],VmSpecs[[#All],[Virtual Network]],"Failed",0,1),"Pass","Fail")</f>
        <v>Fail</v>
      </c>
      <c r="BB276" t="str" cm="1">
        <f t="array" ref="BB276">IF(K276=_xlfn.XLOOKUP($B276,VmSpecs[[#All],[VM Name]],VmSpecs[[#All],[Subnet]],"Failed",0,1),"Pass","Fail")</f>
        <v>Fail</v>
      </c>
      <c r="BC276" t="str" cm="1">
        <f t="array" ref="BC276">IF(M276=_xlfn.XLOOKUP($B276,VmSpecs[[#All],[VM Name]],VmSpecs[[#All],[IP]],"Failed",0,1),"Pass","Fail")</f>
        <v>Fail</v>
      </c>
      <c r="BD276" t="str" cm="1">
        <f t="array" ref="BD276">IF(N276=_xlfn.XLOOKUP($B276,VmSpecs[[#All],[VM Name]],VmSpecs[[#All],[Network Security Group]],"Failed",0,1),"Pass","Fail")</f>
        <v>Fail</v>
      </c>
      <c r="BE276" t="str" cm="1">
        <f t="array" ref="BE276">IF(O276=_xlfn.XLOOKUP($B276,VmSpecs[[#All],[VM Name]],VmSpecs[[#All],[Route Table Name]],"Failed",0,1),"Pass","Fail")</f>
        <v>Fail</v>
      </c>
      <c r="BF276" t="str" cm="1">
        <f t="array" ref="BF276">IF(P276=_xlfn.XLOOKUP($B276,VmSpecs[[#All],[VM Name]],VmSpecs[[#All],[Operating System]],"Failed",0,1),"Pass","Fail")</f>
        <v>Fail</v>
      </c>
      <c r="BG276" t="str" cm="1">
        <f t="array" ref="BG276">IF(R276=_xlfn.XLOOKUP($B276,VmSpecs[[#All],[VM Name]],VmSpecs[[#All],[NIC name]],"Failed",0,1),"Pass","Fail")</f>
        <v>Fail</v>
      </c>
      <c r="BH276" t="str" cm="1">
        <f t="array" ref="BH276">IF(U276=_xlfn.XLOOKUP($B276,VmSpecs[[#All],[VM Name]],VmSpecs[[#All],[OS Disk Name]],"Failed",0,1),"Pass","Fail")</f>
        <v>Fail</v>
      </c>
      <c r="BI276" t="str" cm="1">
        <f t="array" ref="BI276">IF(W276=_xlfn.XLOOKUP($B276,VmSpecs[[#All],[VM Name]],VmSpecs[[#All],[OS Disk Size]],"Failed",0,1),"Pass","Fail")</f>
        <v>Fail</v>
      </c>
      <c r="BJ276" t="str" cm="1">
        <f t="array" ref="BJ276">IF(LEFT(X276,4)=LEFT(_xlfn.XLOOKUP($B276,VmSpecs[[#All],[VM Name]],VmSpecs[[#All],[OS Disk Type (Standard SSD etc)]],"Failed",0,1),4),"Pass","Fail")</f>
        <v>Fail</v>
      </c>
      <c r="BK276" t="str" cm="1">
        <f t="array" ref="BK276">IF(Z276=_xlfn.XLOOKUP($B276,VmSpecs[[#All],[VM Name]],VmSpecs[[#All],[Data Disk1 Name]],"Failed",0,1),"Pass","Fail")</f>
        <v>Fail</v>
      </c>
      <c r="BL276" t="str" cm="1">
        <f t="array" ref="BL276">IF(AA276=_xlfn.XLOOKUP($B276,VmSpecs[[#All],[VM Name]],VmSpecs[[#All],[Data Disk1 Size]],"Failed",0,1),"Pass","Fail")</f>
        <v>Fail</v>
      </c>
      <c r="BM276" t="str" cm="1">
        <f t="array" ref="BM276">IF(LEFT(AC276,4)=LEFT(_xlfn.XLOOKUP($B276,VmSpecs[[#All],[VM Name]],VmSpecs[[#All],[Data Disk1 Type]],"Failed",0,1),4),"Pass","Fail")</f>
        <v>Fail</v>
      </c>
      <c r="BO276" t="e">
        <f>VLOOKUP('VM Specs'!K276,'As Built'!B:B,1,FALSE)</f>
        <v>#N/A</v>
      </c>
      <c r="BP276" t="str">
        <f>IF(ISNA(Table613[[#This Row],[VM Build Sheet Check]]),'VM Specs'!K276,"")</f>
        <v>vmpfbpf2ohm08</v>
      </c>
    </row>
    <row r="277" spans="1:68" ht="33" customHeight="1" x14ac:dyDescent="0.35">
      <c r="A277" t="str">
        <f>IF(COUNTIF(AsBuilt[[#This Row],[VM Check]:[Data Disk 1 Type Check]],"Fail")&gt;0,"Fail","Pass")</f>
        <v>Fail</v>
      </c>
      <c r="B277" t="s">
        <v>2691</v>
      </c>
      <c r="C277" t="s">
        <v>754</v>
      </c>
      <c r="D277" t="s">
        <v>2100</v>
      </c>
      <c r="E277" t="s">
        <v>756</v>
      </c>
      <c r="F277" t="s">
        <v>757</v>
      </c>
      <c r="G277" t="s">
        <v>758</v>
      </c>
      <c r="H277" t="s">
        <v>2692</v>
      </c>
      <c r="J277" t="s">
        <v>760</v>
      </c>
      <c r="K277" t="s">
        <v>2102</v>
      </c>
      <c r="L277" t="s">
        <v>754</v>
      </c>
      <c r="M277" t="s">
        <v>2693</v>
      </c>
      <c r="N277" t="s">
        <v>2104</v>
      </c>
      <c r="O277" t="s">
        <v>2105</v>
      </c>
      <c r="P277" t="s">
        <v>63</v>
      </c>
      <c r="R277" t="s">
        <v>2694</v>
      </c>
      <c r="S277" t="s">
        <v>754</v>
      </c>
      <c r="U277" t="s">
        <v>2695</v>
      </c>
      <c r="V277" t="s">
        <v>767</v>
      </c>
      <c r="W277">
        <v>64</v>
      </c>
      <c r="X277" t="s">
        <v>768</v>
      </c>
      <c r="Y277">
        <v>2</v>
      </c>
      <c r="Z277" t="s">
        <v>2696</v>
      </c>
      <c r="AA277">
        <v>8</v>
      </c>
      <c r="AB277" t="s">
        <v>770</v>
      </c>
      <c r="AC277" t="s">
        <v>768</v>
      </c>
      <c r="AD277" t="s">
        <v>2697</v>
      </c>
      <c r="AE277">
        <v>32</v>
      </c>
      <c r="AF277" t="s">
        <v>770</v>
      </c>
      <c r="AG277" t="s">
        <v>768</v>
      </c>
      <c r="AT277" t="s">
        <v>772</v>
      </c>
      <c r="AU277" t="s">
        <v>2698</v>
      </c>
      <c r="AV277" t="str" cm="1">
        <f t="array" ref="AV277">IF(B277=_xlfn.XLOOKUP(B277,VmSpecs[[#All],[VM Name]],VmSpecs[[#All],[VM Name]],"Failed",0,1),"Pass","Fail")</f>
        <v>Fail</v>
      </c>
      <c r="AW277" t="str" cm="1">
        <f t="array" ref="AW277">IF(D277=_xlfn.XLOOKUP($B277,VmSpecs[[#All],[VM Name]],VmSpecs[[#All],[Virtual Machine Resource Groups]],"Failed",0,1),"Pass","Fail")</f>
        <v>Fail</v>
      </c>
      <c r="AX277" t="str" cm="1">
        <f t="array" ref="AX277">IF(_xlfn.IFS(E277="australiacentral","Australia Central 1",E277="australiaeast","Australia East",E277="australiasoutheast","Australia SouthEast")=_xlfn.XLOOKUP($B277,VmSpecs[[#All],[VM Name]],VmSpecs[[#All],[Region]],"Failed",0,1),"Pass","Fail")</f>
        <v>Fail</v>
      </c>
      <c r="AY277" t="str" cm="1">
        <f t="array" ref="AY277">IF(F277=_xlfn.XLOOKUP($B277,VmSpecs[[#All],[VM Name]],VmSpecs[[#All],[Instance size]],"Failed",0,1),"Pass","Fail")</f>
        <v>Fail</v>
      </c>
      <c r="AZ277" t="str" cm="1">
        <f t="array" ref="AZ277">IF(LOWER(H277)=_xlfn.XLOOKUP($B277,VmSpecs[[#All],[VM Name]],VmSpecs[[#All],[Availability Set Name]],"Failed",0,1),"Pass","Fail")</f>
        <v>Fail</v>
      </c>
      <c r="BA277" t="str" cm="1">
        <f t="array" ref="BA277">IF(J277=_xlfn.XLOOKUP($B277,VmSpecs[[#All],[VM Name]],VmSpecs[[#All],[Virtual Network]],"Failed",0,1),"Pass","Fail")</f>
        <v>Fail</v>
      </c>
      <c r="BB277" t="str" cm="1">
        <f t="array" ref="BB277">IF(K277=_xlfn.XLOOKUP($B277,VmSpecs[[#All],[VM Name]],VmSpecs[[#All],[Subnet]],"Failed",0,1),"Pass","Fail")</f>
        <v>Fail</v>
      </c>
      <c r="BC277" t="str" cm="1">
        <f t="array" ref="BC277">IF(M277=_xlfn.XLOOKUP($B277,VmSpecs[[#All],[VM Name]],VmSpecs[[#All],[IP]],"Failed",0,1),"Pass","Fail")</f>
        <v>Fail</v>
      </c>
      <c r="BD277" t="str" cm="1">
        <f t="array" ref="BD277">IF(N277=_xlfn.XLOOKUP($B277,VmSpecs[[#All],[VM Name]],VmSpecs[[#All],[Network Security Group]],"Failed",0,1),"Pass","Fail")</f>
        <v>Fail</v>
      </c>
      <c r="BE277" t="str" cm="1">
        <f t="array" ref="BE277">IF(O277=_xlfn.XLOOKUP($B277,VmSpecs[[#All],[VM Name]],VmSpecs[[#All],[Route Table Name]],"Failed",0,1),"Pass","Fail")</f>
        <v>Fail</v>
      </c>
      <c r="BF277" t="str" cm="1">
        <f t="array" ref="BF277">IF(P277=_xlfn.XLOOKUP($B277,VmSpecs[[#All],[VM Name]],VmSpecs[[#All],[Operating System]],"Failed",0,1),"Pass","Fail")</f>
        <v>Fail</v>
      </c>
      <c r="BG277" t="str" cm="1">
        <f t="array" ref="BG277">IF(R277=_xlfn.XLOOKUP($B277,VmSpecs[[#All],[VM Name]],VmSpecs[[#All],[NIC name]],"Failed",0,1),"Pass","Fail")</f>
        <v>Fail</v>
      </c>
      <c r="BH277" t="str" cm="1">
        <f t="array" ref="BH277">IF(U277=_xlfn.XLOOKUP($B277,VmSpecs[[#All],[VM Name]],VmSpecs[[#All],[OS Disk Name]],"Failed",0,1),"Pass","Fail")</f>
        <v>Fail</v>
      </c>
      <c r="BI277" t="str" cm="1">
        <f t="array" ref="BI277">IF(W277=_xlfn.XLOOKUP($B277,VmSpecs[[#All],[VM Name]],VmSpecs[[#All],[OS Disk Size]],"Failed",0,1),"Pass","Fail")</f>
        <v>Fail</v>
      </c>
      <c r="BJ277" t="str" cm="1">
        <f t="array" ref="BJ277">IF(LEFT(X277,4)=LEFT(_xlfn.XLOOKUP($B277,VmSpecs[[#All],[VM Name]],VmSpecs[[#All],[OS Disk Type (Standard SSD etc)]],"Failed",0,1),4),"Pass","Fail")</f>
        <v>Fail</v>
      </c>
      <c r="BK277" t="str" cm="1">
        <f t="array" ref="BK277">IF(Z277=_xlfn.XLOOKUP($B277,VmSpecs[[#All],[VM Name]],VmSpecs[[#All],[Data Disk1 Name]],"Failed",0,1),"Pass","Fail")</f>
        <v>Fail</v>
      </c>
      <c r="BL277" t="str" cm="1">
        <f t="array" ref="BL277">IF(AA277=_xlfn.XLOOKUP($B277,VmSpecs[[#All],[VM Name]],VmSpecs[[#All],[Data Disk1 Size]],"Failed",0,1),"Pass","Fail")</f>
        <v>Fail</v>
      </c>
      <c r="BM277" t="str" cm="1">
        <f t="array" ref="BM277">IF(LEFT(AC277,4)=LEFT(_xlfn.XLOOKUP($B277,VmSpecs[[#All],[VM Name]],VmSpecs[[#All],[Data Disk1 Type]],"Failed",0,1),4),"Pass","Fail")</f>
        <v>Fail</v>
      </c>
      <c r="BO277" t="e">
        <f>VLOOKUP('VM Specs'!K277,'As Built'!B:B,1,FALSE)</f>
        <v>#N/A</v>
      </c>
      <c r="BP277" t="str">
        <f>IF(ISNA(Table613[[#This Row],[VM Build Sheet Check]]),'VM Specs'!K277,"")</f>
        <v>vmpfbpf2oho01</v>
      </c>
    </row>
    <row r="278" spans="1:68" ht="33" customHeight="1" x14ac:dyDescent="0.35">
      <c r="A278" t="str">
        <f>IF(COUNTIF(AsBuilt[[#This Row],[VM Check]:[Data Disk 1 Type Check]],"Fail")&gt;0,"Fail","Pass")</f>
        <v>Fail</v>
      </c>
      <c r="B278" t="s">
        <v>2699</v>
      </c>
      <c r="C278" t="s">
        <v>754</v>
      </c>
      <c r="D278" t="s">
        <v>2100</v>
      </c>
      <c r="E278" t="s">
        <v>756</v>
      </c>
      <c r="F278" t="s">
        <v>757</v>
      </c>
      <c r="G278" t="s">
        <v>758</v>
      </c>
      <c r="H278" t="s">
        <v>2692</v>
      </c>
      <c r="J278" t="s">
        <v>760</v>
      </c>
      <c r="K278" t="s">
        <v>2102</v>
      </c>
      <c r="L278" t="s">
        <v>754</v>
      </c>
      <c r="M278" t="s">
        <v>2700</v>
      </c>
      <c r="N278" t="s">
        <v>2104</v>
      </c>
      <c r="O278" t="s">
        <v>2105</v>
      </c>
      <c r="P278" t="s">
        <v>63</v>
      </c>
      <c r="R278" t="s">
        <v>2701</v>
      </c>
      <c r="S278" t="s">
        <v>754</v>
      </c>
      <c r="U278" t="s">
        <v>2702</v>
      </c>
      <c r="V278" t="s">
        <v>767</v>
      </c>
      <c r="W278">
        <v>64</v>
      </c>
      <c r="X278" t="s">
        <v>768</v>
      </c>
      <c r="Y278">
        <v>2</v>
      </c>
      <c r="Z278" t="s">
        <v>2703</v>
      </c>
      <c r="AA278">
        <v>8</v>
      </c>
      <c r="AB278" t="s">
        <v>770</v>
      </c>
      <c r="AC278" t="s">
        <v>768</v>
      </c>
      <c r="AD278" t="s">
        <v>2704</v>
      </c>
      <c r="AE278">
        <v>32</v>
      </c>
      <c r="AF278" t="s">
        <v>770</v>
      </c>
      <c r="AG278" t="s">
        <v>768</v>
      </c>
      <c r="AT278" t="s">
        <v>772</v>
      </c>
      <c r="AU278" t="s">
        <v>2698</v>
      </c>
      <c r="AV278" t="str" cm="1">
        <f t="array" ref="AV278">IF(B278=_xlfn.XLOOKUP(B278,VmSpecs[[#All],[VM Name]],VmSpecs[[#All],[VM Name]],"Failed",0,1),"Pass","Fail")</f>
        <v>Fail</v>
      </c>
      <c r="AW278" t="str" cm="1">
        <f t="array" ref="AW278">IF(D278=_xlfn.XLOOKUP($B278,VmSpecs[[#All],[VM Name]],VmSpecs[[#All],[Virtual Machine Resource Groups]],"Failed",0,1),"Pass","Fail")</f>
        <v>Fail</v>
      </c>
      <c r="AX278" t="str" cm="1">
        <f t="array" ref="AX278">IF(_xlfn.IFS(E278="australiacentral","Australia Central 1",E278="australiaeast","Australia East",E278="australiasoutheast","Australia SouthEast")=_xlfn.XLOOKUP($B278,VmSpecs[[#All],[VM Name]],VmSpecs[[#All],[Region]],"Failed",0,1),"Pass","Fail")</f>
        <v>Fail</v>
      </c>
      <c r="AY278" t="str" cm="1">
        <f t="array" ref="AY278">IF(F278=_xlfn.XLOOKUP($B278,VmSpecs[[#All],[VM Name]],VmSpecs[[#All],[Instance size]],"Failed",0,1),"Pass","Fail")</f>
        <v>Fail</v>
      </c>
      <c r="AZ278" t="str" cm="1">
        <f t="array" ref="AZ278">IF(LOWER(H278)=_xlfn.XLOOKUP($B278,VmSpecs[[#All],[VM Name]],VmSpecs[[#All],[Availability Set Name]],"Failed",0,1),"Pass","Fail")</f>
        <v>Fail</v>
      </c>
      <c r="BA278" t="str" cm="1">
        <f t="array" ref="BA278">IF(J278=_xlfn.XLOOKUP($B278,VmSpecs[[#All],[VM Name]],VmSpecs[[#All],[Virtual Network]],"Failed",0,1),"Pass","Fail")</f>
        <v>Fail</v>
      </c>
      <c r="BB278" t="str" cm="1">
        <f t="array" ref="BB278">IF(K278=_xlfn.XLOOKUP($B278,VmSpecs[[#All],[VM Name]],VmSpecs[[#All],[Subnet]],"Failed",0,1),"Pass","Fail")</f>
        <v>Fail</v>
      </c>
      <c r="BC278" t="str" cm="1">
        <f t="array" ref="BC278">IF(M278=_xlfn.XLOOKUP($B278,VmSpecs[[#All],[VM Name]],VmSpecs[[#All],[IP]],"Failed",0,1),"Pass","Fail")</f>
        <v>Fail</v>
      </c>
      <c r="BD278" t="str" cm="1">
        <f t="array" ref="BD278">IF(N278=_xlfn.XLOOKUP($B278,VmSpecs[[#All],[VM Name]],VmSpecs[[#All],[Network Security Group]],"Failed",0,1),"Pass","Fail")</f>
        <v>Fail</v>
      </c>
      <c r="BE278" t="str" cm="1">
        <f t="array" ref="BE278">IF(O278=_xlfn.XLOOKUP($B278,VmSpecs[[#All],[VM Name]],VmSpecs[[#All],[Route Table Name]],"Failed",0,1),"Pass","Fail")</f>
        <v>Fail</v>
      </c>
      <c r="BF278" t="str" cm="1">
        <f t="array" ref="BF278">IF(P278=_xlfn.XLOOKUP($B278,VmSpecs[[#All],[VM Name]],VmSpecs[[#All],[Operating System]],"Failed",0,1),"Pass","Fail")</f>
        <v>Fail</v>
      </c>
      <c r="BG278" t="str" cm="1">
        <f t="array" ref="BG278">IF(R278=_xlfn.XLOOKUP($B278,VmSpecs[[#All],[VM Name]],VmSpecs[[#All],[NIC name]],"Failed",0,1),"Pass","Fail")</f>
        <v>Fail</v>
      </c>
      <c r="BH278" t="str" cm="1">
        <f t="array" ref="BH278">IF(U278=_xlfn.XLOOKUP($B278,VmSpecs[[#All],[VM Name]],VmSpecs[[#All],[OS Disk Name]],"Failed",0,1),"Pass","Fail")</f>
        <v>Fail</v>
      </c>
      <c r="BI278" t="str" cm="1">
        <f t="array" ref="BI278">IF(W278=_xlfn.XLOOKUP($B278,VmSpecs[[#All],[VM Name]],VmSpecs[[#All],[OS Disk Size]],"Failed",0,1),"Pass","Fail")</f>
        <v>Fail</v>
      </c>
      <c r="BJ278" t="str" cm="1">
        <f t="array" ref="BJ278">IF(LEFT(X278,4)=LEFT(_xlfn.XLOOKUP($B278,VmSpecs[[#All],[VM Name]],VmSpecs[[#All],[OS Disk Type (Standard SSD etc)]],"Failed",0,1),4),"Pass","Fail")</f>
        <v>Fail</v>
      </c>
      <c r="BK278" t="str" cm="1">
        <f t="array" ref="BK278">IF(Z278=_xlfn.XLOOKUP($B278,VmSpecs[[#All],[VM Name]],VmSpecs[[#All],[Data Disk1 Name]],"Failed",0,1),"Pass","Fail")</f>
        <v>Fail</v>
      </c>
      <c r="BL278" t="str" cm="1">
        <f t="array" ref="BL278">IF(AA278=_xlfn.XLOOKUP($B278,VmSpecs[[#All],[VM Name]],VmSpecs[[#All],[Data Disk1 Size]],"Failed",0,1),"Pass","Fail")</f>
        <v>Fail</v>
      </c>
      <c r="BM278" t="str" cm="1">
        <f t="array" ref="BM278">IF(LEFT(AC278,4)=LEFT(_xlfn.XLOOKUP($B278,VmSpecs[[#All],[VM Name]],VmSpecs[[#All],[Data Disk1 Type]],"Failed",0,1),4),"Pass","Fail")</f>
        <v>Fail</v>
      </c>
      <c r="BO278" t="e">
        <f>VLOOKUP('VM Specs'!K278,'As Built'!B:B,1,FALSE)</f>
        <v>#N/A</v>
      </c>
      <c r="BP278" t="str">
        <f>IF(ISNA(Table613[[#This Row],[VM Build Sheet Check]]),'VM Specs'!K278,"")</f>
        <v>vmpfbpf2oho02</v>
      </c>
    </row>
    <row r="279" spans="1:68" ht="33" customHeight="1" x14ac:dyDescent="0.35">
      <c r="A279" t="str">
        <f>IF(COUNTIF(AsBuilt[[#This Row],[VM Check]:[Data Disk 1 Type Check]],"Fail")&gt;0,"Fail","Pass")</f>
        <v>Fail</v>
      </c>
      <c r="B279" t="s">
        <v>2705</v>
      </c>
      <c r="C279" t="s">
        <v>754</v>
      </c>
      <c r="D279" t="s">
        <v>2100</v>
      </c>
      <c r="E279" t="s">
        <v>756</v>
      </c>
      <c r="F279" t="s">
        <v>757</v>
      </c>
      <c r="G279" t="s">
        <v>758</v>
      </c>
      <c r="H279" t="s">
        <v>2692</v>
      </c>
      <c r="J279" t="s">
        <v>760</v>
      </c>
      <c r="K279" t="s">
        <v>2102</v>
      </c>
      <c r="L279" t="s">
        <v>754</v>
      </c>
      <c r="M279" t="s">
        <v>2706</v>
      </c>
      <c r="N279" t="s">
        <v>2104</v>
      </c>
      <c r="O279" t="s">
        <v>2105</v>
      </c>
      <c r="P279" t="s">
        <v>63</v>
      </c>
      <c r="R279" t="s">
        <v>2707</v>
      </c>
      <c r="S279" t="s">
        <v>754</v>
      </c>
      <c r="U279" t="s">
        <v>2708</v>
      </c>
      <c r="V279" t="s">
        <v>767</v>
      </c>
      <c r="W279">
        <v>64</v>
      </c>
      <c r="X279" t="s">
        <v>768</v>
      </c>
      <c r="Y279">
        <v>2</v>
      </c>
      <c r="Z279" t="s">
        <v>2709</v>
      </c>
      <c r="AA279">
        <v>8</v>
      </c>
      <c r="AB279" t="s">
        <v>770</v>
      </c>
      <c r="AC279" t="s">
        <v>768</v>
      </c>
      <c r="AD279" t="s">
        <v>2710</v>
      </c>
      <c r="AE279">
        <v>32</v>
      </c>
      <c r="AF279" t="s">
        <v>770</v>
      </c>
      <c r="AG279" t="s">
        <v>768</v>
      </c>
      <c r="AT279" t="s">
        <v>772</v>
      </c>
      <c r="AU279" t="s">
        <v>2698</v>
      </c>
      <c r="AV279" t="str" cm="1">
        <f t="array" ref="AV279">IF(B279=_xlfn.XLOOKUP(B279,VmSpecs[[#All],[VM Name]],VmSpecs[[#All],[VM Name]],"Failed",0,1),"Pass","Fail")</f>
        <v>Fail</v>
      </c>
      <c r="AW279" t="str" cm="1">
        <f t="array" ref="AW279">IF(D279=_xlfn.XLOOKUP($B279,VmSpecs[[#All],[VM Name]],VmSpecs[[#All],[Virtual Machine Resource Groups]],"Failed",0,1),"Pass","Fail")</f>
        <v>Fail</v>
      </c>
      <c r="AX279" t="str" cm="1">
        <f t="array" ref="AX279">IF(_xlfn.IFS(E279="australiacentral","Australia Central 1",E279="australiaeast","Australia East",E279="australiasoutheast","Australia SouthEast")=_xlfn.XLOOKUP($B279,VmSpecs[[#All],[VM Name]],VmSpecs[[#All],[Region]],"Failed",0,1),"Pass","Fail")</f>
        <v>Fail</v>
      </c>
      <c r="AY279" t="str" cm="1">
        <f t="array" ref="AY279">IF(F279=_xlfn.XLOOKUP($B279,VmSpecs[[#All],[VM Name]],VmSpecs[[#All],[Instance size]],"Failed",0,1),"Pass","Fail")</f>
        <v>Fail</v>
      </c>
      <c r="AZ279" t="str" cm="1">
        <f t="array" ref="AZ279">IF(LOWER(H279)=_xlfn.XLOOKUP($B279,VmSpecs[[#All],[VM Name]],VmSpecs[[#All],[Availability Set Name]],"Failed",0,1),"Pass","Fail")</f>
        <v>Fail</v>
      </c>
      <c r="BA279" t="str" cm="1">
        <f t="array" ref="BA279">IF(J279=_xlfn.XLOOKUP($B279,VmSpecs[[#All],[VM Name]],VmSpecs[[#All],[Virtual Network]],"Failed",0,1),"Pass","Fail")</f>
        <v>Fail</v>
      </c>
      <c r="BB279" t="str" cm="1">
        <f t="array" ref="BB279">IF(K279=_xlfn.XLOOKUP($B279,VmSpecs[[#All],[VM Name]],VmSpecs[[#All],[Subnet]],"Failed",0,1),"Pass","Fail")</f>
        <v>Fail</v>
      </c>
      <c r="BC279" t="str" cm="1">
        <f t="array" ref="BC279">IF(M279=_xlfn.XLOOKUP($B279,VmSpecs[[#All],[VM Name]],VmSpecs[[#All],[IP]],"Failed",0,1),"Pass","Fail")</f>
        <v>Fail</v>
      </c>
      <c r="BD279" t="str" cm="1">
        <f t="array" ref="BD279">IF(N279=_xlfn.XLOOKUP($B279,VmSpecs[[#All],[VM Name]],VmSpecs[[#All],[Network Security Group]],"Failed",0,1),"Pass","Fail")</f>
        <v>Fail</v>
      </c>
      <c r="BE279" t="str" cm="1">
        <f t="array" ref="BE279">IF(O279=_xlfn.XLOOKUP($B279,VmSpecs[[#All],[VM Name]],VmSpecs[[#All],[Route Table Name]],"Failed",0,1),"Pass","Fail")</f>
        <v>Fail</v>
      </c>
      <c r="BF279" t="str" cm="1">
        <f t="array" ref="BF279">IF(P279=_xlfn.XLOOKUP($B279,VmSpecs[[#All],[VM Name]],VmSpecs[[#All],[Operating System]],"Failed",0,1),"Pass","Fail")</f>
        <v>Fail</v>
      </c>
      <c r="BG279" t="str" cm="1">
        <f t="array" ref="BG279">IF(R279=_xlfn.XLOOKUP($B279,VmSpecs[[#All],[VM Name]],VmSpecs[[#All],[NIC name]],"Failed",0,1),"Pass","Fail")</f>
        <v>Fail</v>
      </c>
      <c r="BH279" t="str" cm="1">
        <f t="array" ref="BH279">IF(U279=_xlfn.XLOOKUP($B279,VmSpecs[[#All],[VM Name]],VmSpecs[[#All],[OS Disk Name]],"Failed",0,1),"Pass","Fail")</f>
        <v>Fail</v>
      </c>
      <c r="BI279" t="str" cm="1">
        <f t="array" ref="BI279">IF(W279=_xlfn.XLOOKUP($B279,VmSpecs[[#All],[VM Name]],VmSpecs[[#All],[OS Disk Size]],"Failed",0,1),"Pass","Fail")</f>
        <v>Fail</v>
      </c>
      <c r="BJ279" t="str" cm="1">
        <f t="array" ref="BJ279">IF(LEFT(X279,4)=LEFT(_xlfn.XLOOKUP($B279,VmSpecs[[#All],[VM Name]],VmSpecs[[#All],[OS Disk Type (Standard SSD etc)]],"Failed",0,1),4),"Pass","Fail")</f>
        <v>Fail</v>
      </c>
      <c r="BK279" t="str" cm="1">
        <f t="array" ref="BK279">IF(Z279=_xlfn.XLOOKUP($B279,VmSpecs[[#All],[VM Name]],VmSpecs[[#All],[Data Disk1 Name]],"Failed",0,1),"Pass","Fail")</f>
        <v>Fail</v>
      </c>
      <c r="BL279" t="str" cm="1">
        <f t="array" ref="BL279">IF(AA279=_xlfn.XLOOKUP($B279,VmSpecs[[#All],[VM Name]],VmSpecs[[#All],[Data Disk1 Size]],"Failed",0,1),"Pass","Fail")</f>
        <v>Fail</v>
      </c>
      <c r="BM279" t="str" cm="1">
        <f t="array" ref="BM279">IF(LEFT(AC279,4)=LEFT(_xlfn.XLOOKUP($B279,VmSpecs[[#All],[VM Name]],VmSpecs[[#All],[Data Disk1 Type]],"Failed",0,1),4),"Pass","Fail")</f>
        <v>Fail</v>
      </c>
      <c r="BO279" t="e">
        <f>VLOOKUP('VM Specs'!K279,'As Built'!B:B,1,FALSE)</f>
        <v>#N/A</v>
      </c>
      <c r="BP279" t="str">
        <f>IF(ISNA(Table613[[#This Row],[VM Build Sheet Check]]),'VM Specs'!K279,"")</f>
        <v>vmpfbpf2oho03</v>
      </c>
    </row>
    <row r="280" spans="1:68" ht="33" customHeight="1" x14ac:dyDescent="0.35">
      <c r="A280" t="str">
        <f>IF(COUNTIF(AsBuilt[[#This Row],[VM Check]:[Data Disk 1 Type Check]],"Fail")&gt;0,"Fail","Pass")</f>
        <v>Fail</v>
      </c>
      <c r="B280" t="s">
        <v>2711</v>
      </c>
      <c r="C280" t="s">
        <v>754</v>
      </c>
      <c r="D280" t="s">
        <v>2100</v>
      </c>
      <c r="E280" t="s">
        <v>756</v>
      </c>
      <c r="F280" t="s">
        <v>757</v>
      </c>
      <c r="G280" t="s">
        <v>758</v>
      </c>
      <c r="H280" t="s">
        <v>2692</v>
      </c>
      <c r="J280" t="s">
        <v>760</v>
      </c>
      <c r="K280" t="s">
        <v>2102</v>
      </c>
      <c r="L280" t="s">
        <v>754</v>
      </c>
      <c r="M280" t="s">
        <v>2712</v>
      </c>
      <c r="N280" t="s">
        <v>2104</v>
      </c>
      <c r="O280" t="s">
        <v>2105</v>
      </c>
      <c r="P280" t="s">
        <v>63</v>
      </c>
      <c r="R280" t="s">
        <v>2713</v>
      </c>
      <c r="S280" t="s">
        <v>754</v>
      </c>
      <c r="U280" t="s">
        <v>2714</v>
      </c>
      <c r="V280" t="s">
        <v>767</v>
      </c>
      <c r="W280">
        <v>64</v>
      </c>
      <c r="X280" t="s">
        <v>768</v>
      </c>
      <c r="Y280">
        <v>2</v>
      </c>
      <c r="Z280" t="s">
        <v>2715</v>
      </c>
      <c r="AA280">
        <v>8</v>
      </c>
      <c r="AB280" t="s">
        <v>770</v>
      </c>
      <c r="AC280" t="s">
        <v>768</v>
      </c>
      <c r="AD280" t="s">
        <v>2716</v>
      </c>
      <c r="AE280">
        <v>32</v>
      </c>
      <c r="AF280" t="s">
        <v>770</v>
      </c>
      <c r="AG280" t="s">
        <v>768</v>
      </c>
      <c r="AT280" t="s">
        <v>772</v>
      </c>
      <c r="AU280" t="s">
        <v>2698</v>
      </c>
      <c r="AV280" t="str" cm="1">
        <f t="array" ref="AV280">IF(B280=_xlfn.XLOOKUP(B280,VmSpecs[[#All],[VM Name]],VmSpecs[[#All],[VM Name]],"Failed",0,1),"Pass","Fail")</f>
        <v>Fail</v>
      </c>
      <c r="AW280" t="str" cm="1">
        <f t="array" ref="AW280">IF(D280=_xlfn.XLOOKUP($B280,VmSpecs[[#All],[VM Name]],VmSpecs[[#All],[Virtual Machine Resource Groups]],"Failed",0,1),"Pass","Fail")</f>
        <v>Fail</v>
      </c>
      <c r="AX280" t="str" cm="1">
        <f t="array" ref="AX280">IF(_xlfn.IFS(E280="australiacentral","Australia Central 1",E280="australiaeast","Australia East",E280="australiasoutheast","Australia SouthEast")=_xlfn.XLOOKUP($B280,VmSpecs[[#All],[VM Name]],VmSpecs[[#All],[Region]],"Failed",0,1),"Pass","Fail")</f>
        <v>Fail</v>
      </c>
      <c r="AY280" t="str" cm="1">
        <f t="array" ref="AY280">IF(F280=_xlfn.XLOOKUP($B280,VmSpecs[[#All],[VM Name]],VmSpecs[[#All],[Instance size]],"Failed",0,1),"Pass","Fail")</f>
        <v>Fail</v>
      </c>
      <c r="AZ280" t="str" cm="1">
        <f t="array" ref="AZ280">IF(LOWER(H280)=_xlfn.XLOOKUP($B280,VmSpecs[[#All],[VM Name]],VmSpecs[[#All],[Availability Set Name]],"Failed",0,1),"Pass","Fail")</f>
        <v>Fail</v>
      </c>
      <c r="BA280" t="str" cm="1">
        <f t="array" ref="BA280">IF(J280=_xlfn.XLOOKUP($B280,VmSpecs[[#All],[VM Name]],VmSpecs[[#All],[Virtual Network]],"Failed",0,1),"Pass","Fail")</f>
        <v>Fail</v>
      </c>
      <c r="BB280" t="str" cm="1">
        <f t="array" ref="BB280">IF(K280=_xlfn.XLOOKUP($B280,VmSpecs[[#All],[VM Name]],VmSpecs[[#All],[Subnet]],"Failed",0,1),"Pass","Fail")</f>
        <v>Fail</v>
      </c>
      <c r="BC280" t="str" cm="1">
        <f t="array" ref="BC280">IF(M280=_xlfn.XLOOKUP($B280,VmSpecs[[#All],[VM Name]],VmSpecs[[#All],[IP]],"Failed",0,1),"Pass","Fail")</f>
        <v>Fail</v>
      </c>
      <c r="BD280" t="str" cm="1">
        <f t="array" ref="BD280">IF(N280=_xlfn.XLOOKUP($B280,VmSpecs[[#All],[VM Name]],VmSpecs[[#All],[Network Security Group]],"Failed",0,1),"Pass","Fail")</f>
        <v>Fail</v>
      </c>
      <c r="BE280" t="str" cm="1">
        <f t="array" ref="BE280">IF(O280=_xlfn.XLOOKUP($B280,VmSpecs[[#All],[VM Name]],VmSpecs[[#All],[Route Table Name]],"Failed",0,1),"Pass","Fail")</f>
        <v>Fail</v>
      </c>
      <c r="BF280" t="str" cm="1">
        <f t="array" ref="BF280">IF(P280=_xlfn.XLOOKUP($B280,VmSpecs[[#All],[VM Name]],VmSpecs[[#All],[Operating System]],"Failed",0,1),"Pass","Fail")</f>
        <v>Fail</v>
      </c>
      <c r="BG280" t="str" cm="1">
        <f t="array" ref="BG280">IF(R280=_xlfn.XLOOKUP($B280,VmSpecs[[#All],[VM Name]],VmSpecs[[#All],[NIC name]],"Failed",0,1),"Pass","Fail")</f>
        <v>Fail</v>
      </c>
      <c r="BH280" t="str" cm="1">
        <f t="array" ref="BH280">IF(U280=_xlfn.XLOOKUP($B280,VmSpecs[[#All],[VM Name]],VmSpecs[[#All],[OS Disk Name]],"Failed",0,1),"Pass","Fail")</f>
        <v>Fail</v>
      </c>
      <c r="BI280" t="str" cm="1">
        <f t="array" ref="BI280">IF(W280=_xlfn.XLOOKUP($B280,VmSpecs[[#All],[VM Name]],VmSpecs[[#All],[OS Disk Size]],"Failed",0,1),"Pass","Fail")</f>
        <v>Fail</v>
      </c>
      <c r="BJ280" t="str" cm="1">
        <f t="array" ref="BJ280">IF(LEFT(X280,4)=LEFT(_xlfn.XLOOKUP($B280,VmSpecs[[#All],[VM Name]],VmSpecs[[#All],[OS Disk Type (Standard SSD etc)]],"Failed",0,1),4),"Pass","Fail")</f>
        <v>Fail</v>
      </c>
      <c r="BK280" t="str" cm="1">
        <f t="array" ref="BK280">IF(Z280=_xlfn.XLOOKUP($B280,VmSpecs[[#All],[VM Name]],VmSpecs[[#All],[Data Disk1 Name]],"Failed",0,1),"Pass","Fail")</f>
        <v>Fail</v>
      </c>
      <c r="BL280" t="str" cm="1">
        <f t="array" ref="BL280">IF(AA280=_xlfn.XLOOKUP($B280,VmSpecs[[#All],[VM Name]],VmSpecs[[#All],[Data Disk1 Size]],"Failed",0,1),"Pass","Fail")</f>
        <v>Fail</v>
      </c>
      <c r="BM280" t="str" cm="1">
        <f t="array" ref="BM280">IF(LEFT(AC280,4)=LEFT(_xlfn.XLOOKUP($B280,VmSpecs[[#All],[VM Name]],VmSpecs[[#All],[Data Disk1 Type]],"Failed",0,1),4),"Pass","Fail")</f>
        <v>Fail</v>
      </c>
      <c r="BO280" t="e">
        <f>VLOOKUP('VM Specs'!K280,'As Built'!B:B,1,FALSE)</f>
        <v>#N/A</v>
      </c>
      <c r="BP280" t="str">
        <f>IF(ISNA(Table613[[#This Row],[VM Build Sheet Check]]),'VM Specs'!K280,"")</f>
        <v>vmpfbpf2oho04</v>
      </c>
    </row>
    <row r="281" spans="1:68" ht="33" customHeight="1" x14ac:dyDescent="0.35">
      <c r="A281" t="str">
        <f>IF(COUNTIF(AsBuilt[[#This Row],[VM Check]:[Data Disk 1 Type Check]],"Fail")&gt;0,"Fail","Pass")</f>
        <v>Fail</v>
      </c>
      <c r="B281" t="s">
        <v>2717</v>
      </c>
      <c r="C281" t="s">
        <v>754</v>
      </c>
      <c r="D281" t="s">
        <v>2100</v>
      </c>
      <c r="E281" t="s">
        <v>756</v>
      </c>
      <c r="F281" t="s">
        <v>757</v>
      </c>
      <c r="G281" t="s">
        <v>758</v>
      </c>
      <c r="H281" t="s">
        <v>2692</v>
      </c>
      <c r="J281" t="s">
        <v>760</v>
      </c>
      <c r="K281" t="s">
        <v>2102</v>
      </c>
      <c r="L281" t="s">
        <v>754</v>
      </c>
      <c r="M281" t="s">
        <v>2718</v>
      </c>
      <c r="N281" t="s">
        <v>2104</v>
      </c>
      <c r="O281" t="s">
        <v>2105</v>
      </c>
      <c r="P281" t="s">
        <v>63</v>
      </c>
      <c r="R281" t="s">
        <v>2719</v>
      </c>
      <c r="S281" t="s">
        <v>754</v>
      </c>
      <c r="U281" t="s">
        <v>2720</v>
      </c>
      <c r="V281" t="s">
        <v>767</v>
      </c>
      <c r="W281">
        <v>64</v>
      </c>
      <c r="X281" t="s">
        <v>768</v>
      </c>
      <c r="Y281">
        <v>2</v>
      </c>
      <c r="Z281" t="s">
        <v>2721</v>
      </c>
      <c r="AA281">
        <v>8</v>
      </c>
      <c r="AB281" t="s">
        <v>770</v>
      </c>
      <c r="AC281" t="s">
        <v>768</v>
      </c>
      <c r="AD281" t="s">
        <v>2722</v>
      </c>
      <c r="AE281">
        <v>32</v>
      </c>
      <c r="AF281" t="s">
        <v>770</v>
      </c>
      <c r="AG281" t="s">
        <v>768</v>
      </c>
      <c r="AT281" t="s">
        <v>772</v>
      </c>
      <c r="AU281" t="s">
        <v>2698</v>
      </c>
      <c r="AV281" t="str" cm="1">
        <f t="array" ref="AV281">IF(B281=_xlfn.XLOOKUP(B281,VmSpecs[[#All],[VM Name]],VmSpecs[[#All],[VM Name]],"Failed",0,1),"Pass","Fail")</f>
        <v>Fail</v>
      </c>
      <c r="AW281" t="str" cm="1">
        <f t="array" ref="AW281">IF(D281=_xlfn.XLOOKUP($B281,VmSpecs[[#All],[VM Name]],VmSpecs[[#All],[Virtual Machine Resource Groups]],"Failed",0,1),"Pass","Fail")</f>
        <v>Fail</v>
      </c>
      <c r="AX281" t="str" cm="1">
        <f t="array" ref="AX281">IF(_xlfn.IFS(E281="australiacentral","Australia Central 1",E281="australiaeast","Australia East",E281="australiasoutheast","Australia SouthEast")=_xlfn.XLOOKUP($B281,VmSpecs[[#All],[VM Name]],VmSpecs[[#All],[Region]],"Failed",0,1),"Pass","Fail")</f>
        <v>Fail</v>
      </c>
      <c r="AY281" t="str" cm="1">
        <f t="array" ref="AY281">IF(F281=_xlfn.XLOOKUP($B281,VmSpecs[[#All],[VM Name]],VmSpecs[[#All],[Instance size]],"Failed",0,1),"Pass","Fail")</f>
        <v>Fail</v>
      </c>
      <c r="AZ281" t="str" cm="1">
        <f t="array" ref="AZ281">IF(LOWER(H281)=_xlfn.XLOOKUP($B281,VmSpecs[[#All],[VM Name]],VmSpecs[[#All],[Availability Set Name]],"Failed",0,1),"Pass","Fail")</f>
        <v>Fail</v>
      </c>
      <c r="BA281" t="str" cm="1">
        <f t="array" ref="BA281">IF(J281=_xlfn.XLOOKUP($B281,VmSpecs[[#All],[VM Name]],VmSpecs[[#All],[Virtual Network]],"Failed",0,1),"Pass","Fail")</f>
        <v>Fail</v>
      </c>
      <c r="BB281" t="str" cm="1">
        <f t="array" ref="BB281">IF(K281=_xlfn.XLOOKUP($B281,VmSpecs[[#All],[VM Name]],VmSpecs[[#All],[Subnet]],"Failed",0,1),"Pass","Fail")</f>
        <v>Fail</v>
      </c>
      <c r="BC281" t="str" cm="1">
        <f t="array" ref="BC281">IF(M281=_xlfn.XLOOKUP($B281,VmSpecs[[#All],[VM Name]],VmSpecs[[#All],[IP]],"Failed",0,1),"Pass","Fail")</f>
        <v>Fail</v>
      </c>
      <c r="BD281" t="str" cm="1">
        <f t="array" ref="BD281">IF(N281=_xlfn.XLOOKUP($B281,VmSpecs[[#All],[VM Name]],VmSpecs[[#All],[Network Security Group]],"Failed",0,1),"Pass","Fail")</f>
        <v>Fail</v>
      </c>
      <c r="BE281" t="str" cm="1">
        <f t="array" ref="BE281">IF(O281=_xlfn.XLOOKUP($B281,VmSpecs[[#All],[VM Name]],VmSpecs[[#All],[Route Table Name]],"Failed",0,1),"Pass","Fail")</f>
        <v>Fail</v>
      </c>
      <c r="BF281" t="str" cm="1">
        <f t="array" ref="BF281">IF(P281=_xlfn.XLOOKUP($B281,VmSpecs[[#All],[VM Name]],VmSpecs[[#All],[Operating System]],"Failed",0,1),"Pass","Fail")</f>
        <v>Fail</v>
      </c>
      <c r="BG281" t="str" cm="1">
        <f t="array" ref="BG281">IF(R281=_xlfn.XLOOKUP($B281,VmSpecs[[#All],[VM Name]],VmSpecs[[#All],[NIC name]],"Failed",0,1),"Pass","Fail")</f>
        <v>Fail</v>
      </c>
      <c r="BH281" t="str" cm="1">
        <f t="array" ref="BH281">IF(U281=_xlfn.XLOOKUP($B281,VmSpecs[[#All],[VM Name]],VmSpecs[[#All],[OS Disk Name]],"Failed",0,1),"Pass","Fail")</f>
        <v>Fail</v>
      </c>
      <c r="BI281" t="str" cm="1">
        <f t="array" ref="BI281">IF(W281=_xlfn.XLOOKUP($B281,VmSpecs[[#All],[VM Name]],VmSpecs[[#All],[OS Disk Size]],"Failed",0,1),"Pass","Fail")</f>
        <v>Fail</v>
      </c>
      <c r="BJ281" t="str" cm="1">
        <f t="array" ref="BJ281">IF(LEFT(X281,4)=LEFT(_xlfn.XLOOKUP($B281,VmSpecs[[#All],[VM Name]],VmSpecs[[#All],[OS Disk Type (Standard SSD etc)]],"Failed",0,1),4),"Pass","Fail")</f>
        <v>Fail</v>
      </c>
      <c r="BK281" t="str" cm="1">
        <f t="array" ref="BK281">IF(Z281=_xlfn.XLOOKUP($B281,VmSpecs[[#All],[VM Name]],VmSpecs[[#All],[Data Disk1 Name]],"Failed",0,1),"Pass","Fail")</f>
        <v>Fail</v>
      </c>
      <c r="BL281" t="str" cm="1">
        <f t="array" ref="BL281">IF(AA281=_xlfn.XLOOKUP($B281,VmSpecs[[#All],[VM Name]],VmSpecs[[#All],[Data Disk1 Size]],"Failed",0,1),"Pass","Fail")</f>
        <v>Fail</v>
      </c>
      <c r="BM281" t="str" cm="1">
        <f t="array" ref="BM281">IF(LEFT(AC281,4)=LEFT(_xlfn.XLOOKUP($B281,VmSpecs[[#All],[VM Name]],VmSpecs[[#All],[Data Disk1 Type]],"Failed",0,1),4),"Pass","Fail")</f>
        <v>Fail</v>
      </c>
      <c r="BO281" t="e">
        <f>VLOOKUP('VM Specs'!K281,'As Built'!B:B,1,FALSE)</f>
        <v>#N/A</v>
      </c>
      <c r="BP281" t="str">
        <f>IF(ISNA(Table613[[#This Row],[VM Build Sheet Check]]),'VM Specs'!K281,"")</f>
        <v>vmpfbpf2oho05</v>
      </c>
    </row>
    <row r="282" spans="1:68" ht="33" customHeight="1" x14ac:dyDescent="0.35">
      <c r="A282" t="str">
        <f>IF(COUNTIF(AsBuilt[[#This Row],[VM Check]:[Data Disk 1 Type Check]],"Fail")&gt;0,"Fail","Pass")</f>
        <v>Fail</v>
      </c>
      <c r="B282" t="s">
        <v>2723</v>
      </c>
      <c r="C282" t="s">
        <v>754</v>
      </c>
      <c r="D282" t="s">
        <v>2100</v>
      </c>
      <c r="E282" t="s">
        <v>756</v>
      </c>
      <c r="F282" t="s">
        <v>757</v>
      </c>
      <c r="G282" t="s">
        <v>758</v>
      </c>
      <c r="H282" t="s">
        <v>2692</v>
      </c>
      <c r="J282" t="s">
        <v>760</v>
      </c>
      <c r="K282" t="s">
        <v>2102</v>
      </c>
      <c r="L282" t="s">
        <v>754</v>
      </c>
      <c r="M282" t="s">
        <v>2724</v>
      </c>
      <c r="N282" t="s">
        <v>2104</v>
      </c>
      <c r="O282" t="s">
        <v>2105</v>
      </c>
      <c r="P282" t="s">
        <v>63</v>
      </c>
      <c r="R282" t="s">
        <v>2725</v>
      </c>
      <c r="S282" t="s">
        <v>754</v>
      </c>
      <c r="U282" t="s">
        <v>2726</v>
      </c>
      <c r="V282" t="s">
        <v>767</v>
      </c>
      <c r="W282">
        <v>64</v>
      </c>
      <c r="X282" t="s">
        <v>768</v>
      </c>
      <c r="Y282">
        <v>2</v>
      </c>
      <c r="Z282" t="s">
        <v>2727</v>
      </c>
      <c r="AA282">
        <v>8</v>
      </c>
      <c r="AB282" t="s">
        <v>770</v>
      </c>
      <c r="AC282" t="s">
        <v>768</v>
      </c>
      <c r="AD282" t="s">
        <v>2728</v>
      </c>
      <c r="AE282">
        <v>32</v>
      </c>
      <c r="AF282" t="s">
        <v>770</v>
      </c>
      <c r="AG282" t="s">
        <v>768</v>
      </c>
      <c r="AT282" t="s">
        <v>772</v>
      </c>
      <c r="AU282" t="s">
        <v>2698</v>
      </c>
      <c r="AV282" t="str" cm="1">
        <f t="array" ref="AV282">IF(B282=_xlfn.XLOOKUP(B282,VmSpecs[[#All],[VM Name]],VmSpecs[[#All],[VM Name]],"Failed",0,1),"Pass","Fail")</f>
        <v>Fail</v>
      </c>
      <c r="AW282" t="str" cm="1">
        <f t="array" ref="AW282">IF(D282=_xlfn.XLOOKUP($B282,VmSpecs[[#All],[VM Name]],VmSpecs[[#All],[Virtual Machine Resource Groups]],"Failed",0,1),"Pass","Fail")</f>
        <v>Fail</v>
      </c>
      <c r="AX282" t="str" cm="1">
        <f t="array" ref="AX282">IF(_xlfn.IFS(E282="australiacentral","Australia Central 1",E282="australiaeast","Australia East",E282="australiasoutheast","Australia SouthEast")=_xlfn.XLOOKUP($B282,VmSpecs[[#All],[VM Name]],VmSpecs[[#All],[Region]],"Failed",0,1),"Pass","Fail")</f>
        <v>Fail</v>
      </c>
      <c r="AY282" t="str" cm="1">
        <f t="array" ref="AY282">IF(F282=_xlfn.XLOOKUP($B282,VmSpecs[[#All],[VM Name]],VmSpecs[[#All],[Instance size]],"Failed",0,1),"Pass","Fail")</f>
        <v>Fail</v>
      </c>
      <c r="AZ282" t="str" cm="1">
        <f t="array" ref="AZ282">IF(LOWER(H282)=_xlfn.XLOOKUP($B282,VmSpecs[[#All],[VM Name]],VmSpecs[[#All],[Availability Set Name]],"Failed",0,1),"Pass","Fail")</f>
        <v>Fail</v>
      </c>
      <c r="BA282" t="str" cm="1">
        <f t="array" ref="BA282">IF(J282=_xlfn.XLOOKUP($B282,VmSpecs[[#All],[VM Name]],VmSpecs[[#All],[Virtual Network]],"Failed",0,1),"Pass","Fail")</f>
        <v>Fail</v>
      </c>
      <c r="BB282" t="str" cm="1">
        <f t="array" ref="BB282">IF(K282=_xlfn.XLOOKUP($B282,VmSpecs[[#All],[VM Name]],VmSpecs[[#All],[Subnet]],"Failed",0,1),"Pass","Fail")</f>
        <v>Fail</v>
      </c>
      <c r="BC282" t="str" cm="1">
        <f t="array" ref="BC282">IF(M282=_xlfn.XLOOKUP($B282,VmSpecs[[#All],[VM Name]],VmSpecs[[#All],[IP]],"Failed",0,1),"Pass","Fail")</f>
        <v>Fail</v>
      </c>
      <c r="BD282" t="str" cm="1">
        <f t="array" ref="BD282">IF(N282=_xlfn.XLOOKUP($B282,VmSpecs[[#All],[VM Name]],VmSpecs[[#All],[Network Security Group]],"Failed",0,1),"Pass","Fail")</f>
        <v>Fail</v>
      </c>
      <c r="BE282" t="str" cm="1">
        <f t="array" ref="BE282">IF(O282=_xlfn.XLOOKUP($B282,VmSpecs[[#All],[VM Name]],VmSpecs[[#All],[Route Table Name]],"Failed",0,1),"Pass","Fail")</f>
        <v>Fail</v>
      </c>
      <c r="BF282" t="str" cm="1">
        <f t="array" ref="BF282">IF(P282=_xlfn.XLOOKUP($B282,VmSpecs[[#All],[VM Name]],VmSpecs[[#All],[Operating System]],"Failed",0,1),"Pass","Fail")</f>
        <v>Fail</v>
      </c>
      <c r="BG282" t="str" cm="1">
        <f t="array" ref="BG282">IF(R282=_xlfn.XLOOKUP($B282,VmSpecs[[#All],[VM Name]],VmSpecs[[#All],[NIC name]],"Failed",0,1),"Pass","Fail")</f>
        <v>Fail</v>
      </c>
      <c r="BH282" t="str" cm="1">
        <f t="array" ref="BH282">IF(U282=_xlfn.XLOOKUP($B282,VmSpecs[[#All],[VM Name]],VmSpecs[[#All],[OS Disk Name]],"Failed",0,1),"Pass","Fail")</f>
        <v>Fail</v>
      </c>
      <c r="BI282" t="str" cm="1">
        <f t="array" ref="BI282">IF(W282=_xlfn.XLOOKUP($B282,VmSpecs[[#All],[VM Name]],VmSpecs[[#All],[OS Disk Size]],"Failed",0,1),"Pass","Fail")</f>
        <v>Fail</v>
      </c>
      <c r="BJ282" t="str" cm="1">
        <f t="array" ref="BJ282">IF(LEFT(X282,4)=LEFT(_xlfn.XLOOKUP($B282,VmSpecs[[#All],[VM Name]],VmSpecs[[#All],[OS Disk Type (Standard SSD etc)]],"Failed",0,1),4),"Pass","Fail")</f>
        <v>Fail</v>
      </c>
      <c r="BK282" t="str" cm="1">
        <f t="array" ref="BK282">IF(Z282=_xlfn.XLOOKUP($B282,VmSpecs[[#All],[VM Name]],VmSpecs[[#All],[Data Disk1 Name]],"Failed",0,1),"Pass","Fail")</f>
        <v>Fail</v>
      </c>
      <c r="BL282" t="str" cm="1">
        <f t="array" ref="BL282">IF(AA282=_xlfn.XLOOKUP($B282,VmSpecs[[#All],[VM Name]],VmSpecs[[#All],[Data Disk1 Size]],"Failed",0,1),"Pass","Fail")</f>
        <v>Fail</v>
      </c>
      <c r="BM282" t="str" cm="1">
        <f t="array" ref="BM282">IF(LEFT(AC282,4)=LEFT(_xlfn.XLOOKUP($B282,VmSpecs[[#All],[VM Name]],VmSpecs[[#All],[Data Disk1 Type]],"Failed",0,1),4),"Pass","Fail")</f>
        <v>Fail</v>
      </c>
      <c r="BO282" t="e">
        <f>VLOOKUP('VM Specs'!K282,'As Built'!B:B,1,FALSE)</f>
        <v>#N/A</v>
      </c>
      <c r="BP282" t="str">
        <f>IF(ISNA(Table613[[#This Row],[VM Build Sheet Check]]),'VM Specs'!K282,"")</f>
        <v>vmpfbpf2oho06</v>
      </c>
    </row>
    <row r="283" spans="1:68" ht="33" customHeight="1" x14ac:dyDescent="0.35">
      <c r="A283" t="str">
        <f>IF(COUNTIF(AsBuilt[[#This Row],[VM Check]:[Data Disk 1 Type Check]],"Fail")&gt;0,"Fail","Pass")</f>
        <v>Fail</v>
      </c>
      <c r="B283" t="s">
        <v>2729</v>
      </c>
      <c r="C283" t="s">
        <v>754</v>
      </c>
      <c r="D283" t="s">
        <v>2100</v>
      </c>
      <c r="E283" t="s">
        <v>756</v>
      </c>
      <c r="F283" t="s">
        <v>757</v>
      </c>
      <c r="G283" t="s">
        <v>758</v>
      </c>
      <c r="H283" t="s">
        <v>2730</v>
      </c>
      <c r="J283" t="s">
        <v>760</v>
      </c>
      <c r="K283" t="s">
        <v>2102</v>
      </c>
      <c r="L283" t="s">
        <v>754</v>
      </c>
      <c r="M283" t="s">
        <v>2731</v>
      </c>
      <c r="N283" t="s">
        <v>2104</v>
      </c>
      <c r="O283" t="s">
        <v>2105</v>
      </c>
      <c r="P283" t="s">
        <v>63</v>
      </c>
      <c r="R283" t="s">
        <v>2732</v>
      </c>
      <c r="S283" t="s">
        <v>754</v>
      </c>
      <c r="U283" t="s">
        <v>2733</v>
      </c>
      <c r="V283" t="s">
        <v>767</v>
      </c>
      <c r="W283">
        <v>64</v>
      </c>
      <c r="X283" t="s">
        <v>768</v>
      </c>
      <c r="Y283">
        <v>2</v>
      </c>
      <c r="Z283" t="s">
        <v>2734</v>
      </c>
      <c r="AA283">
        <v>8</v>
      </c>
      <c r="AB283" t="s">
        <v>770</v>
      </c>
      <c r="AC283" t="s">
        <v>768</v>
      </c>
      <c r="AD283" t="s">
        <v>2735</v>
      </c>
      <c r="AE283">
        <v>32</v>
      </c>
      <c r="AF283" t="s">
        <v>770</v>
      </c>
      <c r="AG283" t="s">
        <v>768</v>
      </c>
      <c r="AT283" t="s">
        <v>772</v>
      </c>
      <c r="AU283" t="s">
        <v>2736</v>
      </c>
      <c r="AV283" t="str" cm="1">
        <f t="array" ref="AV283">IF(B283=_xlfn.XLOOKUP(B283,VmSpecs[[#All],[VM Name]],VmSpecs[[#All],[VM Name]],"Failed",0,1),"Pass","Fail")</f>
        <v>Fail</v>
      </c>
      <c r="AW283" t="str" cm="1">
        <f t="array" ref="AW283">IF(D283=_xlfn.XLOOKUP($B283,VmSpecs[[#All],[VM Name]],VmSpecs[[#All],[Virtual Machine Resource Groups]],"Failed",0,1),"Pass","Fail")</f>
        <v>Fail</v>
      </c>
      <c r="AX283" t="str" cm="1">
        <f t="array" ref="AX283">IF(_xlfn.IFS(E283="australiacentral","Australia Central 1",E283="australiaeast","Australia East",E283="australiasoutheast","Australia SouthEast")=_xlfn.XLOOKUP($B283,VmSpecs[[#All],[VM Name]],VmSpecs[[#All],[Region]],"Failed",0,1),"Pass","Fail")</f>
        <v>Fail</v>
      </c>
      <c r="AY283" t="str" cm="1">
        <f t="array" ref="AY283">IF(F283=_xlfn.XLOOKUP($B283,VmSpecs[[#All],[VM Name]],VmSpecs[[#All],[Instance size]],"Failed",0,1),"Pass","Fail")</f>
        <v>Fail</v>
      </c>
      <c r="AZ283" t="str" cm="1">
        <f t="array" ref="AZ283">IF(LOWER(H283)=_xlfn.XLOOKUP($B283,VmSpecs[[#All],[VM Name]],VmSpecs[[#All],[Availability Set Name]],"Failed",0,1),"Pass","Fail")</f>
        <v>Fail</v>
      </c>
      <c r="BA283" t="str" cm="1">
        <f t="array" ref="BA283">IF(J283=_xlfn.XLOOKUP($B283,VmSpecs[[#All],[VM Name]],VmSpecs[[#All],[Virtual Network]],"Failed",0,1),"Pass","Fail")</f>
        <v>Fail</v>
      </c>
      <c r="BB283" t="str" cm="1">
        <f t="array" ref="BB283">IF(K283=_xlfn.XLOOKUP($B283,VmSpecs[[#All],[VM Name]],VmSpecs[[#All],[Subnet]],"Failed",0,1),"Pass","Fail")</f>
        <v>Fail</v>
      </c>
      <c r="BC283" t="str" cm="1">
        <f t="array" ref="BC283">IF(M283=_xlfn.XLOOKUP($B283,VmSpecs[[#All],[VM Name]],VmSpecs[[#All],[IP]],"Failed",0,1),"Pass","Fail")</f>
        <v>Fail</v>
      </c>
      <c r="BD283" t="str" cm="1">
        <f t="array" ref="BD283">IF(N283=_xlfn.XLOOKUP($B283,VmSpecs[[#All],[VM Name]],VmSpecs[[#All],[Network Security Group]],"Failed",0,1),"Pass","Fail")</f>
        <v>Fail</v>
      </c>
      <c r="BE283" t="str" cm="1">
        <f t="array" ref="BE283">IF(O283=_xlfn.XLOOKUP($B283,VmSpecs[[#All],[VM Name]],VmSpecs[[#All],[Route Table Name]],"Failed",0,1),"Pass","Fail")</f>
        <v>Fail</v>
      </c>
      <c r="BF283" t="str" cm="1">
        <f t="array" ref="BF283">IF(P283=_xlfn.XLOOKUP($B283,VmSpecs[[#All],[VM Name]],VmSpecs[[#All],[Operating System]],"Failed",0,1),"Pass","Fail")</f>
        <v>Fail</v>
      </c>
      <c r="BG283" t="str" cm="1">
        <f t="array" ref="BG283">IF(R283=_xlfn.XLOOKUP($B283,VmSpecs[[#All],[VM Name]],VmSpecs[[#All],[NIC name]],"Failed",0,1),"Pass","Fail")</f>
        <v>Fail</v>
      </c>
      <c r="BH283" t="str" cm="1">
        <f t="array" ref="BH283">IF(U283=_xlfn.XLOOKUP($B283,VmSpecs[[#All],[VM Name]],VmSpecs[[#All],[OS Disk Name]],"Failed",0,1),"Pass","Fail")</f>
        <v>Fail</v>
      </c>
      <c r="BI283" t="str" cm="1">
        <f t="array" ref="BI283">IF(W283=_xlfn.XLOOKUP($B283,VmSpecs[[#All],[VM Name]],VmSpecs[[#All],[OS Disk Size]],"Failed",0,1),"Pass","Fail")</f>
        <v>Fail</v>
      </c>
      <c r="BJ283" t="str" cm="1">
        <f t="array" ref="BJ283">IF(LEFT(X283,4)=LEFT(_xlfn.XLOOKUP($B283,VmSpecs[[#All],[VM Name]],VmSpecs[[#All],[OS Disk Type (Standard SSD etc)]],"Failed",0,1),4),"Pass","Fail")</f>
        <v>Fail</v>
      </c>
      <c r="BK283" t="str" cm="1">
        <f t="array" ref="BK283">IF(Z283=_xlfn.XLOOKUP($B283,VmSpecs[[#All],[VM Name]],VmSpecs[[#All],[Data Disk1 Name]],"Failed",0,1),"Pass","Fail")</f>
        <v>Fail</v>
      </c>
      <c r="BL283" t="str" cm="1">
        <f t="array" ref="BL283">IF(AA283=_xlfn.XLOOKUP($B283,VmSpecs[[#All],[VM Name]],VmSpecs[[#All],[Data Disk1 Size]],"Failed",0,1),"Pass","Fail")</f>
        <v>Fail</v>
      </c>
      <c r="BM283" t="str" cm="1">
        <f t="array" ref="BM283">IF(LEFT(AC283,4)=LEFT(_xlfn.XLOOKUP($B283,VmSpecs[[#All],[VM Name]],VmSpecs[[#All],[Data Disk1 Type]],"Failed",0,1),4),"Pass","Fail")</f>
        <v>Fail</v>
      </c>
      <c r="BO283" t="e">
        <f>VLOOKUP('VM Specs'!K283,'As Built'!B:B,1,FALSE)</f>
        <v>#N/A</v>
      </c>
      <c r="BP283" t="str">
        <f>IF(ISNA(Table613[[#This Row],[VM Build Sheet Check]]),'VM Specs'!K283,"")</f>
        <v>vmpfbpf2rho01</v>
      </c>
    </row>
    <row r="284" spans="1:68" ht="33" customHeight="1" x14ac:dyDescent="0.35">
      <c r="A284" t="str">
        <f>IF(COUNTIF(AsBuilt[[#This Row],[VM Check]:[Data Disk 1 Type Check]],"Fail")&gt;0,"Fail","Pass")</f>
        <v>Fail</v>
      </c>
      <c r="B284" t="s">
        <v>2737</v>
      </c>
      <c r="C284" t="s">
        <v>754</v>
      </c>
      <c r="D284" t="s">
        <v>2100</v>
      </c>
      <c r="E284" t="s">
        <v>756</v>
      </c>
      <c r="F284" t="s">
        <v>757</v>
      </c>
      <c r="G284" t="s">
        <v>758</v>
      </c>
      <c r="H284" t="s">
        <v>2730</v>
      </c>
      <c r="J284" t="s">
        <v>760</v>
      </c>
      <c r="K284" t="s">
        <v>2102</v>
      </c>
      <c r="L284" t="s">
        <v>754</v>
      </c>
      <c r="M284" t="s">
        <v>2738</v>
      </c>
      <c r="N284" t="s">
        <v>2104</v>
      </c>
      <c r="O284" t="s">
        <v>2105</v>
      </c>
      <c r="P284" t="s">
        <v>63</v>
      </c>
      <c r="R284" t="s">
        <v>2739</v>
      </c>
      <c r="S284" t="s">
        <v>754</v>
      </c>
      <c r="U284" t="s">
        <v>2740</v>
      </c>
      <c r="V284" t="s">
        <v>767</v>
      </c>
      <c r="W284">
        <v>64</v>
      </c>
      <c r="X284" t="s">
        <v>768</v>
      </c>
      <c r="Y284">
        <v>2</v>
      </c>
      <c r="Z284" t="s">
        <v>2741</v>
      </c>
      <c r="AA284">
        <v>8</v>
      </c>
      <c r="AB284" t="s">
        <v>770</v>
      </c>
      <c r="AC284" t="s">
        <v>768</v>
      </c>
      <c r="AD284" t="s">
        <v>2742</v>
      </c>
      <c r="AE284">
        <v>32</v>
      </c>
      <c r="AF284" t="s">
        <v>770</v>
      </c>
      <c r="AG284" t="s">
        <v>768</v>
      </c>
      <c r="AT284" t="s">
        <v>772</v>
      </c>
      <c r="AU284" t="s">
        <v>2736</v>
      </c>
      <c r="AV284" t="str" cm="1">
        <f t="array" ref="AV284">IF(B284=_xlfn.XLOOKUP(B284,VmSpecs[[#All],[VM Name]],VmSpecs[[#All],[VM Name]],"Failed",0,1),"Pass","Fail")</f>
        <v>Fail</v>
      </c>
      <c r="AW284" t="str" cm="1">
        <f t="array" ref="AW284">IF(D284=_xlfn.XLOOKUP($B284,VmSpecs[[#All],[VM Name]],VmSpecs[[#All],[Virtual Machine Resource Groups]],"Failed",0,1),"Pass","Fail")</f>
        <v>Fail</v>
      </c>
      <c r="AX284" t="str" cm="1">
        <f t="array" ref="AX284">IF(_xlfn.IFS(E284="australiacentral","Australia Central 1",E284="australiaeast","Australia East",E284="australiasoutheast","Australia SouthEast")=_xlfn.XLOOKUP($B284,VmSpecs[[#All],[VM Name]],VmSpecs[[#All],[Region]],"Failed",0,1),"Pass","Fail")</f>
        <v>Fail</v>
      </c>
      <c r="AY284" t="str" cm="1">
        <f t="array" ref="AY284">IF(F284=_xlfn.XLOOKUP($B284,VmSpecs[[#All],[VM Name]],VmSpecs[[#All],[Instance size]],"Failed",0,1),"Pass","Fail")</f>
        <v>Fail</v>
      </c>
      <c r="AZ284" t="str" cm="1">
        <f t="array" ref="AZ284">IF(LOWER(H284)=_xlfn.XLOOKUP($B284,VmSpecs[[#All],[VM Name]],VmSpecs[[#All],[Availability Set Name]],"Failed",0,1),"Pass","Fail")</f>
        <v>Fail</v>
      </c>
      <c r="BA284" t="str" cm="1">
        <f t="array" ref="BA284">IF(J284=_xlfn.XLOOKUP($B284,VmSpecs[[#All],[VM Name]],VmSpecs[[#All],[Virtual Network]],"Failed",0,1),"Pass","Fail")</f>
        <v>Fail</v>
      </c>
      <c r="BB284" t="str" cm="1">
        <f t="array" ref="BB284">IF(K284=_xlfn.XLOOKUP($B284,VmSpecs[[#All],[VM Name]],VmSpecs[[#All],[Subnet]],"Failed",0,1),"Pass","Fail")</f>
        <v>Fail</v>
      </c>
      <c r="BC284" t="str" cm="1">
        <f t="array" ref="BC284">IF(M284=_xlfn.XLOOKUP($B284,VmSpecs[[#All],[VM Name]],VmSpecs[[#All],[IP]],"Failed",0,1),"Pass","Fail")</f>
        <v>Fail</v>
      </c>
      <c r="BD284" t="str" cm="1">
        <f t="array" ref="BD284">IF(N284=_xlfn.XLOOKUP($B284,VmSpecs[[#All],[VM Name]],VmSpecs[[#All],[Network Security Group]],"Failed",0,1),"Pass","Fail")</f>
        <v>Fail</v>
      </c>
      <c r="BE284" t="str" cm="1">
        <f t="array" ref="BE284">IF(O284=_xlfn.XLOOKUP($B284,VmSpecs[[#All],[VM Name]],VmSpecs[[#All],[Route Table Name]],"Failed",0,1),"Pass","Fail")</f>
        <v>Fail</v>
      </c>
      <c r="BF284" t="str" cm="1">
        <f t="array" ref="BF284">IF(P284=_xlfn.XLOOKUP($B284,VmSpecs[[#All],[VM Name]],VmSpecs[[#All],[Operating System]],"Failed",0,1),"Pass","Fail")</f>
        <v>Fail</v>
      </c>
      <c r="BG284" t="str" cm="1">
        <f t="array" ref="BG284">IF(R284=_xlfn.XLOOKUP($B284,VmSpecs[[#All],[VM Name]],VmSpecs[[#All],[NIC name]],"Failed",0,1),"Pass","Fail")</f>
        <v>Fail</v>
      </c>
      <c r="BH284" t="str" cm="1">
        <f t="array" ref="BH284">IF(U284=_xlfn.XLOOKUP($B284,VmSpecs[[#All],[VM Name]],VmSpecs[[#All],[OS Disk Name]],"Failed",0,1),"Pass","Fail")</f>
        <v>Fail</v>
      </c>
      <c r="BI284" t="str" cm="1">
        <f t="array" ref="BI284">IF(W284=_xlfn.XLOOKUP($B284,VmSpecs[[#All],[VM Name]],VmSpecs[[#All],[OS Disk Size]],"Failed",0,1),"Pass","Fail")</f>
        <v>Fail</v>
      </c>
      <c r="BJ284" t="str" cm="1">
        <f t="array" ref="BJ284">IF(LEFT(X284,4)=LEFT(_xlfn.XLOOKUP($B284,VmSpecs[[#All],[VM Name]],VmSpecs[[#All],[OS Disk Type (Standard SSD etc)]],"Failed",0,1),4),"Pass","Fail")</f>
        <v>Fail</v>
      </c>
      <c r="BK284" t="str" cm="1">
        <f t="array" ref="BK284">IF(Z284=_xlfn.XLOOKUP($B284,VmSpecs[[#All],[VM Name]],VmSpecs[[#All],[Data Disk1 Name]],"Failed",0,1),"Pass","Fail")</f>
        <v>Fail</v>
      </c>
      <c r="BL284" t="str" cm="1">
        <f t="array" ref="BL284">IF(AA284=_xlfn.XLOOKUP($B284,VmSpecs[[#All],[VM Name]],VmSpecs[[#All],[Data Disk1 Size]],"Failed",0,1),"Pass","Fail")</f>
        <v>Fail</v>
      </c>
      <c r="BM284" t="str" cm="1">
        <f t="array" ref="BM284">IF(LEFT(AC284,4)=LEFT(_xlfn.XLOOKUP($B284,VmSpecs[[#All],[VM Name]],VmSpecs[[#All],[Data Disk1 Type]],"Failed",0,1),4),"Pass","Fail")</f>
        <v>Fail</v>
      </c>
      <c r="BO284" t="e">
        <f>VLOOKUP('VM Specs'!K284,'As Built'!B:B,1,FALSE)</f>
        <v>#N/A</v>
      </c>
      <c r="BP284" t="str">
        <f>IF(ISNA(Table613[[#This Row],[VM Build Sheet Check]]),'VM Specs'!K284,"")</f>
        <v>vmpfbpf2rho02</v>
      </c>
    </row>
    <row r="285" spans="1:68" ht="33" customHeight="1" x14ac:dyDescent="0.35">
      <c r="A285" t="str">
        <f>IF(COUNTIF(AsBuilt[[#This Row],[VM Check]:[Data Disk 1 Type Check]],"Fail")&gt;0,"Fail","Pass")</f>
        <v>Fail</v>
      </c>
      <c r="B285" t="s">
        <v>2743</v>
      </c>
      <c r="C285" t="s">
        <v>754</v>
      </c>
      <c r="D285" t="s">
        <v>2100</v>
      </c>
      <c r="E285" t="s">
        <v>756</v>
      </c>
      <c r="F285" t="s">
        <v>757</v>
      </c>
      <c r="G285" t="s">
        <v>758</v>
      </c>
      <c r="H285" t="s">
        <v>2730</v>
      </c>
      <c r="J285" t="s">
        <v>760</v>
      </c>
      <c r="K285" t="s">
        <v>2102</v>
      </c>
      <c r="L285" t="s">
        <v>754</v>
      </c>
      <c r="M285" t="s">
        <v>2744</v>
      </c>
      <c r="N285" t="s">
        <v>2104</v>
      </c>
      <c r="O285" t="s">
        <v>2105</v>
      </c>
      <c r="P285" t="s">
        <v>63</v>
      </c>
      <c r="R285" t="s">
        <v>2745</v>
      </c>
      <c r="S285" t="s">
        <v>754</v>
      </c>
      <c r="U285" t="s">
        <v>2746</v>
      </c>
      <c r="V285" t="s">
        <v>767</v>
      </c>
      <c r="W285">
        <v>64</v>
      </c>
      <c r="X285" t="s">
        <v>768</v>
      </c>
      <c r="Y285">
        <v>2</v>
      </c>
      <c r="Z285" t="s">
        <v>2747</v>
      </c>
      <c r="AA285">
        <v>8</v>
      </c>
      <c r="AB285" t="s">
        <v>770</v>
      </c>
      <c r="AC285" t="s">
        <v>768</v>
      </c>
      <c r="AD285" t="s">
        <v>2748</v>
      </c>
      <c r="AE285">
        <v>32</v>
      </c>
      <c r="AF285" t="s">
        <v>770</v>
      </c>
      <c r="AG285" t="s">
        <v>768</v>
      </c>
      <c r="AT285" t="s">
        <v>772</v>
      </c>
      <c r="AU285" t="s">
        <v>2736</v>
      </c>
      <c r="AV285" t="str" cm="1">
        <f t="array" ref="AV285">IF(B285=_xlfn.XLOOKUP(B285,VmSpecs[[#All],[VM Name]],VmSpecs[[#All],[VM Name]],"Failed",0,1),"Pass","Fail")</f>
        <v>Fail</v>
      </c>
      <c r="AW285" t="str" cm="1">
        <f t="array" ref="AW285">IF(D285=_xlfn.XLOOKUP($B285,VmSpecs[[#All],[VM Name]],VmSpecs[[#All],[Virtual Machine Resource Groups]],"Failed",0,1),"Pass","Fail")</f>
        <v>Fail</v>
      </c>
      <c r="AX285" t="str" cm="1">
        <f t="array" ref="AX285">IF(_xlfn.IFS(E285="australiacentral","Australia Central 1",E285="australiaeast","Australia East",E285="australiasoutheast","Australia SouthEast")=_xlfn.XLOOKUP($B285,VmSpecs[[#All],[VM Name]],VmSpecs[[#All],[Region]],"Failed",0,1),"Pass","Fail")</f>
        <v>Fail</v>
      </c>
      <c r="AY285" t="str" cm="1">
        <f t="array" ref="AY285">IF(F285=_xlfn.XLOOKUP($B285,VmSpecs[[#All],[VM Name]],VmSpecs[[#All],[Instance size]],"Failed",0,1),"Pass","Fail")</f>
        <v>Fail</v>
      </c>
      <c r="AZ285" t="str" cm="1">
        <f t="array" ref="AZ285">IF(LOWER(H285)=_xlfn.XLOOKUP($B285,VmSpecs[[#All],[VM Name]],VmSpecs[[#All],[Availability Set Name]],"Failed",0,1),"Pass","Fail")</f>
        <v>Fail</v>
      </c>
      <c r="BA285" t="str" cm="1">
        <f t="array" ref="BA285">IF(J285=_xlfn.XLOOKUP($B285,VmSpecs[[#All],[VM Name]],VmSpecs[[#All],[Virtual Network]],"Failed",0,1),"Pass","Fail")</f>
        <v>Fail</v>
      </c>
      <c r="BB285" t="str" cm="1">
        <f t="array" ref="BB285">IF(K285=_xlfn.XLOOKUP($B285,VmSpecs[[#All],[VM Name]],VmSpecs[[#All],[Subnet]],"Failed",0,1),"Pass","Fail")</f>
        <v>Fail</v>
      </c>
      <c r="BC285" t="str" cm="1">
        <f t="array" ref="BC285">IF(M285=_xlfn.XLOOKUP($B285,VmSpecs[[#All],[VM Name]],VmSpecs[[#All],[IP]],"Failed",0,1),"Pass","Fail")</f>
        <v>Fail</v>
      </c>
      <c r="BD285" t="str" cm="1">
        <f t="array" ref="BD285">IF(N285=_xlfn.XLOOKUP($B285,VmSpecs[[#All],[VM Name]],VmSpecs[[#All],[Network Security Group]],"Failed",0,1),"Pass","Fail")</f>
        <v>Fail</v>
      </c>
      <c r="BE285" t="str" cm="1">
        <f t="array" ref="BE285">IF(O285=_xlfn.XLOOKUP($B285,VmSpecs[[#All],[VM Name]],VmSpecs[[#All],[Route Table Name]],"Failed",0,1),"Pass","Fail")</f>
        <v>Fail</v>
      </c>
      <c r="BF285" t="str" cm="1">
        <f t="array" ref="BF285">IF(P285=_xlfn.XLOOKUP($B285,VmSpecs[[#All],[VM Name]],VmSpecs[[#All],[Operating System]],"Failed",0,1),"Pass","Fail")</f>
        <v>Fail</v>
      </c>
      <c r="BG285" t="str" cm="1">
        <f t="array" ref="BG285">IF(R285=_xlfn.XLOOKUP($B285,VmSpecs[[#All],[VM Name]],VmSpecs[[#All],[NIC name]],"Failed",0,1),"Pass","Fail")</f>
        <v>Fail</v>
      </c>
      <c r="BH285" t="str" cm="1">
        <f t="array" ref="BH285">IF(U285=_xlfn.XLOOKUP($B285,VmSpecs[[#All],[VM Name]],VmSpecs[[#All],[OS Disk Name]],"Failed",0,1),"Pass","Fail")</f>
        <v>Fail</v>
      </c>
      <c r="BI285" t="str" cm="1">
        <f t="array" ref="BI285">IF(W285=_xlfn.XLOOKUP($B285,VmSpecs[[#All],[VM Name]],VmSpecs[[#All],[OS Disk Size]],"Failed",0,1),"Pass","Fail")</f>
        <v>Fail</v>
      </c>
      <c r="BJ285" t="str" cm="1">
        <f t="array" ref="BJ285">IF(LEFT(X285,4)=LEFT(_xlfn.XLOOKUP($B285,VmSpecs[[#All],[VM Name]],VmSpecs[[#All],[OS Disk Type (Standard SSD etc)]],"Failed",0,1),4),"Pass","Fail")</f>
        <v>Fail</v>
      </c>
      <c r="BK285" t="str" cm="1">
        <f t="array" ref="BK285">IF(Z285=_xlfn.XLOOKUP($B285,VmSpecs[[#All],[VM Name]],VmSpecs[[#All],[Data Disk1 Name]],"Failed",0,1),"Pass","Fail")</f>
        <v>Fail</v>
      </c>
      <c r="BL285" t="str" cm="1">
        <f t="array" ref="BL285">IF(AA285=_xlfn.XLOOKUP($B285,VmSpecs[[#All],[VM Name]],VmSpecs[[#All],[Data Disk1 Size]],"Failed",0,1),"Pass","Fail")</f>
        <v>Fail</v>
      </c>
      <c r="BM285" t="str" cm="1">
        <f t="array" ref="BM285">IF(LEFT(AC285,4)=LEFT(_xlfn.XLOOKUP($B285,VmSpecs[[#All],[VM Name]],VmSpecs[[#All],[Data Disk1 Type]],"Failed",0,1),4),"Pass","Fail")</f>
        <v>Fail</v>
      </c>
      <c r="BO285" t="e">
        <f>VLOOKUP('VM Specs'!K285,'As Built'!B:B,1,FALSE)</f>
        <v>#N/A</v>
      </c>
      <c r="BP285" t="str">
        <f>IF(ISNA(Table613[[#This Row],[VM Build Sheet Check]]),'VM Specs'!K285,"")</f>
        <v>vmpfbpf2rho03</v>
      </c>
    </row>
    <row r="286" spans="1:68" ht="33" customHeight="1" x14ac:dyDescent="0.35">
      <c r="A286" t="str">
        <f>IF(COUNTIF(AsBuilt[[#This Row],[VM Check]:[Data Disk 1 Type Check]],"Fail")&gt;0,"Fail","Pass")</f>
        <v>Fail</v>
      </c>
      <c r="B286" t="s">
        <v>2749</v>
      </c>
      <c r="C286" t="s">
        <v>754</v>
      </c>
      <c r="D286" t="s">
        <v>2100</v>
      </c>
      <c r="E286" t="s">
        <v>756</v>
      </c>
      <c r="F286" t="s">
        <v>757</v>
      </c>
      <c r="G286" t="s">
        <v>758</v>
      </c>
      <c r="H286" t="s">
        <v>2750</v>
      </c>
      <c r="J286" t="s">
        <v>760</v>
      </c>
      <c r="K286" t="s">
        <v>2102</v>
      </c>
      <c r="L286" t="s">
        <v>754</v>
      </c>
      <c r="M286" t="s">
        <v>2751</v>
      </c>
      <c r="N286" t="s">
        <v>2104</v>
      </c>
      <c r="O286" t="s">
        <v>2105</v>
      </c>
      <c r="P286" t="s">
        <v>63</v>
      </c>
      <c r="R286" t="s">
        <v>2752</v>
      </c>
      <c r="S286" t="s">
        <v>754</v>
      </c>
      <c r="U286" t="s">
        <v>2753</v>
      </c>
      <c r="V286" t="s">
        <v>767</v>
      </c>
      <c r="W286">
        <v>64</v>
      </c>
      <c r="X286" t="s">
        <v>768</v>
      </c>
      <c r="Y286">
        <v>2</v>
      </c>
      <c r="Z286" t="s">
        <v>2754</v>
      </c>
      <c r="AA286">
        <v>8</v>
      </c>
      <c r="AB286" t="s">
        <v>770</v>
      </c>
      <c r="AC286" t="s">
        <v>768</v>
      </c>
      <c r="AD286" t="s">
        <v>2755</v>
      </c>
      <c r="AE286">
        <v>32</v>
      </c>
      <c r="AF286" t="s">
        <v>770</v>
      </c>
      <c r="AG286" t="s">
        <v>768</v>
      </c>
      <c r="AT286" t="s">
        <v>772</v>
      </c>
      <c r="AU286" t="s">
        <v>2756</v>
      </c>
      <c r="AV286" t="str" cm="1">
        <f t="array" ref="AV286">IF(B286=_xlfn.XLOOKUP(B286,VmSpecs[[#All],[VM Name]],VmSpecs[[#All],[VM Name]],"Failed",0,1),"Pass","Fail")</f>
        <v>Fail</v>
      </c>
      <c r="AW286" t="str" cm="1">
        <f t="array" ref="AW286">IF(D286=_xlfn.XLOOKUP($B286,VmSpecs[[#All],[VM Name]],VmSpecs[[#All],[Virtual Machine Resource Groups]],"Failed",0,1),"Pass","Fail")</f>
        <v>Fail</v>
      </c>
      <c r="AX286" t="str" cm="1">
        <f t="array" ref="AX286">IF(_xlfn.IFS(E286="australiacentral","Australia Central 1",E286="australiaeast","Australia East",E286="australiasoutheast","Australia SouthEast")=_xlfn.XLOOKUP($B286,VmSpecs[[#All],[VM Name]],VmSpecs[[#All],[Region]],"Failed",0,1),"Pass","Fail")</f>
        <v>Fail</v>
      </c>
      <c r="AY286" t="str" cm="1">
        <f t="array" ref="AY286">IF(F286=_xlfn.XLOOKUP($B286,VmSpecs[[#All],[VM Name]],VmSpecs[[#All],[Instance size]],"Failed",0,1),"Pass","Fail")</f>
        <v>Fail</v>
      </c>
      <c r="AZ286" t="str" cm="1">
        <f t="array" ref="AZ286">IF(LOWER(H286)=_xlfn.XLOOKUP($B286,VmSpecs[[#All],[VM Name]],VmSpecs[[#All],[Availability Set Name]],"Failed",0,1),"Pass","Fail")</f>
        <v>Fail</v>
      </c>
      <c r="BA286" t="str" cm="1">
        <f t="array" ref="BA286">IF(J286=_xlfn.XLOOKUP($B286,VmSpecs[[#All],[VM Name]],VmSpecs[[#All],[Virtual Network]],"Failed",0,1),"Pass","Fail")</f>
        <v>Fail</v>
      </c>
      <c r="BB286" t="str" cm="1">
        <f t="array" ref="BB286">IF(K286=_xlfn.XLOOKUP($B286,VmSpecs[[#All],[VM Name]],VmSpecs[[#All],[Subnet]],"Failed",0,1),"Pass","Fail")</f>
        <v>Fail</v>
      </c>
      <c r="BC286" t="str" cm="1">
        <f t="array" ref="BC286">IF(M286=_xlfn.XLOOKUP($B286,VmSpecs[[#All],[VM Name]],VmSpecs[[#All],[IP]],"Failed",0,1),"Pass","Fail")</f>
        <v>Fail</v>
      </c>
      <c r="BD286" t="str" cm="1">
        <f t="array" ref="BD286">IF(N286=_xlfn.XLOOKUP($B286,VmSpecs[[#All],[VM Name]],VmSpecs[[#All],[Network Security Group]],"Failed",0,1),"Pass","Fail")</f>
        <v>Fail</v>
      </c>
      <c r="BE286" t="str" cm="1">
        <f t="array" ref="BE286">IF(O286=_xlfn.XLOOKUP($B286,VmSpecs[[#All],[VM Name]],VmSpecs[[#All],[Route Table Name]],"Failed",0,1),"Pass","Fail")</f>
        <v>Fail</v>
      </c>
      <c r="BF286" t="str" cm="1">
        <f t="array" ref="BF286">IF(P286=_xlfn.XLOOKUP($B286,VmSpecs[[#All],[VM Name]],VmSpecs[[#All],[Operating System]],"Failed",0,1),"Pass","Fail")</f>
        <v>Fail</v>
      </c>
      <c r="BG286" t="str" cm="1">
        <f t="array" ref="BG286">IF(R286=_xlfn.XLOOKUP($B286,VmSpecs[[#All],[VM Name]],VmSpecs[[#All],[NIC name]],"Failed",0,1),"Pass","Fail")</f>
        <v>Fail</v>
      </c>
      <c r="BH286" t="str" cm="1">
        <f t="array" ref="BH286">IF(U286=_xlfn.XLOOKUP($B286,VmSpecs[[#All],[VM Name]],VmSpecs[[#All],[OS Disk Name]],"Failed",0,1),"Pass","Fail")</f>
        <v>Fail</v>
      </c>
      <c r="BI286" t="str" cm="1">
        <f t="array" ref="BI286">IF(W286=_xlfn.XLOOKUP($B286,VmSpecs[[#All],[VM Name]],VmSpecs[[#All],[OS Disk Size]],"Failed",0,1),"Pass","Fail")</f>
        <v>Fail</v>
      </c>
      <c r="BJ286" t="str" cm="1">
        <f t="array" ref="BJ286">IF(LEFT(X286,4)=LEFT(_xlfn.XLOOKUP($B286,VmSpecs[[#All],[VM Name]],VmSpecs[[#All],[OS Disk Type (Standard SSD etc)]],"Failed",0,1),4),"Pass","Fail")</f>
        <v>Fail</v>
      </c>
      <c r="BK286" t="str" cm="1">
        <f t="array" ref="BK286">IF(Z286=_xlfn.XLOOKUP($B286,VmSpecs[[#All],[VM Name]],VmSpecs[[#All],[Data Disk1 Name]],"Failed",0,1),"Pass","Fail")</f>
        <v>Fail</v>
      </c>
      <c r="BL286" t="str" cm="1">
        <f t="array" ref="BL286">IF(AA286=_xlfn.XLOOKUP($B286,VmSpecs[[#All],[VM Name]],VmSpecs[[#All],[Data Disk1 Size]],"Failed",0,1),"Pass","Fail")</f>
        <v>Fail</v>
      </c>
      <c r="BM286" t="str" cm="1">
        <f t="array" ref="BM286">IF(LEFT(AC286,4)=LEFT(_xlfn.XLOOKUP($B286,VmSpecs[[#All],[VM Name]],VmSpecs[[#All],[Data Disk1 Type]],"Failed",0,1),4),"Pass","Fail")</f>
        <v>Fail</v>
      </c>
      <c r="BO286" t="e">
        <f>VLOOKUP('VM Specs'!K286,'As Built'!B:B,1,FALSE)</f>
        <v>#N/A</v>
      </c>
      <c r="BP286" t="str">
        <f>IF(ISNA(Table613[[#This Row],[VM Build Sheet Check]]),'VM Specs'!K286,"")</f>
        <v>vmpfbpf2xho01</v>
      </c>
    </row>
    <row r="287" spans="1:68" ht="33" customHeight="1" x14ac:dyDescent="0.35">
      <c r="A287" t="str">
        <f>IF(COUNTIF(AsBuilt[[#This Row],[VM Check]:[Data Disk 1 Type Check]],"Fail")&gt;0,"Fail","Pass")</f>
        <v>Fail</v>
      </c>
      <c r="B287" t="s">
        <v>2757</v>
      </c>
      <c r="C287" t="s">
        <v>754</v>
      </c>
      <c r="D287" t="s">
        <v>2100</v>
      </c>
      <c r="E287" t="s">
        <v>756</v>
      </c>
      <c r="F287" t="s">
        <v>757</v>
      </c>
      <c r="G287" t="s">
        <v>758</v>
      </c>
      <c r="H287" t="s">
        <v>2750</v>
      </c>
      <c r="J287" t="s">
        <v>760</v>
      </c>
      <c r="K287" t="s">
        <v>2102</v>
      </c>
      <c r="L287" t="s">
        <v>754</v>
      </c>
      <c r="M287" t="s">
        <v>2758</v>
      </c>
      <c r="N287" t="s">
        <v>2104</v>
      </c>
      <c r="O287" t="s">
        <v>2105</v>
      </c>
      <c r="P287" t="s">
        <v>63</v>
      </c>
      <c r="R287" t="s">
        <v>2759</v>
      </c>
      <c r="S287" t="s">
        <v>754</v>
      </c>
      <c r="U287" t="s">
        <v>2760</v>
      </c>
      <c r="V287" t="s">
        <v>767</v>
      </c>
      <c r="W287">
        <v>64</v>
      </c>
      <c r="X287" t="s">
        <v>768</v>
      </c>
      <c r="Y287">
        <v>2</v>
      </c>
      <c r="Z287" t="s">
        <v>2761</v>
      </c>
      <c r="AA287">
        <v>8</v>
      </c>
      <c r="AB287" t="s">
        <v>770</v>
      </c>
      <c r="AC287" t="s">
        <v>768</v>
      </c>
      <c r="AD287" t="s">
        <v>2762</v>
      </c>
      <c r="AE287">
        <v>32</v>
      </c>
      <c r="AF287" t="s">
        <v>770</v>
      </c>
      <c r="AG287" t="s">
        <v>768</v>
      </c>
      <c r="AT287" t="s">
        <v>772</v>
      </c>
      <c r="AU287" t="s">
        <v>2756</v>
      </c>
      <c r="AV287" t="str" cm="1">
        <f t="array" ref="AV287">IF(B287=_xlfn.XLOOKUP(B287,VmSpecs[[#All],[VM Name]],VmSpecs[[#All],[VM Name]],"Failed",0,1),"Pass","Fail")</f>
        <v>Fail</v>
      </c>
      <c r="AW287" t="str" cm="1">
        <f t="array" ref="AW287">IF(D287=_xlfn.XLOOKUP($B287,VmSpecs[[#All],[VM Name]],VmSpecs[[#All],[Virtual Machine Resource Groups]],"Failed",0,1),"Pass","Fail")</f>
        <v>Fail</v>
      </c>
      <c r="AX287" t="str" cm="1">
        <f t="array" ref="AX287">IF(_xlfn.IFS(E287="australiacentral","Australia Central 1",E287="australiaeast","Australia East",E287="australiasoutheast","Australia SouthEast")=_xlfn.XLOOKUP($B287,VmSpecs[[#All],[VM Name]],VmSpecs[[#All],[Region]],"Failed",0,1),"Pass","Fail")</f>
        <v>Fail</v>
      </c>
      <c r="AY287" t="str" cm="1">
        <f t="array" ref="AY287">IF(F287=_xlfn.XLOOKUP($B287,VmSpecs[[#All],[VM Name]],VmSpecs[[#All],[Instance size]],"Failed",0,1),"Pass","Fail")</f>
        <v>Fail</v>
      </c>
      <c r="AZ287" t="str" cm="1">
        <f t="array" ref="AZ287">IF(LOWER(H287)=_xlfn.XLOOKUP($B287,VmSpecs[[#All],[VM Name]],VmSpecs[[#All],[Availability Set Name]],"Failed",0,1),"Pass","Fail")</f>
        <v>Fail</v>
      </c>
      <c r="BA287" t="str" cm="1">
        <f t="array" ref="BA287">IF(J287=_xlfn.XLOOKUP($B287,VmSpecs[[#All],[VM Name]],VmSpecs[[#All],[Virtual Network]],"Failed",0,1),"Pass","Fail")</f>
        <v>Fail</v>
      </c>
      <c r="BB287" t="str" cm="1">
        <f t="array" ref="BB287">IF(K287=_xlfn.XLOOKUP($B287,VmSpecs[[#All],[VM Name]],VmSpecs[[#All],[Subnet]],"Failed",0,1),"Pass","Fail")</f>
        <v>Fail</v>
      </c>
      <c r="BC287" t="str" cm="1">
        <f t="array" ref="BC287">IF(M287=_xlfn.XLOOKUP($B287,VmSpecs[[#All],[VM Name]],VmSpecs[[#All],[IP]],"Failed",0,1),"Pass","Fail")</f>
        <v>Fail</v>
      </c>
      <c r="BD287" t="str" cm="1">
        <f t="array" ref="BD287">IF(N287=_xlfn.XLOOKUP($B287,VmSpecs[[#All],[VM Name]],VmSpecs[[#All],[Network Security Group]],"Failed",0,1),"Pass","Fail")</f>
        <v>Fail</v>
      </c>
      <c r="BE287" t="str" cm="1">
        <f t="array" ref="BE287">IF(O287=_xlfn.XLOOKUP($B287,VmSpecs[[#All],[VM Name]],VmSpecs[[#All],[Route Table Name]],"Failed",0,1),"Pass","Fail")</f>
        <v>Fail</v>
      </c>
      <c r="BF287" t="str" cm="1">
        <f t="array" ref="BF287">IF(P287=_xlfn.XLOOKUP($B287,VmSpecs[[#All],[VM Name]],VmSpecs[[#All],[Operating System]],"Failed",0,1),"Pass","Fail")</f>
        <v>Fail</v>
      </c>
      <c r="BG287" t="str" cm="1">
        <f t="array" ref="BG287">IF(R287=_xlfn.XLOOKUP($B287,VmSpecs[[#All],[VM Name]],VmSpecs[[#All],[NIC name]],"Failed",0,1),"Pass","Fail")</f>
        <v>Fail</v>
      </c>
      <c r="BH287" t="str" cm="1">
        <f t="array" ref="BH287">IF(U287=_xlfn.XLOOKUP($B287,VmSpecs[[#All],[VM Name]],VmSpecs[[#All],[OS Disk Name]],"Failed",0,1),"Pass","Fail")</f>
        <v>Fail</v>
      </c>
      <c r="BI287" t="str" cm="1">
        <f t="array" ref="BI287">IF(W287=_xlfn.XLOOKUP($B287,VmSpecs[[#All],[VM Name]],VmSpecs[[#All],[OS Disk Size]],"Failed",0,1),"Pass","Fail")</f>
        <v>Fail</v>
      </c>
      <c r="BJ287" t="str" cm="1">
        <f t="array" ref="BJ287">IF(LEFT(X287,4)=LEFT(_xlfn.XLOOKUP($B287,VmSpecs[[#All],[VM Name]],VmSpecs[[#All],[OS Disk Type (Standard SSD etc)]],"Failed",0,1),4),"Pass","Fail")</f>
        <v>Fail</v>
      </c>
      <c r="BK287" t="str" cm="1">
        <f t="array" ref="BK287">IF(Z287=_xlfn.XLOOKUP($B287,VmSpecs[[#All],[VM Name]],VmSpecs[[#All],[Data Disk1 Name]],"Failed",0,1),"Pass","Fail")</f>
        <v>Fail</v>
      </c>
      <c r="BL287" t="str" cm="1">
        <f t="array" ref="BL287">IF(AA287=_xlfn.XLOOKUP($B287,VmSpecs[[#All],[VM Name]],VmSpecs[[#All],[Data Disk1 Size]],"Failed",0,1),"Pass","Fail")</f>
        <v>Fail</v>
      </c>
      <c r="BM287" t="str" cm="1">
        <f t="array" ref="BM287">IF(LEFT(AC287,4)=LEFT(_xlfn.XLOOKUP($B287,VmSpecs[[#All],[VM Name]],VmSpecs[[#All],[Data Disk1 Type]],"Failed",0,1),4),"Pass","Fail")</f>
        <v>Fail</v>
      </c>
      <c r="BO287" t="e">
        <f>VLOOKUP('VM Specs'!K287,'As Built'!B:B,1,FALSE)</f>
        <v>#N/A</v>
      </c>
      <c r="BP287" t="str">
        <f>IF(ISNA(Table613[[#This Row],[VM Build Sheet Check]]),'VM Specs'!K287,"")</f>
        <v>vmpfbpf2xho02</v>
      </c>
    </row>
    <row r="288" spans="1:68" ht="33" customHeight="1" x14ac:dyDescent="0.35">
      <c r="A288" t="str">
        <f>IF(COUNTIF(AsBuilt[[#This Row],[VM Check]:[Data Disk 1 Type Check]],"Fail")&gt;0,"Fail","Pass")</f>
        <v>Fail</v>
      </c>
      <c r="B288" t="s">
        <v>2763</v>
      </c>
      <c r="C288" t="s">
        <v>754</v>
      </c>
      <c r="D288" t="s">
        <v>2100</v>
      </c>
      <c r="E288" t="s">
        <v>756</v>
      </c>
      <c r="F288" t="s">
        <v>757</v>
      </c>
      <c r="G288" t="s">
        <v>758</v>
      </c>
      <c r="H288" t="s">
        <v>2750</v>
      </c>
      <c r="J288" t="s">
        <v>760</v>
      </c>
      <c r="K288" t="s">
        <v>2102</v>
      </c>
      <c r="L288" t="s">
        <v>754</v>
      </c>
      <c r="M288" t="s">
        <v>2764</v>
      </c>
      <c r="N288" t="s">
        <v>2104</v>
      </c>
      <c r="O288" t="s">
        <v>2105</v>
      </c>
      <c r="P288" t="s">
        <v>63</v>
      </c>
      <c r="R288" t="s">
        <v>2765</v>
      </c>
      <c r="S288" t="s">
        <v>754</v>
      </c>
      <c r="U288" t="s">
        <v>2766</v>
      </c>
      <c r="V288" t="s">
        <v>767</v>
      </c>
      <c r="W288">
        <v>64</v>
      </c>
      <c r="X288" t="s">
        <v>768</v>
      </c>
      <c r="Y288">
        <v>2</v>
      </c>
      <c r="Z288" t="s">
        <v>2767</v>
      </c>
      <c r="AA288">
        <v>8</v>
      </c>
      <c r="AB288" t="s">
        <v>770</v>
      </c>
      <c r="AC288" t="s">
        <v>768</v>
      </c>
      <c r="AD288" t="s">
        <v>2768</v>
      </c>
      <c r="AE288">
        <v>32</v>
      </c>
      <c r="AF288" t="s">
        <v>770</v>
      </c>
      <c r="AG288" t="s">
        <v>768</v>
      </c>
      <c r="AT288" t="s">
        <v>772</v>
      </c>
      <c r="AU288" t="s">
        <v>2756</v>
      </c>
      <c r="AV288" t="str" cm="1">
        <f t="array" ref="AV288">IF(B288=_xlfn.XLOOKUP(B288,VmSpecs[[#All],[VM Name]],VmSpecs[[#All],[VM Name]],"Failed",0,1),"Pass","Fail")</f>
        <v>Fail</v>
      </c>
      <c r="AW288" t="str" cm="1">
        <f t="array" ref="AW288">IF(D288=_xlfn.XLOOKUP($B288,VmSpecs[[#All],[VM Name]],VmSpecs[[#All],[Virtual Machine Resource Groups]],"Failed",0,1),"Pass","Fail")</f>
        <v>Fail</v>
      </c>
      <c r="AX288" t="str" cm="1">
        <f t="array" ref="AX288">IF(_xlfn.IFS(E288="australiacentral","Australia Central 1",E288="australiaeast","Australia East",E288="australiasoutheast","Australia SouthEast")=_xlfn.XLOOKUP($B288,VmSpecs[[#All],[VM Name]],VmSpecs[[#All],[Region]],"Failed",0,1),"Pass","Fail")</f>
        <v>Fail</v>
      </c>
      <c r="AY288" t="str" cm="1">
        <f t="array" ref="AY288">IF(F288=_xlfn.XLOOKUP($B288,VmSpecs[[#All],[VM Name]],VmSpecs[[#All],[Instance size]],"Failed",0,1),"Pass","Fail")</f>
        <v>Fail</v>
      </c>
      <c r="AZ288" t="str" cm="1">
        <f t="array" ref="AZ288">IF(LOWER(H288)=_xlfn.XLOOKUP($B288,VmSpecs[[#All],[VM Name]],VmSpecs[[#All],[Availability Set Name]],"Failed",0,1),"Pass","Fail")</f>
        <v>Fail</v>
      </c>
      <c r="BA288" t="str" cm="1">
        <f t="array" ref="BA288">IF(J288=_xlfn.XLOOKUP($B288,VmSpecs[[#All],[VM Name]],VmSpecs[[#All],[Virtual Network]],"Failed",0,1),"Pass","Fail")</f>
        <v>Fail</v>
      </c>
      <c r="BB288" t="str" cm="1">
        <f t="array" ref="BB288">IF(K288=_xlfn.XLOOKUP($B288,VmSpecs[[#All],[VM Name]],VmSpecs[[#All],[Subnet]],"Failed",0,1),"Pass","Fail")</f>
        <v>Fail</v>
      </c>
      <c r="BC288" t="str" cm="1">
        <f t="array" ref="BC288">IF(M288=_xlfn.XLOOKUP($B288,VmSpecs[[#All],[VM Name]],VmSpecs[[#All],[IP]],"Failed",0,1),"Pass","Fail")</f>
        <v>Fail</v>
      </c>
      <c r="BD288" t="str" cm="1">
        <f t="array" ref="BD288">IF(N288=_xlfn.XLOOKUP($B288,VmSpecs[[#All],[VM Name]],VmSpecs[[#All],[Network Security Group]],"Failed",0,1),"Pass","Fail")</f>
        <v>Fail</v>
      </c>
      <c r="BE288" t="str" cm="1">
        <f t="array" ref="BE288">IF(O288=_xlfn.XLOOKUP($B288,VmSpecs[[#All],[VM Name]],VmSpecs[[#All],[Route Table Name]],"Failed",0,1),"Pass","Fail")</f>
        <v>Fail</v>
      </c>
      <c r="BF288" t="str" cm="1">
        <f t="array" ref="BF288">IF(P288=_xlfn.XLOOKUP($B288,VmSpecs[[#All],[VM Name]],VmSpecs[[#All],[Operating System]],"Failed",0,1),"Pass","Fail")</f>
        <v>Fail</v>
      </c>
      <c r="BG288" t="str" cm="1">
        <f t="array" ref="BG288">IF(R288=_xlfn.XLOOKUP($B288,VmSpecs[[#All],[VM Name]],VmSpecs[[#All],[NIC name]],"Failed",0,1),"Pass","Fail")</f>
        <v>Fail</v>
      </c>
      <c r="BH288" t="str" cm="1">
        <f t="array" ref="BH288">IF(U288=_xlfn.XLOOKUP($B288,VmSpecs[[#All],[VM Name]],VmSpecs[[#All],[OS Disk Name]],"Failed",0,1),"Pass","Fail")</f>
        <v>Fail</v>
      </c>
      <c r="BI288" t="str" cm="1">
        <f t="array" ref="BI288">IF(W288=_xlfn.XLOOKUP($B288,VmSpecs[[#All],[VM Name]],VmSpecs[[#All],[OS Disk Size]],"Failed",0,1),"Pass","Fail")</f>
        <v>Fail</v>
      </c>
      <c r="BJ288" t="str" cm="1">
        <f t="array" ref="BJ288">IF(LEFT(X288,4)=LEFT(_xlfn.XLOOKUP($B288,VmSpecs[[#All],[VM Name]],VmSpecs[[#All],[OS Disk Type (Standard SSD etc)]],"Failed",0,1),4),"Pass","Fail")</f>
        <v>Fail</v>
      </c>
      <c r="BK288" t="str" cm="1">
        <f t="array" ref="BK288">IF(Z288=_xlfn.XLOOKUP($B288,VmSpecs[[#All],[VM Name]],VmSpecs[[#All],[Data Disk1 Name]],"Failed",0,1),"Pass","Fail")</f>
        <v>Fail</v>
      </c>
      <c r="BL288" t="str" cm="1">
        <f t="array" ref="BL288">IF(AA288=_xlfn.XLOOKUP($B288,VmSpecs[[#All],[VM Name]],VmSpecs[[#All],[Data Disk1 Size]],"Failed",0,1),"Pass","Fail")</f>
        <v>Fail</v>
      </c>
      <c r="BM288" t="str" cm="1">
        <f t="array" ref="BM288">IF(LEFT(AC288,4)=LEFT(_xlfn.XLOOKUP($B288,VmSpecs[[#All],[VM Name]],VmSpecs[[#All],[Data Disk1 Type]],"Failed",0,1),4),"Pass","Fail")</f>
        <v>Fail</v>
      </c>
      <c r="BO288" t="e">
        <f>VLOOKUP('VM Specs'!K288,'As Built'!B:B,1,FALSE)</f>
        <v>#N/A</v>
      </c>
      <c r="BP288" t="str">
        <f>IF(ISNA(Table613[[#This Row],[VM Build Sheet Check]]),'VM Specs'!K288,"")</f>
        <v>vmpfbpf2xho03</v>
      </c>
    </row>
    <row r="289" spans="1:68" ht="33" customHeight="1" x14ac:dyDescent="0.35">
      <c r="A289" t="str">
        <f>IF(COUNTIF(AsBuilt[[#This Row],[VM Check]:[Data Disk 1 Type Check]],"Fail")&gt;0,"Fail","Pass")</f>
        <v>Fail</v>
      </c>
      <c r="B289" t="s">
        <v>2769</v>
      </c>
      <c r="C289" t="s">
        <v>754</v>
      </c>
      <c r="D289" t="s">
        <v>2100</v>
      </c>
      <c r="E289" t="s">
        <v>756</v>
      </c>
      <c r="F289" t="s">
        <v>757</v>
      </c>
      <c r="G289" t="s">
        <v>758</v>
      </c>
      <c r="H289" t="s">
        <v>2750</v>
      </c>
      <c r="J289" t="s">
        <v>760</v>
      </c>
      <c r="K289" t="s">
        <v>2102</v>
      </c>
      <c r="L289" t="s">
        <v>754</v>
      </c>
      <c r="M289" t="s">
        <v>2770</v>
      </c>
      <c r="N289" t="s">
        <v>2104</v>
      </c>
      <c r="O289" t="s">
        <v>2105</v>
      </c>
      <c r="P289" t="s">
        <v>63</v>
      </c>
      <c r="R289" t="s">
        <v>2771</v>
      </c>
      <c r="S289" t="s">
        <v>754</v>
      </c>
      <c r="U289" t="s">
        <v>2772</v>
      </c>
      <c r="V289" t="s">
        <v>767</v>
      </c>
      <c r="W289">
        <v>64</v>
      </c>
      <c r="X289" t="s">
        <v>768</v>
      </c>
      <c r="Y289">
        <v>2</v>
      </c>
      <c r="Z289" t="s">
        <v>2773</v>
      </c>
      <c r="AA289">
        <v>8</v>
      </c>
      <c r="AB289" t="s">
        <v>770</v>
      </c>
      <c r="AC289" t="s">
        <v>768</v>
      </c>
      <c r="AD289" t="s">
        <v>2774</v>
      </c>
      <c r="AE289">
        <v>32</v>
      </c>
      <c r="AF289" t="s">
        <v>770</v>
      </c>
      <c r="AG289" t="s">
        <v>768</v>
      </c>
      <c r="AT289" t="s">
        <v>772</v>
      </c>
      <c r="AU289" t="s">
        <v>2756</v>
      </c>
      <c r="AV289" t="str" cm="1">
        <f t="array" ref="AV289">IF(B289=_xlfn.XLOOKUP(B289,VmSpecs[[#All],[VM Name]],VmSpecs[[#All],[VM Name]],"Failed",0,1),"Pass","Fail")</f>
        <v>Fail</v>
      </c>
      <c r="AW289" t="str" cm="1">
        <f t="array" ref="AW289">IF(D289=_xlfn.XLOOKUP($B289,VmSpecs[[#All],[VM Name]],VmSpecs[[#All],[Virtual Machine Resource Groups]],"Failed",0,1),"Pass","Fail")</f>
        <v>Fail</v>
      </c>
      <c r="AX289" t="str" cm="1">
        <f t="array" ref="AX289">IF(_xlfn.IFS(E289="australiacentral","Australia Central 1",E289="australiaeast","Australia East",E289="australiasoutheast","Australia SouthEast")=_xlfn.XLOOKUP($B289,VmSpecs[[#All],[VM Name]],VmSpecs[[#All],[Region]],"Failed",0,1),"Pass","Fail")</f>
        <v>Fail</v>
      </c>
      <c r="AY289" t="str" cm="1">
        <f t="array" ref="AY289">IF(F289=_xlfn.XLOOKUP($B289,VmSpecs[[#All],[VM Name]],VmSpecs[[#All],[Instance size]],"Failed",0,1),"Pass","Fail")</f>
        <v>Fail</v>
      </c>
      <c r="AZ289" t="str" cm="1">
        <f t="array" ref="AZ289">IF(LOWER(H289)=_xlfn.XLOOKUP($B289,VmSpecs[[#All],[VM Name]],VmSpecs[[#All],[Availability Set Name]],"Failed",0,1),"Pass","Fail")</f>
        <v>Fail</v>
      </c>
      <c r="BA289" t="str" cm="1">
        <f t="array" ref="BA289">IF(J289=_xlfn.XLOOKUP($B289,VmSpecs[[#All],[VM Name]],VmSpecs[[#All],[Virtual Network]],"Failed",0,1),"Pass","Fail")</f>
        <v>Fail</v>
      </c>
      <c r="BB289" t="str" cm="1">
        <f t="array" ref="BB289">IF(K289=_xlfn.XLOOKUP($B289,VmSpecs[[#All],[VM Name]],VmSpecs[[#All],[Subnet]],"Failed",0,1),"Pass","Fail")</f>
        <v>Fail</v>
      </c>
      <c r="BC289" t="str" cm="1">
        <f t="array" ref="BC289">IF(M289=_xlfn.XLOOKUP($B289,VmSpecs[[#All],[VM Name]],VmSpecs[[#All],[IP]],"Failed",0,1),"Pass","Fail")</f>
        <v>Fail</v>
      </c>
      <c r="BD289" t="str" cm="1">
        <f t="array" ref="BD289">IF(N289=_xlfn.XLOOKUP($B289,VmSpecs[[#All],[VM Name]],VmSpecs[[#All],[Network Security Group]],"Failed",0,1),"Pass","Fail")</f>
        <v>Fail</v>
      </c>
      <c r="BE289" t="str" cm="1">
        <f t="array" ref="BE289">IF(O289=_xlfn.XLOOKUP($B289,VmSpecs[[#All],[VM Name]],VmSpecs[[#All],[Route Table Name]],"Failed",0,1),"Pass","Fail")</f>
        <v>Fail</v>
      </c>
      <c r="BF289" t="str" cm="1">
        <f t="array" ref="BF289">IF(P289=_xlfn.XLOOKUP($B289,VmSpecs[[#All],[VM Name]],VmSpecs[[#All],[Operating System]],"Failed",0,1),"Pass","Fail")</f>
        <v>Fail</v>
      </c>
      <c r="BG289" t="str" cm="1">
        <f t="array" ref="BG289">IF(R289=_xlfn.XLOOKUP($B289,VmSpecs[[#All],[VM Name]],VmSpecs[[#All],[NIC name]],"Failed",0,1),"Pass","Fail")</f>
        <v>Fail</v>
      </c>
      <c r="BH289" t="str" cm="1">
        <f t="array" ref="BH289">IF(U289=_xlfn.XLOOKUP($B289,VmSpecs[[#All],[VM Name]],VmSpecs[[#All],[OS Disk Name]],"Failed",0,1),"Pass","Fail")</f>
        <v>Fail</v>
      </c>
      <c r="BI289" t="str" cm="1">
        <f t="array" ref="BI289">IF(W289=_xlfn.XLOOKUP($B289,VmSpecs[[#All],[VM Name]],VmSpecs[[#All],[OS Disk Size]],"Failed",0,1),"Pass","Fail")</f>
        <v>Fail</v>
      </c>
      <c r="BJ289" t="str" cm="1">
        <f t="array" ref="BJ289">IF(LEFT(X289,4)=LEFT(_xlfn.XLOOKUP($B289,VmSpecs[[#All],[VM Name]],VmSpecs[[#All],[OS Disk Type (Standard SSD etc)]],"Failed",0,1),4),"Pass","Fail")</f>
        <v>Fail</v>
      </c>
      <c r="BK289" t="str" cm="1">
        <f t="array" ref="BK289">IF(Z289=_xlfn.XLOOKUP($B289,VmSpecs[[#All],[VM Name]],VmSpecs[[#All],[Data Disk1 Name]],"Failed",0,1),"Pass","Fail")</f>
        <v>Fail</v>
      </c>
      <c r="BL289" t="str" cm="1">
        <f t="array" ref="BL289">IF(AA289=_xlfn.XLOOKUP($B289,VmSpecs[[#All],[VM Name]],VmSpecs[[#All],[Data Disk1 Size]],"Failed",0,1),"Pass","Fail")</f>
        <v>Fail</v>
      </c>
      <c r="BM289" t="str" cm="1">
        <f t="array" ref="BM289">IF(LEFT(AC289,4)=LEFT(_xlfn.XLOOKUP($B289,VmSpecs[[#All],[VM Name]],VmSpecs[[#All],[Data Disk1 Type]],"Failed",0,1),4),"Pass","Fail")</f>
        <v>Fail</v>
      </c>
      <c r="BO289" t="e">
        <f>VLOOKUP('VM Specs'!K289,'As Built'!B:B,1,FALSE)</f>
        <v>#N/A</v>
      </c>
      <c r="BP289" t="str">
        <f>IF(ISNA(Table613[[#This Row],[VM Build Sheet Check]]),'VM Specs'!K289,"")</f>
        <v>vmpfbpf2xho04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CA89-C29A-493B-9FC8-ED5459D77970}">
  <sheetPr codeName="Sheet3"/>
  <dimension ref="A1:J355"/>
  <sheetViews>
    <sheetView topLeftCell="I1" workbookViewId="0">
      <selection activeCell="O16" sqref="O16"/>
    </sheetView>
  </sheetViews>
  <sheetFormatPr defaultRowHeight="14.5" x14ac:dyDescent="0.35"/>
  <cols>
    <col min="1" max="1" width="17.26953125" bestFit="1" customWidth="1"/>
    <col min="2" max="2" width="13.7265625" bestFit="1" customWidth="1"/>
    <col min="3" max="3" width="13.7265625" customWidth="1"/>
    <col min="4" max="4" width="8.54296875" bestFit="1" customWidth="1"/>
    <col min="9" max="9" width="24.453125" bestFit="1" customWidth="1"/>
    <col min="10" max="10" width="26.26953125" bestFit="1" customWidth="1"/>
  </cols>
  <sheetData>
    <row r="1" spans="1:10" x14ac:dyDescent="0.35">
      <c r="A1" t="s">
        <v>26</v>
      </c>
      <c r="B1" t="s">
        <v>2775</v>
      </c>
      <c r="C1" t="s">
        <v>2776</v>
      </c>
      <c r="D1" t="s">
        <v>2777</v>
      </c>
      <c r="I1" t="s">
        <v>2778</v>
      </c>
      <c r="J1" t="s">
        <v>2779</v>
      </c>
    </row>
    <row r="2" spans="1:10" x14ac:dyDescent="0.35">
      <c r="A2" t="s">
        <v>757</v>
      </c>
      <c r="B2">
        <f>VLOOKUP(Table610[[#This Row],[Instance size]],I:J,2,FALSE)*Table610[[#This Row],[Count]]</f>
        <v>388</v>
      </c>
      <c r="C2">
        <f>32*Table610[[#This Row],[Count]]</f>
        <v>3104</v>
      </c>
      <c r="D2">
        <f>COUNTIF('VM Specs'!W:W,Table610[[#This Row],[Instance size]])</f>
        <v>97</v>
      </c>
      <c r="I2" t="s">
        <v>2780</v>
      </c>
      <c r="J2">
        <v>208</v>
      </c>
    </row>
    <row r="3" spans="1:10" x14ac:dyDescent="0.35">
      <c r="A3" t="s">
        <v>801</v>
      </c>
      <c r="B3">
        <f>VLOOKUP(Table610[[#This Row],[Instance size]],I:J,2,FALSE)*Table610[[#This Row],[Count]]</f>
        <v>1368</v>
      </c>
      <c r="C3">
        <f>64*Table610[[#This Row],[Count]]</f>
        <v>10944</v>
      </c>
      <c r="D3">
        <f>COUNTIF('VM Specs'!W:W,Table610[[#This Row],[Instance size]])</f>
        <v>171</v>
      </c>
      <c r="I3" t="s">
        <v>2781</v>
      </c>
      <c r="J3">
        <v>208</v>
      </c>
    </row>
    <row r="4" spans="1:10" x14ac:dyDescent="0.35">
      <c r="A4" t="s">
        <v>1067</v>
      </c>
      <c r="B4">
        <f>VLOOKUP(Table610[[#This Row],[Instance size]],I:J,2,FALSE)*Table610[[#This Row],[Count]]</f>
        <v>40</v>
      </c>
      <c r="C4">
        <f>8*Table610[[#This Row],[Count]]</f>
        <v>160</v>
      </c>
      <c r="D4">
        <f>COUNTIF('VM Specs'!W:W,Table610[[#This Row],[Instance size]])</f>
        <v>20</v>
      </c>
      <c r="I4" t="s">
        <v>2782</v>
      </c>
      <c r="J4">
        <v>416</v>
      </c>
    </row>
    <row r="5" spans="1:10" x14ac:dyDescent="0.35">
      <c r="A5" t="s">
        <v>2783</v>
      </c>
      <c r="B5">
        <f>SUM(B2:B4)</f>
        <v>1796</v>
      </c>
      <c r="C5">
        <f>64*Table610[[#This Row],[Count]]</f>
        <v>18432</v>
      </c>
      <c r="D5">
        <f>SUM(D2:D4)</f>
        <v>288</v>
      </c>
      <c r="I5" t="s">
        <v>2784</v>
      </c>
      <c r="J5">
        <v>416</v>
      </c>
    </row>
    <row r="6" spans="1:10" x14ac:dyDescent="0.35">
      <c r="I6" t="s">
        <v>2785</v>
      </c>
      <c r="J6">
        <v>416</v>
      </c>
    </row>
    <row r="7" spans="1:10" x14ac:dyDescent="0.35">
      <c r="I7" t="s">
        <v>2786</v>
      </c>
      <c r="J7">
        <v>416</v>
      </c>
    </row>
    <row r="8" spans="1:10" x14ac:dyDescent="0.35">
      <c r="I8" t="s">
        <v>2787</v>
      </c>
      <c r="J8">
        <v>1</v>
      </c>
    </row>
    <row r="9" spans="1:10" x14ac:dyDescent="0.35">
      <c r="I9" t="s">
        <v>2788</v>
      </c>
      <c r="J9">
        <v>1</v>
      </c>
    </row>
    <row r="10" spans="1:10" x14ac:dyDescent="0.35">
      <c r="I10" t="s">
        <v>2789</v>
      </c>
      <c r="J10">
        <v>2</v>
      </c>
    </row>
    <row r="11" spans="1:10" x14ac:dyDescent="0.35">
      <c r="I11" t="s">
        <v>2790</v>
      </c>
      <c r="J11">
        <v>4</v>
      </c>
    </row>
    <row r="12" spans="1:10" x14ac:dyDescent="0.35">
      <c r="I12" t="s">
        <v>2791</v>
      </c>
      <c r="J12">
        <v>2</v>
      </c>
    </row>
    <row r="13" spans="1:10" x14ac:dyDescent="0.35">
      <c r="I13" t="s">
        <v>2792</v>
      </c>
      <c r="J13">
        <v>8</v>
      </c>
    </row>
    <row r="14" spans="1:10" x14ac:dyDescent="0.35">
      <c r="I14" t="s">
        <v>2793</v>
      </c>
      <c r="J14">
        <v>4</v>
      </c>
    </row>
    <row r="15" spans="1:10" x14ac:dyDescent="0.35">
      <c r="I15" t="s">
        <v>2794</v>
      </c>
      <c r="J15">
        <v>8</v>
      </c>
    </row>
    <row r="16" spans="1:10" x14ac:dyDescent="0.35">
      <c r="I16" t="s">
        <v>2795</v>
      </c>
      <c r="J16">
        <v>1</v>
      </c>
    </row>
    <row r="17" spans="9:10" x14ac:dyDescent="0.35">
      <c r="I17" t="s">
        <v>2796</v>
      </c>
      <c r="J17">
        <v>1</v>
      </c>
    </row>
    <row r="18" spans="9:10" x14ac:dyDescent="0.35">
      <c r="I18" t="s">
        <v>2797</v>
      </c>
      <c r="J18">
        <v>2</v>
      </c>
    </row>
    <row r="19" spans="9:10" x14ac:dyDescent="0.35">
      <c r="I19" t="s">
        <v>2798</v>
      </c>
      <c r="J19">
        <v>4</v>
      </c>
    </row>
    <row r="20" spans="9:10" x14ac:dyDescent="0.35">
      <c r="I20" t="s">
        <v>2799</v>
      </c>
      <c r="J20">
        <v>8</v>
      </c>
    </row>
    <row r="21" spans="9:10" x14ac:dyDescent="0.35">
      <c r="I21" t="s">
        <v>2800</v>
      </c>
      <c r="J21">
        <v>1</v>
      </c>
    </row>
    <row r="22" spans="9:10" x14ac:dyDescent="0.35">
      <c r="I22" t="s">
        <v>2801</v>
      </c>
      <c r="J22">
        <v>2</v>
      </c>
    </row>
    <row r="23" spans="9:10" x14ac:dyDescent="0.35">
      <c r="I23" t="s">
        <v>2802</v>
      </c>
      <c r="J23">
        <v>4</v>
      </c>
    </row>
    <row r="24" spans="9:10" x14ac:dyDescent="0.35">
      <c r="I24" t="s">
        <v>2803</v>
      </c>
      <c r="J24">
        <v>8</v>
      </c>
    </row>
    <row r="25" spans="9:10" x14ac:dyDescent="0.35">
      <c r="I25" t="s">
        <v>2804</v>
      </c>
      <c r="J25">
        <v>16</v>
      </c>
    </row>
    <row r="26" spans="9:10" x14ac:dyDescent="0.35">
      <c r="I26" t="s">
        <v>2805</v>
      </c>
      <c r="J26">
        <v>2</v>
      </c>
    </row>
    <row r="27" spans="9:10" x14ac:dyDescent="0.35">
      <c r="I27" t="s">
        <v>2806</v>
      </c>
      <c r="J27">
        <v>4</v>
      </c>
    </row>
    <row r="28" spans="9:10" x14ac:dyDescent="0.35">
      <c r="I28" t="s">
        <v>2807</v>
      </c>
      <c r="J28">
        <v>8</v>
      </c>
    </row>
    <row r="29" spans="9:10" x14ac:dyDescent="0.35">
      <c r="I29" t="s">
        <v>2808</v>
      </c>
      <c r="J29">
        <v>16</v>
      </c>
    </row>
    <row r="30" spans="9:10" x14ac:dyDescent="0.35">
      <c r="I30" t="s">
        <v>2809</v>
      </c>
      <c r="J30">
        <v>20</v>
      </c>
    </row>
    <row r="31" spans="9:10" x14ac:dyDescent="0.35">
      <c r="I31" t="s">
        <v>2810</v>
      </c>
      <c r="J31">
        <v>2</v>
      </c>
    </row>
    <row r="32" spans="9:10" x14ac:dyDescent="0.35">
      <c r="I32" t="s">
        <v>2811</v>
      </c>
      <c r="J32">
        <v>4</v>
      </c>
    </row>
    <row r="33" spans="9:10" x14ac:dyDescent="0.35">
      <c r="I33" t="s">
        <v>2812</v>
      </c>
      <c r="J33">
        <v>8</v>
      </c>
    </row>
    <row r="34" spans="9:10" x14ac:dyDescent="0.35">
      <c r="I34" t="s">
        <v>2813</v>
      </c>
      <c r="J34">
        <v>16</v>
      </c>
    </row>
    <row r="35" spans="9:10" x14ac:dyDescent="0.35">
      <c r="I35" t="s">
        <v>2814</v>
      </c>
      <c r="J35">
        <v>2</v>
      </c>
    </row>
    <row r="36" spans="9:10" x14ac:dyDescent="0.35">
      <c r="I36" t="s">
        <v>2815</v>
      </c>
      <c r="J36">
        <v>4</v>
      </c>
    </row>
    <row r="37" spans="9:10" x14ac:dyDescent="0.35">
      <c r="I37" t="s">
        <v>2816</v>
      </c>
      <c r="J37">
        <v>8</v>
      </c>
    </row>
    <row r="38" spans="9:10" x14ac:dyDescent="0.35">
      <c r="I38" t="s">
        <v>2817</v>
      </c>
      <c r="J38">
        <v>16</v>
      </c>
    </row>
    <row r="39" spans="9:10" x14ac:dyDescent="0.35">
      <c r="I39" t="s">
        <v>2818</v>
      </c>
      <c r="J39">
        <v>1</v>
      </c>
    </row>
    <row r="40" spans="9:10" x14ac:dyDescent="0.35">
      <c r="I40" t="s">
        <v>2819</v>
      </c>
      <c r="J40">
        <v>2</v>
      </c>
    </row>
    <row r="41" spans="9:10" x14ac:dyDescent="0.35">
      <c r="I41" t="s">
        <v>2820</v>
      </c>
      <c r="J41">
        <v>4</v>
      </c>
    </row>
    <row r="42" spans="9:10" x14ac:dyDescent="0.35">
      <c r="I42" t="s">
        <v>2821</v>
      </c>
      <c r="J42">
        <v>8</v>
      </c>
    </row>
    <row r="43" spans="9:10" x14ac:dyDescent="0.35">
      <c r="I43" t="s">
        <v>2822</v>
      </c>
      <c r="J43">
        <v>16</v>
      </c>
    </row>
    <row r="44" spans="9:10" x14ac:dyDescent="0.35">
      <c r="I44" t="s">
        <v>2823</v>
      </c>
      <c r="J44">
        <v>1</v>
      </c>
    </row>
    <row r="45" spans="9:10" x14ac:dyDescent="0.35">
      <c r="I45" t="s">
        <v>2824</v>
      </c>
      <c r="J45">
        <v>2</v>
      </c>
    </row>
    <row r="46" spans="9:10" x14ac:dyDescent="0.35">
      <c r="I46" t="s">
        <v>2825</v>
      </c>
      <c r="J46">
        <v>2</v>
      </c>
    </row>
    <row r="47" spans="9:10" x14ac:dyDescent="0.35">
      <c r="I47" t="s">
        <v>2826</v>
      </c>
      <c r="J47">
        <v>4</v>
      </c>
    </row>
    <row r="48" spans="9:10" x14ac:dyDescent="0.35">
      <c r="I48" t="s">
        <v>2827</v>
      </c>
      <c r="J48">
        <v>4</v>
      </c>
    </row>
    <row r="49" spans="9:10" x14ac:dyDescent="0.35">
      <c r="I49" t="s">
        <v>2828</v>
      </c>
      <c r="J49">
        <v>8</v>
      </c>
    </row>
    <row r="50" spans="9:10" x14ac:dyDescent="0.35">
      <c r="I50" t="s">
        <v>2829</v>
      </c>
      <c r="J50">
        <v>8</v>
      </c>
    </row>
    <row r="51" spans="9:10" x14ac:dyDescent="0.35">
      <c r="I51" t="s">
        <v>2830</v>
      </c>
      <c r="J51">
        <v>1</v>
      </c>
    </row>
    <row r="52" spans="9:10" x14ac:dyDescent="0.35">
      <c r="I52" t="s">
        <v>2831</v>
      </c>
      <c r="J52">
        <v>1</v>
      </c>
    </row>
    <row r="53" spans="9:10" x14ac:dyDescent="0.35">
      <c r="I53" t="s">
        <v>2832</v>
      </c>
      <c r="J53">
        <v>1</v>
      </c>
    </row>
    <row r="54" spans="9:10" x14ac:dyDescent="0.35">
      <c r="I54" t="s">
        <v>2833</v>
      </c>
      <c r="J54">
        <v>2</v>
      </c>
    </row>
    <row r="55" spans="9:10" x14ac:dyDescent="0.35">
      <c r="I55" t="s">
        <v>2834</v>
      </c>
      <c r="J55">
        <v>2</v>
      </c>
    </row>
    <row r="56" spans="9:10" x14ac:dyDescent="0.35">
      <c r="I56" t="s">
        <v>2835</v>
      </c>
      <c r="J56">
        <v>4</v>
      </c>
    </row>
    <row r="57" spans="9:10" x14ac:dyDescent="0.35">
      <c r="I57" t="s">
        <v>2836</v>
      </c>
      <c r="J57">
        <v>8</v>
      </c>
    </row>
    <row r="58" spans="9:10" x14ac:dyDescent="0.35">
      <c r="I58" t="s">
        <v>2837</v>
      </c>
      <c r="J58">
        <v>12</v>
      </c>
    </row>
    <row r="59" spans="9:10" x14ac:dyDescent="0.35">
      <c r="I59" t="s">
        <v>2838</v>
      </c>
      <c r="J59">
        <v>16</v>
      </c>
    </row>
    <row r="60" spans="9:10" x14ac:dyDescent="0.35">
      <c r="I60" t="s">
        <v>2839</v>
      </c>
      <c r="J60">
        <v>20</v>
      </c>
    </row>
    <row r="61" spans="9:10" x14ac:dyDescent="0.35">
      <c r="I61" t="s">
        <v>2840</v>
      </c>
      <c r="J61">
        <v>1</v>
      </c>
    </row>
    <row r="62" spans="9:10" x14ac:dyDescent="0.35">
      <c r="I62" t="s">
        <v>2841</v>
      </c>
      <c r="J62">
        <v>2</v>
      </c>
    </row>
    <row r="63" spans="9:10" x14ac:dyDescent="0.35">
      <c r="I63" t="s">
        <v>2842</v>
      </c>
      <c r="J63">
        <v>4</v>
      </c>
    </row>
    <row r="64" spans="9:10" x14ac:dyDescent="0.35">
      <c r="I64" t="s">
        <v>2843</v>
      </c>
      <c r="J64">
        <v>8</v>
      </c>
    </row>
    <row r="65" spans="9:10" x14ac:dyDescent="0.35">
      <c r="I65" t="s">
        <v>2844</v>
      </c>
      <c r="J65">
        <v>16</v>
      </c>
    </row>
    <row r="66" spans="9:10" x14ac:dyDescent="0.35">
      <c r="I66" t="s">
        <v>2845</v>
      </c>
      <c r="J66">
        <v>2</v>
      </c>
    </row>
    <row r="67" spans="9:10" x14ac:dyDescent="0.35">
      <c r="I67" t="s">
        <v>2846</v>
      </c>
      <c r="J67">
        <v>2</v>
      </c>
    </row>
    <row r="68" spans="9:10" x14ac:dyDescent="0.35">
      <c r="I68" t="s">
        <v>2847</v>
      </c>
      <c r="J68">
        <v>4</v>
      </c>
    </row>
    <row r="69" spans="9:10" x14ac:dyDescent="0.35">
      <c r="I69" t="s">
        <v>2848</v>
      </c>
      <c r="J69">
        <v>4</v>
      </c>
    </row>
    <row r="70" spans="9:10" x14ac:dyDescent="0.35">
      <c r="I70" t="s">
        <v>2849</v>
      </c>
      <c r="J70">
        <v>4</v>
      </c>
    </row>
    <row r="71" spans="9:10" x14ac:dyDescent="0.35">
      <c r="I71" t="s">
        <v>2850</v>
      </c>
      <c r="J71">
        <v>8</v>
      </c>
    </row>
    <row r="72" spans="9:10" x14ac:dyDescent="0.35">
      <c r="I72" t="s">
        <v>2851</v>
      </c>
      <c r="J72">
        <v>8</v>
      </c>
    </row>
    <row r="73" spans="9:10" x14ac:dyDescent="0.35">
      <c r="I73" t="s">
        <v>2852</v>
      </c>
      <c r="J73">
        <v>8</v>
      </c>
    </row>
    <row r="74" spans="9:10" x14ac:dyDescent="0.35">
      <c r="I74" t="s">
        <v>2853</v>
      </c>
      <c r="J74">
        <v>16</v>
      </c>
    </row>
    <row r="75" spans="9:10" x14ac:dyDescent="0.35">
      <c r="I75" t="s">
        <v>2854</v>
      </c>
      <c r="J75">
        <v>16</v>
      </c>
    </row>
    <row r="76" spans="9:10" x14ac:dyDescent="0.35">
      <c r="I76" t="s">
        <v>2855</v>
      </c>
      <c r="J76">
        <v>16</v>
      </c>
    </row>
    <row r="77" spans="9:10" x14ac:dyDescent="0.35">
      <c r="I77" t="s">
        <v>2856</v>
      </c>
      <c r="J77">
        <v>20</v>
      </c>
    </row>
    <row r="78" spans="9:10" x14ac:dyDescent="0.35">
      <c r="I78" t="s">
        <v>2857</v>
      </c>
      <c r="J78">
        <v>2</v>
      </c>
    </row>
    <row r="79" spans="9:10" x14ac:dyDescent="0.35">
      <c r="I79" t="s">
        <v>2858</v>
      </c>
      <c r="J79">
        <v>4</v>
      </c>
    </row>
    <row r="80" spans="9:10" x14ac:dyDescent="0.35">
      <c r="I80" t="s">
        <v>2859</v>
      </c>
      <c r="J80">
        <v>8</v>
      </c>
    </row>
    <row r="81" spans="9:10" x14ac:dyDescent="0.35">
      <c r="I81" t="s">
        <v>2860</v>
      </c>
      <c r="J81">
        <v>16</v>
      </c>
    </row>
    <row r="82" spans="9:10" x14ac:dyDescent="0.35">
      <c r="I82" t="s">
        <v>2861</v>
      </c>
      <c r="J82">
        <v>2</v>
      </c>
    </row>
    <row r="83" spans="9:10" x14ac:dyDescent="0.35">
      <c r="I83" t="s">
        <v>2862</v>
      </c>
      <c r="J83">
        <v>4</v>
      </c>
    </row>
    <row r="84" spans="9:10" x14ac:dyDescent="0.35">
      <c r="I84" t="s">
        <v>2863</v>
      </c>
      <c r="J84">
        <v>8</v>
      </c>
    </row>
    <row r="85" spans="9:10" x14ac:dyDescent="0.35">
      <c r="I85" t="s">
        <v>2864</v>
      </c>
      <c r="J85">
        <v>16</v>
      </c>
    </row>
    <row r="86" spans="9:10" x14ac:dyDescent="0.35">
      <c r="I86" t="s">
        <v>2865</v>
      </c>
      <c r="J86">
        <v>1</v>
      </c>
    </row>
    <row r="87" spans="9:10" x14ac:dyDescent="0.35">
      <c r="I87" t="s">
        <v>2866</v>
      </c>
      <c r="J87">
        <v>2</v>
      </c>
    </row>
    <row r="88" spans="9:10" x14ac:dyDescent="0.35">
      <c r="I88" t="s">
        <v>2867</v>
      </c>
      <c r="J88">
        <v>4</v>
      </c>
    </row>
    <row r="89" spans="9:10" x14ac:dyDescent="0.35">
      <c r="I89" t="s">
        <v>2868</v>
      </c>
      <c r="J89">
        <v>8</v>
      </c>
    </row>
    <row r="90" spans="9:10" x14ac:dyDescent="0.35">
      <c r="I90" t="s">
        <v>2869</v>
      </c>
      <c r="J90">
        <v>16</v>
      </c>
    </row>
    <row r="91" spans="9:10" x14ac:dyDescent="0.35">
      <c r="I91" t="s">
        <v>2870</v>
      </c>
      <c r="J91">
        <v>2</v>
      </c>
    </row>
    <row r="92" spans="9:10" x14ac:dyDescent="0.35">
      <c r="I92" t="s">
        <v>2871</v>
      </c>
      <c r="J92">
        <v>4</v>
      </c>
    </row>
    <row r="93" spans="9:10" x14ac:dyDescent="0.35">
      <c r="I93" t="s">
        <v>2872</v>
      </c>
      <c r="J93">
        <v>8</v>
      </c>
    </row>
    <row r="94" spans="9:10" x14ac:dyDescent="0.35">
      <c r="I94" t="s">
        <v>2873</v>
      </c>
      <c r="J94">
        <v>16</v>
      </c>
    </row>
    <row r="95" spans="9:10" x14ac:dyDescent="0.35">
      <c r="I95" t="s">
        <v>2874</v>
      </c>
      <c r="J95">
        <v>32</v>
      </c>
    </row>
    <row r="96" spans="9:10" x14ac:dyDescent="0.35">
      <c r="I96" t="s">
        <v>2875</v>
      </c>
      <c r="J96">
        <v>48</v>
      </c>
    </row>
    <row r="97" spans="9:10" x14ac:dyDescent="0.35">
      <c r="I97" t="s">
        <v>2876</v>
      </c>
      <c r="J97">
        <v>64</v>
      </c>
    </row>
    <row r="98" spans="9:10" x14ac:dyDescent="0.35">
      <c r="I98" t="s">
        <v>2877</v>
      </c>
      <c r="J98">
        <v>2</v>
      </c>
    </row>
    <row r="99" spans="9:10" x14ac:dyDescent="0.35">
      <c r="I99" t="s">
        <v>2878</v>
      </c>
      <c r="J99">
        <v>4</v>
      </c>
    </row>
    <row r="100" spans="9:10" x14ac:dyDescent="0.35">
      <c r="I100" t="s">
        <v>2879</v>
      </c>
      <c r="J100">
        <v>8</v>
      </c>
    </row>
    <row r="101" spans="9:10" x14ac:dyDescent="0.35">
      <c r="I101" t="s">
        <v>2880</v>
      </c>
      <c r="J101">
        <v>16</v>
      </c>
    </row>
    <row r="102" spans="9:10" x14ac:dyDescent="0.35">
      <c r="I102" t="s">
        <v>2881</v>
      </c>
      <c r="J102">
        <v>32</v>
      </c>
    </row>
    <row r="103" spans="9:10" x14ac:dyDescent="0.35">
      <c r="I103" t="s">
        <v>2882</v>
      </c>
      <c r="J103">
        <v>48</v>
      </c>
    </row>
    <row r="104" spans="9:10" x14ac:dyDescent="0.35">
      <c r="I104" t="s">
        <v>2883</v>
      </c>
      <c r="J104">
        <v>64</v>
      </c>
    </row>
    <row r="105" spans="9:10" x14ac:dyDescent="0.35">
      <c r="I105" t="s">
        <v>2884</v>
      </c>
      <c r="J105">
        <v>2</v>
      </c>
    </row>
    <row r="106" spans="9:10" x14ac:dyDescent="0.35">
      <c r="I106" t="s">
        <v>2885</v>
      </c>
      <c r="J106">
        <v>4</v>
      </c>
    </row>
    <row r="107" spans="9:10" x14ac:dyDescent="0.35">
      <c r="I107" t="s">
        <v>2886</v>
      </c>
      <c r="J107">
        <v>8</v>
      </c>
    </row>
    <row r="108" spans="9:10" x14ac:dyDescent="0.35">
      <c r="I108" t="s">
        <v>2887</v>
      </c>
      <c r="J108">
        <v>16</v>
      </c>
    </row>
    <row r="109" spans="9:10" x14ac:dyDescent="0.35">
      <c r="I109" t="s">
        <v>2888</v>
      </c>
      <c r="J109">
        <v>20</v>
      </c>
    </row>
    <row r="110" spans="9:10" x14ac:dyDescent="0.35">
      <c r="I110" t="s">
        <v>2889</v>
      </c>
      <c r="J110">
        <v>32</v>
      </c>
    </row>
    <row r="111" spans="9:10" x14ac:dyDescent="0.35">
      <c r="I111" t="s">
        <v>2890</v>
      </c>
      <c r="J111">
        <v>48</v>
      </c>
    </row>
    <row r="112" spans="9:10" x14ac:dyDescent="0.35">
      <c r="I112" t="s">
        <v>2891</v>
      </c>
      <c r="J112">
        <v>64</v>
      </c>
    </row>
    <row r="113" spans="9:10" x14ac:dyDescent="0.35">
      <c r="I113" t="s">
        <v>2892</v>
      </c>
      <c r="J113">
        <v>2</v>
      </c>
    </row>
    <row r="114" spans="9:10" x14ac:dyDescent="0.35">
      <c r="I114" t="s">
        <v>2893</v>
      </c>
      <c r="J114">
        <v>4</v>
      </c>
    </row>
    <row r="115" spans="9:10" x14ac:dyDescent="0.35">
      <c r="I115" t="s">
        <v>2894</v>
      </c>
      <c r="J115">
        <v>4</v>
      </c>
    </row>
    <row r="116" spans="9:10" x14ac:dyDescent="0.35">
      <c r="I116" t="s">
        <v>2895</v>
      </c>
      <c r="J116">
        <v>8</v>
      </c>
    </row>
    <row r="117" spans="9:10" x14ac:dyDescent="0.35">
      <c r="I117" t="s">
        <v>2896</v>
      </c>
      <c r="J117">
        <v>8</v>
      </c>
    </row>
    <row r="118" spans="9:10" x14ac:dyDescent="0.35">
      <c r="I118" t="s">
        <v>2897</v>
      </c>
      <c r="J118">
        <v>8</v>
      </c>
    </row>
    <row r="119" spans="9:10" x14ac:dyDescent="0.35">
      <c r="I119" t="s">
        <v>2898</v>
      </c>
      <c r="J119">
        <v>16</v>
      </c>
    </row>
    <row r="120" spans="9:10" x14ac:dyDescent="0.35">
      <c r="I120" t="s">
        <v>2899</v>
      </c>
      <c r="J120">
        <v>16</v>
      </c>
    </row>
    <row r="121" spans="9:10" x14ac:dyDescent="0.35">
      <c r="I121" t="s">
        <v>2900</v>
      </c>
      <c r="J121">
        <v>16</v>
      </c>
    </row>
    <row r="122" spans="9:10" x14ac:dyDescent="0.35">
      <c r="I122" t="s">
        <v>2901</v>
      </c>
      <c r="J122">
        <v>20</v>
      </c>
    </row>
    <row r="123" spans="9:10" x14ac:dyDescent="0.35">
      <c r="I123" t="s">
        <v>2902</v>
      </c>
      <c r="J123">
        <v>32</v>
      </c>
    </row>
    <row r="124" spans="9:10" x14ac:dyDescent="0.35">
      <c r="I124" t="s">
        <v>2903</v>
      </c>
      <c r="J124">
        <v>32</v>
      </c>
    </row>
    <row r="125" spans="9:10" x14ac:dyDescent="0.35">
      <c r="I125" t="s">
        <v>2904</v>
      </c>
      <c r="J125">
        <v>32</v>
      </c>
    </row>
    <row r="126" spans="9:10" x14ac:dyDescent="0.35">
      <c r="I126" t="s">
        <v>2905</v>
      </c>
      <c r="J126">
        <v>48</v>
      </c>
    </row>
    <row r="127" spans="9:10" x14ac:dyDescent="0.35">
      <c r="I127" t="s">
        <v>2906</v>
      </c>
      <c r="J127">
        <v>64</v>
      </c>
    </row>
    <row r="128" spans="9:10" x14ac:dyDescent="0.35">
      <c r="I128" t="s">
        <v>2907</v>
      </c>
      <c r="J128">
        <v>64</v>
      </c>
    </row>
    <row r="129" spans="9:10" x14ac:dyDescent="0.35">
      <c r="I129" t="s">
        <v>2908</v>
      </c>
      <c r="J129">
        <v>64</v>
      </c>
    </row>
    <row r="130" spans="9:10" x14ac:dyDescent="0.35">
      <c r="I130" t="s">
        <v>2909</v>
      </c>
      <c r="J130">
        <v>2</v>
      </c>
    </row>
    <row r="131" spans="9:10" x14ac:dyDescent="0.35">
      <c r="I131" t="s">
        <v>2910</v>
      </c>
      <c r="J131">
        <v>4</v>
      </c>
    </row>
    <row r="132" spans="9:10" x14ac:dyDescent="0.35">
      <c r="I132" t="s">
        <v>2911</v>
      </c>
      <c r="J132">
        <v>8</v>
      </c>
    </row>
    <row r="133" spans="9:10" x14ac:dyDescent="0.35">
      <c r="I133" t="s">
        <v>2912</v>
      </c>
      <c r="J133">
        <v>16</v>
      </c>
    </row>
    <row r="134" spans="9:10" x14ac:dyDescent="0.35">
      <c r="I134" t="s">
        <v>2913</v>
      </c>
      <c r="J134">
        <v>32</v>
      </c>
    </row>
    <row r="135" spans="9:10" x14ac:dyDescent="0.35">
      <c r="I135" t="s">
        <v>2914</v>
      </c>
      <c r="J135">
        <v>48</v>
      </c>
    </row>
    <row r="136" spans="9:10" x14ac:dyDescent="0.35">
      <c r="I136" t="s">
        <v>2915</v>
      </c>
      <c r="J136">
        <v>64</v>
      </c>
    </row>
    <row r="137" spans="9:10" x14ac:dyDescent="0.35">
      <c r="I137" t="s">
        <v>2916</v>
      </c>
      <c r="J137">
        <v>72</v>
      </c>
    </row>
    <row r="138" spans="9:10" x14ac:dyDescent="0.35">
      <c r="I138" t="s">
        <v>2917</v>
      </c>
      <c r="J138">
        <v>2</v>
      </c>
    </row>
    <row r="139" spans="9:10" x14ac:dyDescent="0.35">
      <c r="I139" t="s">
        <v>2918</v>
      </c>
      <c r="J139">
        <v>4</v>
      </c>
    </row>
    <row r="140" spans="9:10" x14ac:dyDescent="0.35">
      <c r="I140" t="s">
        <v>2919</v>
      </c>
      <c r="J140">
        <v>8</v>
      </c>
    </row>
    <row r="141" spans="9:10" x14ac:dyDescent="0.35">
      <c r="I141" t="s">
        <v>2920</v>
      </c>
      <c r="J141">
        <v>16</v>
      </c>
    </row>
    <row r="142" spans="9:10" x14ac:dyDescent="0.35">
      <c r="I142" t="s">
        <v>2921</v>
      </c>
      <c r="J142">
        <v>32</v>
      </c>
    </row>
    <row r="143" spans="9:10" x14ac:dyDescent="0.35">
      <c r="I143" t="s">
        <v>2922</v>
      </c>
      <c r="J143">
        <v>48</v>
      </c>
    </row>
    <row r="144" spans="9:10" x14ac:dyDescent="0.35">
      <c r="I144" t="s">
        <v>2923</v>
      </c>
      <c r="J144">
        <v>64</v>
      </c>
    </row>
    <row r="145" spans="9:10" x14ac:dyDescent="0.35">
      <c r="I145" t="s">
        <v>2924</v>
      </c>
      <c r="J145">
        <v>2</v>
      </c>
    </row>
    <row r="146" spans="9:10" x14ac:dyDescent="0.35">
      <c r="I146" t="s">
        <v>2925</v>
      </c>
      <c r="J146">
        <v>4</v>
      </c>
    </row>
    <row r="147" spans="9:10" x14ac:dyDescent="0.35">
      <c r="I147" t="s">
        <v>2926</v>
      </c>
      <c r="J147">
        <v>8</v>
      </c>
    </row>
    <row r="148" spans="9:10" x14ac:dyDescent="0.35">
      <c r="I148" t="s">
        <v>2927</v>
      </c>
      <c r="J148">
        <v>16</v>
      </c>
    </row>
    <row r="149" spans="9:10" x14ac:dyDescent="0.35">
      <c r="I149" t="s">
        <v>2928</v>
      </c>
      <c r="J149">
        <v>32</v>
      </c>
    </row>
    <row r="150" spans="9:10" x14ac:dyDescent="0.35">
      <c r="I150" t="s">
        <v>2929</v>
      </c>
      <c r="J150">
        <v>48</v>
      </c>
    </row>
    <row r="151" spans="9:10" x14ac:dyDescent="0.35">
      <c r="I151" t="s">
        <v>2930</v>
      </c>
      <c r="J151">
        <v>64</v>
      </c>
    </row>
    <row r="152" spans="9:10" x14ac:dyDescent="0.35">
      <c r="I152" t="s">
        <v>2931</v>
      </c>
      <c r="J152">
        <v>96</v>
      </c>
    </row>
    <row r="153" spans="9:10" x14ac:dyDescent="0.35">
      <c r="I153" t="s">
        <v>2932</v>
      </c>
      <c r="J153">
        <v>2</v>
      </c>
    </row>
    <row r="154" spans="9:10" x14ac:dyDescent="0.35">
      <c r="I154" t="s">
        <v>2933</v>
      </c>
      <c r="J154">
        <v>4</v>
      </c>
    </row>
    <row r="155" spans="9:10" x14ac:dyDescent="0.35">
      <c r="I155" t="s">
        <v>2934</v>
      </c>
      <c r="J155">
        <v>8</v>
      </c>
    </row>
    <row r="156" spans="9:10" x14ac:dyDescent="0.35">
      <c r="I156" t="s">
        <v>2935</v>
      </c>
      <c r="J156">
        <v>16</v>
      </c>
    </row>
    <row r="157" spans="9:10" x14ac:dyDescent="0.35">
      <c r="I157" t="s">
        <v>2936</v>
      </c>
      <c r="J157">
        <v>32</v>
      </c>
    </row>
    <row r="158" spans="9:10" x14ac:dyDescent="0.35">
      <c r="I158" t="s">
        <v>2937</v>
      </c>
      <c r="J158">
        <v>48</v>
      </c>
    </row>
    <row r="159" spans="9:10" x14ac:dyDescent="0.35">
      <c r="I159" t="s">
        <v>2938</v>
      </c>
      <c r="J159">
        <v>64</v>
      </c>
    </row>
    <row r="160" spans="9:10" x14ac:dyDescent="0.35">
      <c r="I160" t="s">
        <v>2939</v>
      </c>
      <c r="J160">
        <v>2</v>
      </c>
    </row>
    <row r="161" spans="9:10" x14ac:dyDescent="0.35">
      <c r="I161" t="s">
        <v>2940</v>
      </c>
      <c r="J161">
        <v>4</v>
      </c>
    </row>
    <row r="162" spans="9:10" x14ac:dyDescent="0.35">
      <c r="I162" t="s">
        <v>2941</v>
      </c>
      <c r="J162">
        <v>8</v>
      </c>
    </row>
    <row r="163" spans="9:10" x14ac:dyDescent="0.35">
      <c r="I163" t="s">
        <v>2942</v>
      </c>
      <c r="J163">
        <v>16</v>
      </c>
    </row>
    <row r="164" spans="9:10" x14ac:dyDescent="0.35">
      <c r="I164" t="s">
        <v>2943</v>
      </c>
      <c r="J164">
        <v>32</v>
      </c>
    </row>
    <row r="165" spans="9:10" x14ac:dyDescent="0.35">
      <c r="I165" t="s">
        <v>2944</v>
      </c>
      <c r="J165">
        <v>48</v>
      </c>
    </row>
    <row r="166" spans="9:10" x14ac:dyDescent="0.35">
      <c r="I166" t="s">
        <v>2945</v>
      </c>
      <c r="J166">
        <v>64</v>
      </c>
    </row>
    <row r="167" spans="9:10" x14ac:dyDescent="0.35">
      <c r="I167" t="s">
        <v>2946</v>
      </c>
      <c r="J167">
        <v>96</v>
      </c>
    </row>
    <row r="168" spans="9:10" x14ac:dyDescent="0.35">
      <c r="I168" t="s">
        <v>1067</v>
      </c>
      <c r="J168">
        <v>2</v>
      </c>
    </row>
    <row r="169" spans="9:10" x14ac:dyDescent="0.35">
      <c r="I169" t="s">
        <v>757</v>
      </c>
      <c r="J169">
        <v>4</v>
      </c>
    </row>
    <row r="170" spans="9:10" x14ac:dyDescent="0.35">
      <c r="I170" t="s">
        <v>801</v>
      </c>
      <c r="J170">
        <v>8</v>
      </c>
    </row>
    <row r="171" spans="9:10" x14ac:dyDescent="0.35">
      <c r="I171" t="s">
        <v>2947</v>
      </c>
      <c r="J171">
        <v>16</v>
      </c>
    </row>
    <row r="172" spans="9:10" x14ac:dyDescent="0.35">
      <c r="I172" t="s">
        <v>2948</v>
      </c>
      <c r="J172">
        <v>32</v>
      </c>
    </row>
    <row r="173" spans="9:10" x14ac:dyDescent="0.35">
      <c r="I173" t="s">
        <v>2949</v>
      </c>
      <c r="J173">
        <v>48</v>
      </c>
    </row>
    <row r="174" spans="9:10" x14ac:dyDescent="0.35">
      <c r="I174" t="s">
        <v>2950</v>
      </c>
      <c r="J174">
        <v>64</v>
      </c>
    </row>
    <row r="175" spans="9:10" x14ac:dyDescent="0.35">
      <c r="I175" t="s">
        <v>2951</v>
      </c>
      <c r="J175">
        <v>2</v>
      </c>
    </row>
    <row r="176" spans="9:10" x14ac:dyDescent="0.35">
      <c r="I176" t="s">
        <v>2952</v>
      </c>
      <c r="J176">
        <v>4</v>
      </c>
    </row>
    <row r="177" spans="9:10" x14ac:dyDescent="0.35">
      <c r="I177" t="s">
        <v>2953</v>
      </c>
      <c r="J177">
        <v>8</v>
      </c>
    </row>
    <row r="178" spans="9:10" x14ac:dyDescent="0.35">
      <c r="I178" t="s">
        <v>2954</v>
      </c>
      <c r="J178">
        <v>16</v>
      </c>
    </row>
    <row r="179" spans="9:10" x14ac:dyDescent="0.35">
      <c r="I179" t="s">
        <v>2955</v>
      </c>
      <c r="J179">
        <v>32</v>
      </c>
    </row>
    <row r="180" spans="9:10" x14ac:dyDescent="0.35">
      <c r="I180" t="s">
        <v>2956</v>
      </c>
      <c r="J180">
        <v>48</v>
      </c>
    </row>
    <row r="181" spans="9:10" x14ac:dyDescent="0.35">
      <c r="I181" t="s">
        <v>2957</v>
      </c>
      <c r="J181">
        <v>64</v>
      </c>
    </row>
    <row r="182" spans="9:10" x14ac:dyDescent="0.35">
      <c r="I182" t="s">
        <v>2958</v>
      </c>
      <c r="J182">
        <v>96</v>
      </c>
    </row>
    <row r="183" spans="9:10" x14ac:dyDescent="0.35">
      <c r="I183" t="s">
        <v>2959</v>
      </c>
      <c r="J183">
        <v>2</v>
      </c>
    </row>
    <row r="184" spans="9:10" x14ac:dyDescent="0.35">
      <c r="I184" t="s">
        <v>2960</v>
      </c>
      <c r="J184">
        <v>4</v>
      </c>
    </row>
    <row r="185" spans="9:10" x14ac:dyDescent="0.35">
      <c r="I185" t="s">
        <v>2961</v>
      </c>
      <c r="J185">
        <v>8</v>
      </c>
    </row>
    <row r="186" spans="9:10" x14ac:dyDescent="0.35">
      <c r="I186" t="s">
        <v>2962</v>
      </c>
      <c r="J186">
        <v>16</v>
      </c>
    </row>
    <row r="187" spans="9:10" x14ac:dyDescent="0.35">
      <c r="I187" t="s">
        <v>2963</v>
      </c>
      <c r="J187">
        <v>32</v>
      </c>
    </row>
    <row r="188" spans="9:10" x14ac:dyDescent="0.35">
      <c r="I188" t="s">
        <v>2964</v>
      </c>
      <c r="J188">
        <v>48</v>
      </c>
    </row>
    <row r="189" spans="9:10" x14ac:dyDescent="0.35">
      <c r="I189" t="s">
        <v>2965</v>
      </c>
      <c r="J189">
        <v>64</v>
      </c>
    </row>
    <row r="190" spans="9:10" x14ac:dyDescent="0.35">
      <c r="I190" t="s">
        <v>2966</v>
      </c>
      <c r="J190">
        <v>2</v>
      </c>
    </row>
    <row r="191" spans="9:10" x14ac:dyDescent="0.35">
      <c r="I191" t="s">
        <v>2967</v>
      </c>
      <c r="J191">
        <v>4</v>
      </c>
    </row>
    <row r="192" spans="9:10" x14ac:dyDescent="0.35">
      <c r="I192" t="s">
        <v>2968</v>
      </c>
      <c r="J192">
        <v>8</v>
      </c>
    </row>
    <row r="193" spans="9:10" x14ac:dyDescent="0.35">
      <c r="I193" t="s">
        <v>2969</v>
      </c>
      <c r="J193">
        <v>16</v>
      </c>
    </row>
    <row r="194" spans="9:10" x14ac:dyDescent="0.35">
      <c r="I194" t="s">
        <v>2970</v>
      </c>
      <c r="J194">
        <v>32</v>
      </c>
    </row>
    <row r="195" spans="9:10" x14ac:dyDescent="0.35">
      <c r="I195" t="s">
        <v>2971</v>
      </c>
      <c r="J195">
        <v>48</v>
      </c>
    </row>
    <row r="196" spans="9:10" x14ac:dyDescent="0.35">
      <c r="I196" t="s">
        <v>2972</v>
      </c>
      <c r="J196">
        <v>64</v>
      </c>
    </row>
    <row r="197" spans="9:10" x14ac:dyDescent="0.35">
      <c r="I197" t="s">
        <v>2973</v>
      </c>
      <c r="J197">
        <v>96</v>
      </c>
    </row>
    <row r="198" spans="9:10" x14ac:dyDescent="0.35">
      <c r="I198" t="s">
        <v>2974</v>
      </c>
      <c r="J198">
        <v>2</v>
      </c>
    </row>
    <row r="199" spans="9:10" x14ac:dyDescent="0.35">
      <c r="I199" t="s">
        <v>2975</v>
      </c>
      <c r="J199">
        <v>4</v>
      </c>
    </row>
    <row r="200" spans="9:10" x14ac:dyDescent="0.35">
      <c r="I200" t="s">
        <v>2976</v>
      </c>
      <c r="J200">
        <v>4</v>
      </c>
    </row>
    <row r="201" spans="9:10" x14ac:dyDescent="0.35">
      <c r="I201" t="s">
        <v>2977</v>
      </c>
      <c r="J201">
        <v>8</v>
      </c>
    </row>
    <row r="202" spans="9:10" x14ac:dyDescent="0.35">
      <c r="I202" t="s">
        <v>2978</v>
      </c>
      <c r="J202">
        <v>8</v>
      </c>
    </row>
    <row r="203" spans="9:10" x14ac:dyDescent="0.35">
      <c r="I203" t="s">
        <v>2979</v>
      </c>
      <c r="J203">
        <v>8</v>
      </c>
    </row>
    <row r="204" spans="9:10" x14ac:dyDescent="0.35">
      <c r="I204" t="s">
        <v>2980</v>
      </c>
      <c r="J204">
        <v>16</v>
      </c>
    </row>
    <row r="205" spans="9:10" x14ac:dyDescent="0.35">
      <c r="I205" t="s">
        <v>2981</v>
      </c>
      <c r="J205">
        <v>16</v>
      </c>
    </row>
    <row r="206" spans="9:10" x14ac:dyDescent="0.35">
      <c r="I206" t="s">
        <v>2982</v>
      </c>
      <c r="J206">
        <v>16</v>
      </c>
    </row>
    <row r="207" spans="9:10" x14ac:dyDescent="0.35">
      <c r="I207" t="s">
        <v>2983</v>
      </c>
      <c r="J207">
        <v>20</v>
      </c>
    </row>
    <row r="208" spans="9:10" x14ac:dyDescent="0.35">
      <c r="I208" t="s">
        <v>2984</v>
      </c>
      <c r="J208">
        <v>32</v>
      </c>
    </row>
    <row r="209" spans="9:10" x14ac:dyDescent="0.35">
      <c r="I209" t="s">
        <v>2985</v>
      </c>
      <c r="J209">
        <v>32</v>
      </c>
    </row>
    <row r="210" spans="9:10" x14ac:dyDescent="0.35">
      <c r="I210" t="s">
        <v>2986</v>
      </c>
      <c r="J210">
        <v>32</v>
      </c>
    </row>
    <row r="211" spans="9:10" x14ac:dyDescent="0.35">
      <c r="I211" t="s">
        <v>2987</v>
      </c>
      <c r="J211">
        <v>48</v>
      </c>
    </row>
    <row r="212" spans="9:10" x14ac:dyDescent="0.35">
      <c r="I212" t="s">
        <v>2988</v>
      </c>
      <c r="J212">
        <v>64</v>
      </c>
    </row>
    <row r="213" spans="9:10" x14ac:dyDescent="0.35">
      <c r="I213" t="s">
        <v>2989</v>
      </c>
      <c r="J213">
        <v>64</v>
      </c>
    </row>
    <row r="214" spans="9:10" x14ac:dyDescent="0.35">
      <c r="I214" t="s">
        <v>2990</v>
      </c>
      <c r="J214">
        <v>64</v>
      </c>
    </row>
    <row r="215" spans="9:10" x14ac:dyDescent="0.35">
      <c r="I215" t="s">
        <v>2991</v>
      </c>
      <c r="J215">
        <v>80</v>
      </c>
    </row>
    <row r="216" spans="9:10" x14ac:dyDescent="0.35">
      <c r="I216" t="s">
        <v>2992</v>
      </c>
      <c r="J216">
        <v>2</v>
      </c>
    </row>
    <row r="217" spans="9:10" x14ac:dyDescent="0.35">
      <c r="I217" t="s">
        <v>2993</v>
      </c>
      <c r="J217">
        <v>4</v>
      </c>
    </row>
    <row r="218" spans="9:10" x14ac:dyDescent="0.35">
      <c r="I218" t="s">
        <v>2994</v>
      </c>
      <c r="J218">
        <v>4</v>
      </c>
    </row>
    <row r="219" spans="9:10" x14ac:dyDescent="0.35">
      <c r="I219" t="s">
        <v>2995</v>
      </c>
      <c r="J219">
        <v>8</v>
      </c>
    </row>
    <row r="220" spans="9:10" x14ac:dyDescent="0.35">
      <c r="I220" t="s">
        <v>2996</v>
      </c>
      <c r="J220">
        <v>8</v>
      </c>
    </row>
    <row r="221" spans="9:10" x14ac:dyDescent="0.35">
      <c r="I221" t="s">
        <v>2997</v>
      </c>
      <c r="J221">
        <v>8</v>
      </c>
    </row>
    <row r="222" spans="9:10" x14ac:dyDescent="0.35">
      <c r="I222" t="s">
        <v>2998</v>
      </c>
      <c r="J222">
        <v>16</v>
      </c>
    </row>
    <row r="223" spans="9:10" x14ac:dyDescent="0.35">
      <c r="I223" t="s">
        <v>2999</v>
      </c>
      <c r="J223">
        <v>16</v>
      </c>
    </row>
    <row r="224" spans="9:10" x14ac:dyDescent="0.35">
      <c r="I224" t="s">
        <v>3000</v>
      </c>
      <c r="J224">
        <v>16</v>
      </c>
    </row>
    <row r="225" spans="9:10" x14ac:dyDescent="0.35">
      <c r="I225" t="s">
        <v>3001</v>
      </c>
      <c r="J225">
        <v>20</v>
      </c>
    </row>
    <row r="226" spans="9:10" x14ac:dyDescent="0.35">
      <c r="I226" t="s">
        <v>3002</v>
      </c>
      <c r="J226">
        <v>32</v>
      </c>
    </row>
    <row r="227" spans="9:10" x14ac:dyDescent="0.35">
      <c r="I227" t="s">
        <v>3003</v>
      </c>
      <c r="J227">
        <v>32</v>
      </c>
    </row>
    <row r="228" spans="9:10" x14ac:dyDescent="0.35">
      <c r="I228" t="s">
        <v>3004</v>
      </c>
      <c r="J228">
        <v>32</v>
      </c>
    </row>
    <row r="229" spans="9:10" x14ac:dyDescent="0.35">
      <c r="I229" t="s">
        <v>3005</v>
      </c>
      <c r="J229">
        <v>48</v>
      </c>
    </row>
    <row r="230" spans="9:10" x14ac:dyDescent="0.35">
      <c r="I230" t="s">
        <v>3006</v>
      </c>
      <c r="J230">
        <v>64</v>
      </c>
    </row>
    <row r="231" spans="9:10" x14ac:dyDescent="0.35">
      <c r="I231" t="s">
        <v>3007</v>
      </c>
      <c r="J231">
        <v>64</v>
      </c>
    </row>
    <row r="232" spans="9:10" x14ac:dyDescent="0.35">
      <c r="I232" t="s">
        <v>3008</v>
      </c>
      <c r="J232">
        <v>64</v>
      </c>
    </row>
    <row r="233" spans="9:10" x14ac:dyDescent="0.35">
      <c r="I233" t="s">
        <v>3009</v>
      </c>
      <c r="J233">
        <v>96</v>
      </c>
    </row>
    <row r="234" spans="9:10" x14ac:dyDescent="0.35">
      <c r="I234" t="s">
        <v>3010</v>
      </c>
      <c r="J234">
        <v>96</v>
      </c>
    </row>
    <row r="235" spans="9:10" x14ac:dyDescent="0.35">
      <c r="I235" t="s">
        <v>3011</v>
      </c>
      <c r="J235">
        <v>96</v>
      </c>
    </row>
    <row r="236" spans="9:10" x14ac:dyDescent="0.35">
      <c r="I236" t="s">
        <v>3012</v>
      </c>
      <c r="J236">
        <v>104</v>
      </c>
    </row>
    <row r="237" spans="9:10" x14ac:dyDescent="0.35">
      <c r="I237" t="s">
        <v>3013</v>
      </c>
      <c r="J237">
        <v>2</v>
      </c>
    </row>
    <row r="238" spans="9:10" x14ac:dyDescent="0.35">
      <c r="I238" t="s">
        <v>3014</v>
      </c>
      <c r="J238">
        <v>4</v>
      </c>
    </row>
    <row r="239" spans="9:10" x14ac:dyDescent="0.35">
      <c r="I239" t="s">
        <v>3015</v>
      </c>
      <c r="J239">
        <v>8</v>
      </c>
    </row>
    <row r="240" spans="9:10" x14ac:dyDescent="0.35">
      <c r="I240" t="s">
        <v>3016</v>
      </c>
      <c r="J240">
        <v>16</v>
      </c>
    </row>
    <row r="241" spans="9:10" x14ac:dyDescent="0.35">
      <c r="I241" t="s">
        <v>3017</v>
      </c>
      <c r="J241">
        <v>32</v>
      </c>
    </row>
    <row r="242" spans="9:10" x14ac:dyDescent="0.35">
      <c r="I242" t="s">
        <v>3018</v>
      </c>
      <c r="J242">
        <v>48</v>
      </c>
    </row>
    <row r="243" spans="9:10" x14ac:dyDescent="0.35">
      <c r="I243" t="s">
        <v>3019</v>
      </c>
      <c r="J243">
        <v>64</v>
      </c>
    </row>
    <row r="244" spans="9:10" x14ac:dyDescent="0.35">
      <c r="I244" t="s">
        <v>3020</v>
      </c>
      <c r="J244">
        <v>2</v>
      </c>
    </row>
    <row r="245" spans="9:10" x14ac:dyDescent="0.35">
      <c r="I245" t="s">
        <v>3021</v>
      </c>
      <c r="J245">
        <v>4</v>
      </c>
    </row>
    <row r="246" spans="9:10" x14ac:dyDescent="0.35">
      <c r="I246" t="s">
        <v>3022</v>
      </c>
      <c r="J246">
        <v>8</v>
      </c>
    </row>
    <row r="247" spans="9:10" x14ac:dyDescent="0.35">
      <c r="I247" t="s">
        <v>3023</v>
      </c>
      <c r="J247">
        <v>16</v>
      </c>
    </row>
    <row r="248" spans="9:10" x14ac:dyDescent="0.35">
      <c r="I248" t="s">
        <v>3024</v>
      </c>
      <c r="J248">
        <v>20</v>
      </c>
    </row>
    <row r="249" spans="9:10" x14ac:dyDescent="0.35">
      <c r="I249" t="s">
        <v>3025</v>
      </c>
      <c r="J249">
        <v>32</v>
      </c>
    </row>
    <row r="250" spans="9:10" x14ac:dyDescent="0.35">
      <c r="I250" t="s">
        <v>3026</v>
      </c>
      <c r="J250">
        <v>48</v>
      </c>
    </row>
    <row r="251" spans="9:10" x14ac:dyDescent="0.35">
      <c r="I251" t="s">
        <v>3027</v>
      </c>
      <c r="J251">
        <v>64</v>
      </c>
    </row>
    <row r="252" spans="9:10" x14ac:dyDescent="0.35">
      <c r="I252" t="s">
        <v>3028</v>
      </c>
      <c r="J252">
        <v>2</v>
      </c>
    </row>
    <row r="253" spans="9:10" x14ac:dyDescent="0.35">
      <c r="I253" t="s">
        <v>3029</v>
      </c>
      <c r="J253">
        <v>4</v>
      </c>
    </row>
    <row r="254" spans="9:10" x14ac:dyDescent="0.35">
      <c r="I254" t="s">
        <v>3030</v>
      </c>
      <c r="J254">
        <v>8</v>
      </c>
    </row>
    <row r="255" spans="9:10" x14ac:dyDescent="0.35">
      <c r="I255" t="s">
        <v>3031</v>
      </c>
      <c r="J255">
        <v>16</v>
      </c>
    </row>
    <row r="256" spans="9:10" x14ac:dyDescent="0.35">
      <c r="I256" t="s">
        <v>3032</v>
      </c>
      <c r="J256">
        <v>20</v>
      </c>
    </row>
    <row r="257" spans="9:10" x14ac:dyDescent="0.35">
      <c r="I257" t="s">
        <v>3033</v>
      </c>
      <c r="J257">
        <v>32</v>
      </c>
    </row>
    <row r="258" spans="9:10" x14ac:dyDescent="0.35">
      <c r="I258" t="s">
        <v>3034</v>
      </c>
      <c r="J258">
        <v>48</v>
      </c>
    </row>
    <row r="259" spans="9:10" x14ac:dyDescent="0.35">
      <c r="I259" t="s">
        <v>3035</v>
      </c>
      <c r="J259">
        <v>64</v>
      </c>
    </row>
    <row r="260" spans="9:10" x14ac:dyDescent="0.35">
      <c r="I260" t="s">
        <v>3036</v>
      </c>
      <c r="J260">
        <v>96</v>
      </c>
    </row>
    <row r="261" spans="9:10" x14ac:dyDescent="0.35">
      <c r="I261" t="s">
        <v>3037</v>
      </c>
      <c r="J261">
        <v>104</v>
      </c>
    </row>
    <row r="262" spans="9:10" x14ac:dyDescent="0.35">
      <c r="I262" t="s">
        <v>3038</v>
      </c>
      <c r="J262">
        <v>2</v>
      </c>
    </row>
    <row r="263" spans="9:10" x14ac:dyDescent="0.35">
      <c r="I263" t="s">
        <v>3039</v>
      </c>
      <c r="J263">
        <v>4</v>
      </c>
    </row>
    <row r="264" spans="9:10" x14ac:dyDescent="0.35">
      <c r="I264" t="s">
        <v>3040</v>
      </c>
      <c r="J264">
        <v>4</v>
      </c>
    </row>
    <row r="265" spans="9:10" x14ac:dyDescent="0.35">
      <c r="I265" t="s">
        <v>3041</v>
      </c>
      <c r="J265">
        <v>8</v>
      </c>
    </row>
    <row r="266" spans="9:10" x14ac:dyDescent="0.35">
      <c r="I266" t="s">
        <v>3042</v>
      </c>
      <c r="J266">
        <v>8</v>
      </c>
    </row>
    <row r="267" spans="9:10" x14ac:dyDescent="0.35">
      <c r="I267" t="s">
        <v>3043</v>
      </c>
      <c r="J267">
        <v>8</v>
      </c>
    </row>
    <row r="268" spans="9:10" x14ac:dyDescent="0.35">
      <c r="I268" t="s">
        <v>3044</v>
      </c>
      <c r="J268">
        <v>16</v>
      </c>
    </row>
    <row r="269" spans="9:10" x14ac:dyDescent="0.35">
      <c r="I269" t="s">
        <v>3045</v>
      </c>
      <c r="J269">
        <v>16</v>
      </c>
    </row>
    <row r="270" spans="9:10" x14ac:dyDescent="0.35">
      <c r="I270" t="s">
        <v>3046</v>
      </c>
      <c r="J270">
        <v>16</v>
      </c>
    </row>
    <row r="271" spans="9:10" x14ac:dyDescent="0.35">
      <c r="I271" t="s">
        <v>3047</v>
      </c>
      <c r="J271">
        <v>20</v>
      </c>
    </row>
    <row r="272" spans="9:10" x14ac:dyDescent="0.35">
      <c r="I272" t="s">
        <v>3048</v>
      </c>
      <c r="J272">
        <v>32</v>
      </c>
    </row>
    <row r="273" spans="9:10" x14ac:dyDescent="0.35">
      <c r="I273" t="s">
        <v>3049</v>
      </c>
      <c r="J273">
        <v>32</v>
      </c>
    </row>
    <row r="274" spans="9:10" x14ac:dyDescent="0.35">
      <c r="I274" t="s">
        <v>3050</v>
      </c>
      <c r="J274">
        <v>32</v>
      </c>
    </row>
    <row r="275" spans="9:10" x14ac:dyDescent="0.35">
      <c r="I275" t="s">
        <v>3051</v>
      </c>
      <c r="J275">
        <v>48</v>
      </c>
    </row>
    <row r="276" spans="9:10" x14ac:dyDescent="0.35">
      <c r="I276" t="s">
        <v>3052</v>
      </c>
      <c r="J276">
        <v>64</v>
      </c>
    </row>
    <row r="277" spans="9:10" x14ac:dyDescent="0.35">
      <c r="I277" t="s">
        <v>3053</v>
      </c>
      <c r="J277">
        <v>64</v>
      </c>
    </row>
    <row r="278" spans="9:10" x14ac:dyDescent="0.35">
      <c r="I278" t="s">
        <v>3054</v>
      </c>
      <c r="J278">
        <v>64</v>
      </c>
    </row>
    <row r="279" spans="9:10" x14ac:dyDescent="0.35">
      <c r="I279" t="s">
        <v>3055</v>
      </c>
      <c r="J279">
        <v>80</v>
      </c>
    </row>
    <row r="280" spans="9:10" x14ac:dyDescent="0.35">
      <c r="I280" t="s">
        <v>3056</v>
      </c>
      <c r="J280">
        <v>2</v>
      </c>
    </row>
    <row r="281" spans="9:10" x14ac:dyDescent="0.35">
      <c r="I281" t="s">
        <v>3057</v>
      </c>
      <c r="J281">
        <v>4</v>
      </c>
    </row>
    <row r="282" spans="9:10" x14ac:dyDescent="0.35">
      <c r="I282" t="s">
        <v>3058</v>
      </c>
      <c r="J282">
        <v>4</v>
      </c>
    </row>
    <row r="283" spans="9:10" x14ac:dyDescent="0.35">
      <c r="I283" t="s">
        <v>3059</v>
      </c>
      <c r="J283">
        <v>8</v>
      </c>
    </row>
    <row r="284" spans="9:10" x14ac:dyDescent="0.35">
      <c r="I284" t="s">
        <v>3060</v>
      </c>
      <c r="J284">
        <v>8</v>
      </c>
    </row>
    <row r="285" spans="9:10" x14ac:dyDescent="0.35">
      <c r="I285" t="s">
        <v>3061</v>
      </c>
      <c r="J285">
        <v>8</v>
      </c>
    </row>
    <row r="286" spans="9:10" x14ac:dyDescent="0.35">
      <c r="I286" t="s">
        <v>3062</v>
      </c>
      <c r="J286">
        <v>16</v>
      </c>
    </row>
    <row r="287" spans="9:10" x14ac:dyDescent="0.35">
      <c r="I287" t="s">
        <v>3063</v>
      </c>
      <c r="J287">
        <v>16</v>
      </c>
    </row>
    <row r="288" spans="9:10" x14ac:dyDescent="0.35">
      <c r="I288" t="s">
        <v>3064</v>
      </c>
      <c r="J288">
        <v>16</v>
      </c>
    </row>
    <row r="289" spans="9:10" x14ac:dyDescent="0.35">
      <c r="I289" t="s">
        <v>3065</v>
      </c>
      <c r="J289">
        <v>20</v>
      </c>
    </row>
    <row r="290" spans="9:10" x14ac:dyDescent="0.35">
      <c r="I290" t="s">
        <v>3066</v>
      </c>
      <c r="J290">
        <v>32</v>
      </c>
    </row>
    <row r="291" spans="9:10" x14ac:dyDescent="0.35">
      <c r="I291" t="s">
        <v>3067</v>
      </c>
      <c r="J291">
        <v>32</v>
      </c>
    </row>
    <row r="292" spans="9:10" x14ac:dyDescent="0.35">
      <c r="I292" t="s">
        <v>3068</v>
      </c>
      <c r="J292">
        <v>32</v>
      </c>
    </row>
    <row r="293" spans="9:10" x14ac:dyDescent="0.35">
      <c r="I293" t="s">
        <v>3069</v>
      </c>
      <c r="J293">
        <v>48</v>
      </c>
    </row>
    <row r="294" spans="9:10" x14ac:dyDescent="0.35">
      <c r="I294" t="s">
        <v>3070</v>
      </c>
      <c r="J294">
        <v>64</v>
      </c>
    </row>
    <row r="295" spans="9:10" x14ac:dyDescent="0.35">
      <c r="I295" t="s">
        <v>3071</v>
      </c>
      <c r="J295">
        <v>64</v>
      </c>
    </row>
    <row r="296" spans="9:10" x14ac:dyDescent="0.35">
      <c r="I296" t="s">
        <v>3072</v>
      </c>
      <c r="J296">
        <v>64</v>
      </c>
    </row>
    <row r="297" spans="9:10" x14ac:dyDescent="0.35">
      <c r="I297" t="s">
        <v>3073</v>
      </c>
      <c r="J297">
        <v>96</v>
      </c>
    </row>
    <row r="298" spans="9:10" x14ac:dyDescent="0.35">
      <c r="I298" t="s">
        <v>3074</v>
      </c>
      <c r="J298">
        <v>96</v>
      </c>
    </row>
    <row r="299" spans="9:10" x14ac:dyDescent="0.35">
      <c r="I299" t="s">
        <v>3075</v>
      </c>
      <c r="J299">
        <v>96</v>
      </c>
    </row>
    <row r="300" spans="9:10" x14ac:dyDescent="0.35">
      <c r="I300" t="s">
        <v>3076</v>
      </c>
      <c r="J300">
        <v>104</v>
      </c>
    </row>
    <row r="301" spans="9:10" x14ac:dyDescent="0.35">
      <c r="I301" t="s">
        <v>3077</v>
      </c>
      <c r="J301">
        <v>2</v>
      </c>
    </row>
    <row r="302" spans="9:10" x14ac:dyDescent="0.35">
      <c r="I302" t="s">
        <v>3078</v>
      </c>
      <c r="J302">
        <v>4</v>
      </c>
    </row>
    <row r="303" spans="9:10" x14ac:dyDescent="0.35">
      <c r="I303" t="s">
        <v>3079</v>
      </c>
      <c r="J303">
        <v>8</v>
      </c>
    </row>
    <row r="304" spans="9:10" x14ac:dyDescent="0.35">
      <c r="I304" t="s">
        <v>3080</v>
      </c>
      <c r="J304">
        <v>16</v>
      </c>
    </row>
    <row r="305" spans="9:10" x14ac:dyDescent="0.35">
      <c r="I305" t="s">
        <v>3081</v>
      </c>
      <c r="J305">
        <v>32</v>
      </c>
    </row>
    <row r="306" spans="9:10" x14ac:dyDescent="0.35">
      <c r="I306" t="s">
        <v>3082</v>
      </c>
      <c r="J306">
        <v>48</v>
      </c>
    </row>
    <row r="307" spans="9:10" x14ac:dyDescent="0.35">
      <c r="I307" t="s">
        <v>3083</v>
      </c>
      <c r="J307">
        <v>64</v>
      </c>
    </row>
    <row r="308" spans="9:10" x14ac:dyDescent="0.35">
      <c r="I308" t="s">
        <v>3084</v>
      </c>
      <c r="J308">
        <v>2</v>
      </c>
    </row>
    <row r="309" spans="9:10" x14ac:dyDescent="0.35">
      <c r="I309" t="s">
        <v>3085</v>
      </c>
      <c r="J309">
        <v>4</v>
      </c>
    </row>
    <row r="310" spans="9:10" x14ac:dyDescent="0.35">
      <c r="I310" t="s">
        <v>3086</v>
      </c>
      <c r="J310">
        <v>8</v>
      </c>
    </row>
    <row r="311" spans="9:10" x14ac:dyDescent="0.35">
      <c r="I311" t="s">
        <v>3087</v>
      </c>
      <c r="J311">
        <v>16</v>
      </c>
    </row>
    <row r="312" spans="9:10" x14ac:dyDescent="0.35">
      <c r="I312" t="s">
        <v>3088</v>
      </c>
      <c r="J312">
        <v>20</v>
      </c>
    </row>
    <row r="313" spans="9:10" x14ac:dyDescent="0.35">
      <c r="I313" t="s">
        <v>3089</v>
      </c>
      <c r="J313">
        <v>32</v>
      </c>
    </row>
    <row r="314" spans="9:10" x14ac:dyDescent="0.35">
      <c r="I314" t="s">
        <v>3090</v>
      </c>
      <c r="J314">
        <v>48</v>
      </c>
    </row>
    <row r="315" spans="9:10" x14ac:dyDescent="0.35">
      <c r="I315" t="s">
        <v>3091</v>
      </c>
      <c r="J315">
        <v>64</v>
      </c>
    </row>
    <row r="316" spans="9:10" x14ac:dyDescent="0.35">
      <c r="I316" t="s">
        <v>3092</v>
      </c>
      <c r="J316">
        <v>2</v>
      </c>
    </row>
    <row r="317" spans="9:10" x14ac:dyDescent="0.35">
      <c r="I317" t="s">
        <v>3093</v>
      </c>
      <c r="J317">
        <v>4</v>
      </c>
    </row>
    <row r="318" spans="9:10" x14ac:dyDescent="0.35">
      <c r="I318" t="s">
        <v>3094</v>
      </c>
      <c r="J318">
        <v>8</v>
      </c>
    </row>
    <row r="319" spans="9:10" x14ac:dyDescent="0.35">
      <c r="I319" t="s">
        <v>3095</v>
      </c>
      <c r="J319">
        <v>16</v>
      </c>
    </row>
    <row r="320" spans="9:10" x14ac:dyDescent="0.35">
      <c r="I320" t="s">
        <v>3096</v>
      </c>
      <c r="J320">
        <v>20</v>
      </c>
    </row>
    <row r="321" spans="9:10" x14ac:dyDescent="0.35">
      <c r="I321" t="s">
        <v>3097</v>
      </c>
      <c r="J321">
        <v>32</v>
      </c>
    </row>
    <row r="322" spans="9:10" x14ac:dyDescent="0.35">
      <c r="I322" t="s">
        <v>3098</v>
      </c>
      <c r="J322">
        <v>48</v>
      </c>
    </row>
    <row r="323" spans="9:10" x14ac:dyDescent="0.35">
      <c r="I323" t="s">
        <v>3099</v>
      </c>
      <c r="J323">
        <v>64</v>
      </c>
    </row>
    <row r="324" spans="9:10" x14ac:dyDescent="0.35">
      <c r="I324" t="s">
        <v>3100</v>
      </c>
      <c r="J324">
        <v>96</v>
      </c>
    </row>
    <row r="325" spans="9:10" x14ac:dyDescent="0.35">
      <c r="I325" t="s">
        <v>3101</v>
      </c>
      <c r="J325">
        <v>104</v>
      </c>
    </row>
    <row r="326" spans="9:10" x14ac:dyDescent="0.35">
      <c r="I326" t="s">
        <v>3102</v>
      </c>
      <c r="J326">
        <v>64</v>
      </c>
    </row>
    <row r="327" spans="9:10" x14ac:dyDescent="0.35">
      <c r="I327" t="s">
        <v>3103</v>
      </c>
      <c r="J327">
        <v>64</v>
      </c>
    </row>
    <row r="328" spans="9:10" x14ac:dyDescent="0.35">
      <c r="I328" t="s">
        <v>3104</v>
      </c>
      <c r="J328">
        <v>4</v>
      </c>
    </row>
    <row r="329" spans="9:10" x14ac:dyDescent="0.35">
      <c r="I329" t="s">
        <v>3105</v>
      </c>
      <c r="J329">
        <v>8</v>
      </c>
    </row>
    <row r="330" spans="9:10" x14ac:dyDescent="0.35">
      <c r="I330" t="s">
        <v>3106</v>
      </c>
      <c r="J330">
        <v>16</v>
      </c>
    </row>
    <row r="331" spans="9:10" x14ac:dyDescent="0.35">
      <c r="I331" t="s">
        <v>3107</v>
      </c>
      <c r="J331">
        <v>64</v>
      </c>
    </row>
    <row r="332" spans="9:10" x14ac:dyDescent="0.35">
      <c r="I332" t="s">
        <v>3108</v>
      </c>
      <c r="J332">
        <v>8</v>
      </c>
    </row>
    <row r="333" spans="9:10" x14ac:dyDescent="0.35">
      <c r="I333" t="s">
        <v>3109</v>
      </c>
      <c r="J333">
        <v>8</v>
      </c>
    </row>
    <row r="334" spans="9:10" x14ac:dyDescent="0.35">
      <c r="I334" t="s">
        <v>3110</v>
      </c>
      <c r="J334">
        <v>8</v>
      </c>
    </row>
    <row r="335" spans="9:10" x14ac:dyDescent="0.35">
      <c r="I335" t="s">
        <v>3111</v>
      </c>
      <c r="J335">
        <v>16</v>
      </c>
    </row>
    <row r="336" spans="9:10" x14ac:dyDescent="0.35">
      <c r="I336" t="s">
        <v>3112</v>
      </c>
      <c r="J336">
        <v>16</v>
      </c>
    </row>
    <row r="337" spans="9:10" x14ac:dyDescent="0.35">
      <c r="I337" t="s">
        <v>3113</v>
      </c>
      <c r="J337">
        <v>16</v>
      </c>
    </row>
    <row r="338" spans="9:10" x14ac:dyDescent="0.35">
      <c r="I338" t="s">
        <v>3114</v>
      </c>
      <c r="J338">
        <v>32</v>
      </c>
    </row>
    <row r="339" spans="9:10" x14ac:dyDescent="0.35">
      <c r="I339" t="s">
        <v>3115</v>
      </c>
      <c r="J339">
        <v>32</v>
      </c>
    </row>
    <row r="340" spans="9:10" x14ac:dyDescent="0.35">
      <c r="I340" t="s">
        <v>3116</v>
      </c>
      <c r="J340">
        <v>32</v>
      </c>
    </row>
    <row r="341" spans="9:10" x14ac:dyDescent="0.35">
      <c r="I341" t="s">
        <v>3117</v>
      </c>
      <c r="J341">
        <v>32</v>
      </c>
    </row>
    <row r="342" spans="9:10" x14ac:dyDescent="0.35">
      <c r="I342" t="s">
        <v>3118</v>
      </c>
      <c r="J342">
        <v>32</v>
      </c>
    </row>
    <row r="343" spans="9:10" x14ac:dyDescent="0.35">
      <c r="I343" t="s">
        <v>3119</v>
      </c>
      <c r="J343">
        <v>64</v>
      </c>
    </row>
    <row r="344" spans="9:10" x14ac:dyDescent="0.35">
      <c r="I344" t="s">
        <v>3120</v>
      </c>
      <c r="J344">
        <v>64</v>
      </c>
    </row>
    <row r="345" spans="9:10" x14ac:dyDescent="0.35">
      <c r="I345" t="s">
        <v>3121</v>
      </c>
      <c r="J345">
        <v>64</v>
      </c>
    </row>
    <row r="346" spans="9:10" x14ac:dyDescent="0.35">
      <c r="I346" t="s">
        <v>3122</v>
      </c>
      <c r="J346">
        <v>64</v>
      </c>
    </row>
    <row r="347" spans="9:10" x14ac:dyDescent="0.35">
      <c r="I347" t="s">
        <v>3123</v>
      </c>
      <c r="J347">
        <v>64</v>
      </c>
    </row>
    <row r="348" spans="9:10" x14ac:dyDescent="0.35">
      <c r="I348" t="s">
        <v>3124</v>
      </c>
      <c r="J348">
        <v>128</v>
      </c>
    </row>
    <row r="349" spans="9:10" x14ac:dyDescent="0.35">
      <c r="I349" t="s">
        <v>3125</v>
      </c>
      <c r="J349">
        <v>128</v>
      </c>
    </row>
    <row r="350" spans="9:10" x14ac:dyDescent="0.35">
      <c r="I350" t="s">
        <v>3126</v>
      </c>
      <c r="J350">
        <v>128</v>
      </c>
    </row>
    <row r="351" spans="9:10" x14ac:dyDescent="0.35">
      <c r="I351" t="s">
        <v>3127</v>
      </c>
      <c r="J351">
        <v>128</v>
      </c>
    </row>
    <row r="352" spans="9:10" x14ac:dyDescent="0.35">
      <c r="I352" t="s">
        <v>3128</v>
      </c>
      <c r="J352">
        <v>64</v>
      </c>
    </row>
    <row r="353" spans="9:10" x14ac:dyDescent="0.35">
      <c r="I353" t="s">
        <v>3129</v>
      </c>
      <c r="J353">
        <v>64</v>
      </c>
    </row>
    <row r="354" spans="9:10" x14ac:dyDescent="0.35">
      <c r="I354" t="s">
        <v>3130</v>
      </c>
      <c r="J354">
        <v>128</v>
      </c>
    </row>
    <row r="355" spans="9:10" x14ac:dyDescent="0.35">
      <c r="I355" t="s">
        <v>3131</v>
      </c>
      <c r="J355">
        <v>128</v>
      </c>
    </row>
  </sheetData>
  <autoFilter ref="I1:J355" xr:uid="{8264CA89-C29A-493B-9FC8-ED5459D77970}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B092-6A7C-459C-8D0F-581B7B1CFA96}">
  <sheetPr codeName="Sheet4"/>
  <dimension ref="A1:W12"/>
  <sheetViews>
    <sheetView zoomScale="75" zoomScaleNormal="75" workbookViewId="0">
      <pane ySplit="1" topLeftCell="A3" activePane="bottomLeft" state="frozen"/>
      <selection pane="bottomLeft" activeCell="G2" sqref="G2:G10"/>
    </sheetView>
  </sheetViews>
  <sheetFormatPr defaultRowHeight="14.5" x14ac:dyDescent="0.35"/>
  <cols>
    <col min="1" max="1" width="15.7265625" customWidth="1"/>
    <col min="2" max="2" width="39.453125" bestFit="1" customWidth="1"/>
    <col min="3" max="3" width="34" bestFit="1" customWidth="1"/>
    <col min="4" max="4" width="29.7265625" bestFit="1" customWidth="1"/>
    <col min="5" max="5" width="34" customWidth="1"/>
    <col min="6" max="6" width="26.7265625" bestFit="1" customWidth="1"/>
    <col min="7" max="7" width="21.1796875" bestFit="1" customWidth="1"/>
    <col min="8" max="8" width="22.54296875" customWidth="1"/>
    <col min="9" max="9" width="20.7265625" bestFit="1" customWidth="1"/>
    <col min="10" max="10" width="58.81640625" bestFit="1" customWidth="1"/>
    <col min="11" max="11" width="15.81640625" bestFit="1" customWidth="1"/>
    <col min="12" max="12" width="33.81640625" bestFit="1" customWidth="1"/>
    <col min="13" max="13" width="23.54296875" bestFit="1" customWidth="1"/>
    <col min="14" max="14" width="13.26953125" bestFit="1" customWidth="1"/>
    <col min="15" max="15" width="13.26953125" customWidth="1"/>
    <col min="16" max="16" width="21.453125" bestFit="1" customWidth="1"/>
    <col min="17" max="17" width="14.54296875" bestFit="1" customWidth="1"/>
    <col min="18" max="18" width="30" bestFit="1" customWidth="1"/>
    <col min="19" max="19" width="25.7265625" bestFit="1" customWidth="1"/>
    <col min="20" max="20" width="13.453125" bestFit="1" customWidth="1"/>
    <col min="21" max="21" width="13.453125" customWidth="1"/>
    <col min="22" max="22" width="26" bestFit="1" customWidth="1"/>
    <col min="23" max="23" width="24.7265625" bestFit="1" customWidth="1"/>
    <col min="24" max="24" width="30.26953125" bestFit="1" customWidth="1"/>
    <col min="25" max="25" width="18.1796875" bestFit="1" customWidth="1"/>
    <col min="26" max="26" width="16.1796875" bestFit="1" customWidth="1"/>
    <col min="27" max="27" width="22.26953125" bestFit="1" customWidth="1"/>
    <col min="28" max="28" width="22.1796875" bestFit="1" customWidth="1"/>
    <col min="29" max="29" width="31" bestFit="1" customWidth="1"/>
    <col min="30" max="30" width="14.81640625" bestFit="1" customWidth="1"/>
    <col min="31" max="31" width="30.26953125" bestFit="1" customWidth="1"/>
    <col min="32" max="32" width="20" bestFit="1" customWidth="1"/>
    <col min="33" max="33" width="22.453125" bestFit="1" customWidth="1"/>
    <col min="34" max="36" width="33.453125" bestFit="1" customWidth="1"/>
    <col min="37" max="37" width="23.54296875" bestFit="1" customWidth="1"/>
    <col min="38" max="38" width="16.26953125" bestFit="1" customWidth="1"/>
    <col min="39" max="39" width="16.26953125" customWidth="1"/>
    <col min="40" max="40" width="25.7265625" bestFit="1" customWidth="1"/>
    <col min="41" max="41" width="11.54296875" bestFit="1" customWidth="1"/>
    <col min="42" max="42" width="12.26953125" bestFit="1" customWidth="1"/>
    <col min="43" max="43" width="28.81640625" bestFit="1" customWidth="1"/>
    <col min="44" max="44" width="13.453125" bestFit="1" customWidth="1"/>
    <col min="45" max="45" width="23" bestFit="1" customWidth="1"/>
    <col min="46" max="46" width="11.1796875" bestFit="1" customWidth="1"/>
    <col min="47" max="47" width="20.81640625" bestFit="1" customWidth="1"/>
    <col min="48" max="48" width="44.54296875" bestFit="1" customWidth="1"/>
    <col min="49" max="49" width="89.453125" bestFit="1" customWidth="1"/>
  </cols>
  <sheetData>
    <row r="1" spans="1:23" s="4" customFormat="1" ht="112.5" customHeight="1" thickBot="1" x14ac:dyDescent="0.4">
      <c r="A1" s="25" t="s">
        <v>0</v>
      </c>
      <c r="B1" s="25" t="s">
        <v>3132</v>
      </c>
      <c r="C1" s="26" t="s">
        <v>7</v>
      </c>
      <c r="D1" s="27" t="s">
        <v>3133</v>
      </c>
      <c r="E1" s="27" t="s">
        <v>9</v>
      </c>
      <c r="F1" s="27" t="s">
        <v>3134</v>
      </c>
      <c r="G1" s="27" t="s">
        <v>3135</v>
      </c>
      <c r="H1" s="27" t="s">
        <v>18</v>
      </c>
      <c r="I1" s="25" t="s">
        <v>3</v>
      </c>
      <c r="J1" s="25" t="s">
        <v>3136</v>
      </c>
      <c r="K1" s="25" t="s">
        <v>3137</v>
      </c>
      <c r="L1" s="27" t="s">
        <v>24</v>
      </c>
      <c r="M1" s="27" t="s">
        <v>3138</v>
      </c>
      <c r="N1" s="25" t="s">
        <v>3139</v>
      </c>
      <c r="O1" s="25" t="s">
        <v>3140</v>
      </c>
      <c r="P1" s="25" t="s">
        <v>3141</v>
      </c>
      <c r="Q1" s="25" t="s">
        <v>3142</v>
      </c>
      <c r="R1" s="22" t="s">
        <v>3143</v>
      </c>
      <c r="S1" s="22" t="s">
        <v>3144</v>
      </c>
      <c r="T1" s="22" t="s">
        <v>3145</v>
      </c>
      <c r="U1" s="22" t="s">
        <v>3146</v>
      </c>
      <c r="V1" s="25" t="s">
        <v>3147</v>
      </c>
      <c r="W1" s="4" t="s">
        <v>3148</v>
      </c>
    </row>
    <row r="2" spans="1:23" ht="39.75" customHeight="1" x14ac:dyDescent="0.35">
      <c r="A2" s="18" t="str">
        <f>_xlfn.XLOOKUP(E2,NetworkReference[Subnet],NetworkReference[Subscription])</f>
        <v>NINP-PERF2</v>
      </c>
      <c r="B2" s="17" t="str">
        <f>_xlfn.CONCAT("rg-",MID(E2,4,3),"-",VLOOKUP(A2,NetworkReference[[#All],[Subscription]:[ShortSub]],2,FALSE),"-database",IF(FGSpecs[[#This Row],[Region]]="Australia East","-aue"," -aus"),"-001")</f>
        <v>rg-pfb-pf2-database-aue-001</v>
      </c>
      <c r="C2" s="17" t="str">
        <f>_xlfn.XLOOKUP(E2,NetworkReference[Subnet],NetworkReference[Virtual Network Resource Group])</f>
        <v>rg-pf2-network-aue-001</v>
      </c>
      <c r="D2" s="17" t="str">
        <f>_xlfn.XLOOKUP(E2,NetworkReference[Subnet],NetworkReference[Virtual Network])</f>
        <v>vnet-pf2-workload-aue-001</v>
      </c>
      <c r="E2" s="105" t="s">
        <v>486</v>
      </c>
      <c r="F2" s="103" t="s">
        <v>3149</v>
      </c>
      <c r="G2" s="150" t="s">
        <v>3150</v>
      </c>
      <c r="H2" s="143"/>
      <c r="I2" s="45" t="s">
        <v>61</v>
      </c>
      <c r="J2" s="17" t="str">
        <f t="shared" ref="J2:J10" si="0">G2&amp;".ninp.myhealthrecord.gov.au"</f>
        <v>appfbpf2odb01.ninp.myhealthrecord.gov.au</v>
      </c>
      <c r="K2" s="149" t="s">
        <v>3151</v>
      </c>
      <c r="L2" s="24" t="str">
        <f>_xlfn.CONCAT("nsg-",FGSpecs[[#This Row],[Subnet]])</f>
        <v>nsg-sn-pfb-aue-pf2-database</v>
      </c>
      <c r="M2" s="19" t="str">
        <f t="shared" ref="M2" si="1">_xlfn.CONCAT("asg-",LEFT(F2,LEN(F2)-2))</f>
        <v>asg-appfbpero</v>
      </c>
      <c r="N2" s="20" t="str">
        <f t="shared" ref="N2" si="2">"disk-"&amp;F2&amp;"-001"</f>
        <v>disk-appfbperodb-001</v>
      </c>
      <c r="O2" s="12" t="s">
        <v>3152</v>
      </c>
      <c r="P2" s="23">
        <v>1521</v>
      </c>
      <c r="Q2" s="23">
        <v>1522</v>
      </c>
      <c r="R2" s="28" t="s">
        <v>3153</v>
      </c>
      <c r="S2" s="29" t="s">
        <v>3154</v>
      </c>
      <c r="T2" s="23" t="s">
        <v>3155</v>
      </c>
      <c r="U2" s="28" t="s">
        <v>3153</v>
      </c>
      <c r="V2" s="16" t="str">
        <f>DefaultTagReference!$A$1&amp;CHAR(10)&amp;"Application Name: """&amp;"FlashGrid Cluster"&amp;""""&amp;CHAR(10)&amp;"Application Service: """&amp;"Database"&amp;""""&amp;CHAR(10)&amp;"Lifecycle: """&amp;UPPER(MID('FG Specs'!F2,3,3))&amp;""""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"FlashGrid Cluster"
Application Service: "Database"
Lifecycle: "PFB"</v>
      </c>
      <c r="W2" s="12"/>
    </row>
    <row r="3" spans="1:23" ht="39.75" customHeight="1" x14ac:dyDescent="0.35">
      <c r="A3" s="18" t="str">
        <f>_xlfn.XLOOKUP(E3,NetworkReference[Subnet],NetworkReference[Subscription])</f>
        <v>NINP-PERF2</v>
      </c>
      <c r="B3" s="17" t="str">
        <f>_xlfn.CONCAT("rg-",MID(E3,4,3),"-",VLOOKUP(A3,NetworkReference[[#All],[Subscription]:[ShortSub]],2,FALSE),"-database",IF(FGSpecs[[#This Row],[Region]]="Australia East","-aue"," -aus"),"-001")</f>
        <v>rg-pfb-pf2-database-aue-001</v>
      </c>
      <c r="C3" s="17" t="str">
        <f>_xlfn.XLOOKUP(E3,NetworkReference[Subnet],NetworkReference[Virtual Network Resource Group])</f>
        <v>rg-pf2-network-aue-001</v>
      </c>
      <c r="D3" s="17" t="str">
        <f>_xlfn.XLOOKUP(E3,NetworkReference[Subnet],NetworkReference[Virtual Network])</f>
        <v>vnet-pf2-workload-aue-001</v>
      </c>
      <c r="E3" s="105" t="s">
        <v>486</v>
      </c>
      <c r="F3" s="103" t="s">
        <v>3149</v>
      </c>
      <c r="G3" s="150" t="s">
        <v>3156</v>
      </c>
      <c r="H3" s="143"/>
      <c r="I3" s="61" t="s">
        <v>61</v>
      </c>
      <c r="J3" s="17" t="str">
        <f t="shared" si="0"/>
        <v>appfbpf2odb02.ninp.myhealthrecord.gov.au</v>
      </c>
      <c r="K3" s="149" t="s">
        <v>3151</v>
      </c>
      <c r="L3" s="60" t="str">
        <f>_xlfn.CONCAT("nsg-",FGSpecs[[#This Row],[Subnet]])</f>
        <v>nsg-sn-pfb-aue-pf2-database</v>
      </c>
      <c r="M3" s="62" t="str">
        <f t="shared" ref="M3:M10" si="3">_xlfn.CONCAT("asg-",LEFT(F3,LEN(F3)-2))</f>
        <v>asg-appfbpero</v>
      </c>
      <c r="N3" s="63" t="str">
        <f t="shared" ref="N3:N10" si="4">"disk-"&amp;F3&amp;"-001"</f>
        <v>disk-appfbperodb-001</v>
      </c>
      <c r="O3" s="12" t="s">
        <v>3152</v>
      </c>
      <c r="P3" s="23">
        <v>1521</v>
      </c>
      <c r="Q3" s="23">
        <v>1522</v>
      </c>
      <c r="R3" s="28" t="s">
        <v>3153</v>
      </c>
      <c r="S3" s="29" t="s">
        <v>3154</v>
      </c>
      <c r="T3" s="23" t="s">
        <v>3155</v>
      </c>
      <c r="U3" s="28" t="s">
        <v>3153</v>
      </c>
      <c r="V3" s="16" t="str">
        <f>DefaultTagReference!$A$1&amp;CHAR(10)&amp;"Application Name: """&amp;"FlashGrid Cluster"&amp;""""&amp;CHAR(10)&amp;"Application Service: """&amp;"Database"&amp;""""&amp;CHAR(10)&amp;"Lifecycle: """&amp;UPPER(MID('FG Specs'!F3,3,3))&amp;""""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"FlashGrid Cluster"
Application Service: "Database"
Lifecycle: "PFB"</v>
      </c>
      <c r="W3" s="12"/>
    </row>
    <row r="4" spans="1:23" ht="39.75" customHeight="1" x14ac:dyDescent="0.35">
      <c r="A4" s="18" t="str">
        <f>_xlfn.XLOOKUP(E4,NetworkReference[Subnet],NetworkReference[Subscription])</f>
        <v>NINP-PERF2</v>
      </c>
      <c r="B4" s="17" t="str">
        <f>_xlfn.CONCAT("rg-",MID(E4,4,3),"-",VLOOKUP(A4,NetworkReference[[#All],[Subscription]:[ShortSub]],2,FALSE),"-database",IF(FGSpecs[[#This Row],[Region]]="Australia East","-aue"," -aus"),"-001")</f>
        <v>rg-pfb-pf2-database-aue-001</v>
      </c>
      <c r="C4" s="17" t="str">
        <f>_xlfn.XLOOKUP(E4,NetworkReference[Subnet],NetworkReference[Virtual Network Resource Group])</f>
        <v>rg-pf2-network-aue-001</v>
      </c>
      <c r="D4" s="17" t="str">
        <f>_xlfn.XLOOKUP(E4,NetworkReference[Subnet],NetworkReference[Virtual Network])</f>
        <v>vnet-pf2-workload-aue-001</v>
      </c>
      <c r="E4" s="105" t="s">
        <v>486</v>
      </c>
      <c r="F4" s="103" t="s">
        <v>3149</v>
      </c>
      <c r="G4" s="150" t="s">
        <v>3157</v>
      </c>
      <c r="H4" s="143"/>
      <c r="I4" s="61" t="s">
        <v>61</v>
      </c>
      <c r="J4" s="17" t="str">
        <f t="shared" si="0"/>
        <v>appfbpf2odb03.ninp.myhealthrecord.gov.au</v>
      </c>
      <c r="K4" s="149" t="s">
        <v>3151</v>
      </c>
      <c r="L4" s="60" t="str">
        <f>_xlfn.CONCAT("nsg-",FGSpecs[[#This Row],[Subnet]])</f>
        <v>nsg-sn-pfb-aue-pf2-database</v>
      </c>
      <c r="M4" s="62" t="str">
        <f t="shared" si="3"/>
        <v>asg-appfbpero</v>
      </c>
      <c r="N4" s="63" t="str">
        <f t="shared" si="4"/>
        <v>disk-appfbperodb-001</v>
      </c>
      <c r="O4" s="12" t="s">
        <v>3152</v>
      </c>
      <c r="P4" s="140">
        <v>1521</v>
      </c>
      <c r="Q4" s="140">
        <v>1522</v>
      </c>
      <c r="R4" s="28" t="s">
        <v>3153</v>
      </c>
      <c r="S4" s="29" t="s">
        <v>3154</v>
      </c>
      <c r="T4" s="141" t="s">
        <v>3155</v>
      </c>
      <c r="U4" s="28" t="s">
        <v>3153</v>
      </c>
      <c r="V4" s="16" t="str">
        <f>DefaultTagReference!$A$1&amp;CHAR(10)&amp;"Application Name: """&amp;"FlashGrid Cluster"&amp;""""&amp;CHAR(10)&amp;"Application Service: """&amp;"Database"&amp;""""&amp;CHAR(10)&amp;"Lifecycle: """&amp;UPPER(MID('FG Specs'!F4,3,3))&amp;""""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"FlashGrid Cluster"
Application Service: "Database"
Lifecycle: "PFB"</v>
      </c>
      <c r="W4" s="12"/>
    </row>
    <row r="5" spans="1:23" ht="39.75" customHeight="1" x14ac:dyDescent="0.35">
      <c r="A5" s="18" t="str">
        <f>_xlfn.XLOOKUP(E5,NetworkReference[Subnet],NetworkReference[Subscription])</f>
        <v>NINP-PERF2</v>
      </c>
      <c r="B5" s="17" t="str">
        <f>_xlfn.CONCAT("rg-",MID(E5,4,3),"-",VLOOKUP(A5,NetworkReference[[#All],[Subscription]:[ShortSub]],2,FALSE),"-database",IF(FGSpecs[[#This Row],[Region]]="Australia East","-aue"," -aus"),"-001")</f>
        <v>rg-pfb-pf2-database-aue-001</v>
      </c>
      <c r="C5" s="17" t="str">
        <f>_xlfn.XLOOKUP(E5,NetworkReference[Subnet],NetworkReference[Virtual Network Resource Group])</f>
        <v>rg-pf2-network-aue-001</v>
      </c>
      <c r="D5" s="17" t="str">
        <f>_xlfn.XLOOKUP(E5,NetworkReference[Subnet],NetworkReference[Virtual Network])</f>
        <v>vnet-pf2-workload-aue-001</v>
      </c>
      <c r="E5" s="105" t="s">
        <v>486</v>
      </c>
      <c r="F5" s="103" t="s">
        <v>3149</v>
      </c>
      <c r="G5" s="150" t="s">
        <v>3158</v>
      </c>
      <c r="H5" s="143"/>
      <c r="I5" s="61" t="s">
        <v>61</v>
      </c>
      <c r="J5" s="17" t="str">
        <f t="shared" si="0"/>
        <v>appfbpf2odb06.ninp.myhealthrecord.gov.au</v>
      </c>
      <c r="K5" s="149" t="s">
        <v>3151</v>
      </c>
      <c r="L5" s="60" t="str">
        <f>_xlfn.CONCAT("nsg-",FGSpecs[[#This Row],[Subnet]])</f>
        <v>nsg-sn-pfb-aue-pf2-database</v>
      </c>
      <c r="M5" s="62" t="str">
        <f t="shared" si="3"/>
        <v>asg-appfbpero</v>
      </c>
      <c r="N5" s="63" t="str">
        <f t="shared" si="4"/>
        <v>disk-appfbperodb-001</v>
      </c>
      <c r="O5" s="12" t="s">
        <v>3152</v>
      </c>
      <c r="P5" s="140">
        <v>1521</v>
      </c>
      <c r="Q5" s="140">
        <v>1522</v>
      </c>
      <c r="R5" s="28" t="s">
        <v>3153</v>
      </c>
      <c r="S5" s="29" t="s">
        <v>3154</v>
      </c>
      <c r="T5" s="141" t="s">
        <v>3155</v>
      </c>
      <c r="U5" s="28" t="s">
        <v>3153</v>
      </c>
      <c r="V5" s="16" t="str">
        <f>DefaultTagReference!$A$1&amp;CHAR(10)&amp;"Application Name: """&amp;"FlashGrid Cluster"&amp;""""&amp;CHAR(10)&amp;"Application Service: """&amp;"Database"&amp;""""&amp;CHAR(10)&amp;"Lifecycle: """&amp;UPPER(MID('FG Specs'!F5,3,3))&amp;""""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"FlashGrid Cluster"
Application Service: "Database"
Lifecycle: "PFB"</v>
      </c>
      <c r="W5" s="12"/>
    </row>
    <row r="6" spans="1:23" ht="39.75" customHeight="1" x14ac:dyDescent="0.35">
      <c r="A6" s="18" t="str">
        <f>_xlfn.XLOOKUP(E6,NetworkReference[Subnet],NetworkReference[Subscription])</f>
        <v>NINP-PERF2</v>
      </c>
      <c r="B6" s="17" t="str">
        <f>_xlfn.CONCAT("rg-",MID(E6,4,3),"-",VLOOKUP(A6,NetworkReference[[#All],[Subscription]:[ShortSub]],2,FALSE),"-database",IF(FGSpecs[[#This Row],[Region]]="Australia East","-aue"," -aus"),"-001")</f>
        <v>rg-pfb-pf2-database-aue-001</v>
      </c>
      <c r="C6" s="17" t="str">
        <f>_xlfn.XLOOKUP(E6,NetworkReference[Subnet],NetworkReference[Virtual Network Resource Group])</f>
        <v>rg-pf2-network-aue-001</v>
      </c>
      <c r="D6" s="17" t="str">
        <f>_xlfn.XLOOKUP(E6,NetworkReference[Subnet],NetworkReference[Virtual Network])</f>
        <v>vnet-pf2-workload-aue-001</v>
      </c>
      <c r="E6" s="105" t="s">
        <v>486</v>
      </c>
      <c r="F6" s="103" t="s">
        <v>3149</v>
      </c>
      <c r="G6" s="150" t="s">
        <v>3159</v>
      </c>
      <c r="H6" s="143"/>
      <c r="I6" s="61" t="s">
        <v>61</v>
      </c>
      <c r="J6" s="17" t="str">
        <f t="shared" si="0"/>
        <v>appfbpf2odb07.ninp.myhealthrecord.gov.au</v>
      </c>
      <c r="K6" s="149" t="s">
        <v>3151</v>
      </c>
      <c r="L6" s="60" t="str">
        <f>_xlfn.CONCAT("nsg-",FGSpecs[[#This Row],[Subnet]])</f>
        <v>nsg-sn-pfb-aue-pf2-database</v>
      </c>
      <c r="M6" s="62" t="str">
        <f t="shared" si="3"/>
        <v>asg-appfbpero</v>
      </c>
      <c r="N6" s="63" t="str">
        <f t="shared" si="4"/>
        <v>disk-appfbperodb-001</v>
      </c>
      <c r="O6" s="12" t="s">
        <v>3152</v>
      </c>
      <c r="P6" s="140">
        <v>1521</v>
      </c>
      <c r="Q6" s="140">
        <v>1522</v>
      </c>
      <c r="R6" s="28" t="s">
        <v>3153</v>
      </c>
      <c r="S6" s="29" t="s">
        <v>3154</v>
      </c>
      <c r="T6" s="141" t="s">
        <v>3155</v>
      </c>
      <c r="U6" s="28" t="s">
        <v>3153</v>
      </c>
      <c r="V6" s="16" t="str">
        <f>DefaultTagReference!$A$1&amp;CHAR(10)&amp;"Application Name: """&amp;"FlashGrid Cluster"&amp;""""&amp;CHAR(10)&amp;"Application Service: """&amp;"Database"&amp;""""&amp;CHAR(10)&amp;"Lifecycle: """&amp;UPPER(MID('FG Specs'!F6,3,3))&amp;""""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"FlashGrid Cluster"
Application Service: "Database"
Lifecycle: "PFB"</v>
      </c>
      <c r="W6" s="12"/>
    </row>
    <row r="7" spans="1:23" ht="39.75" customHeight="1" x14ac:dyDescent="0.35">
      <c r="A7" s="18" t="str">
        <f>_xlfn.XLOOKUP(E7,NetworkReference[Subnet],NetworkReference[Subscription])</f>
        <v>NINP-PERF2</v>
      </c>
      <c r="B7" s="17" t="str">
        <f>_xlfn.CONCAT("rg-",MID(E7,4,3),"-",VLOOKUP(A7,NetworkReference[[#All],[Subscription]:[ShortSub]],2,FALSE),"-database",IF(FGSpecs[[#This Row],[Region]]="Australia East","-aue"," -aus"),"-001")</f>
        <v>rg-pfb-pf2-database-aue-001</v>
      </c>
      <c r="C7" s="17" t="str">
        <f>_xlfn.XLOOKUP(E7,NetworkReference[Subnet],NetworkReference[Virtual Network Resource Group])</f>
        <v>rg-pf2-network-aue-001</v>
      </c>
      <c r="D7" s="17" t="str">
        <f>_xlfn.XLOOKUP(E7,NetworkReference[Subnet],NetworkReference[Virtual Network])</f>
        <v>vnet-pf2-workload-aue-001</v>
      </c>
      <c r="E7" s="105" t="s">
        <v>486</v>
      </c>
      <c r="F7" s="103" t="s">
        <v>3149</v>
      </c>
      <c r="G7" s="150" t="s">
        <v>3160</v>
      </c>
      <c r="H7" s="143"/>
      <c r="I7" s="61" t="s">
        <v>61</v>
      </c>
      <c r="J7" s="17" t="str">
        <f t="shared" si="0"/>
        <v>appfbpf2odb08.ninp.myhealthrecord.gov.au</v>
      </c>
      <c r="K7" s="149" t="s">
        <v>3151</v>
      </c>
      <c r="L7" s="60" t="str">
        <f>_xlfn.CONCAT("nsg-",FGSpecs[[#This Row],[Subnet]])</f>
        <v>nsg-sn-pfb-aue-pf2-database</v>
      </c>
      <c r="M7" s="62" t="str">
        <f t="shared" si="3"/>
        <v>asg-appfbpero</v>
      </c>
      <c r="N7" s="63" t="str">
        <f t="shared" si="4"/>
        <v>disk-appfbperodb-001</v>
      </c>
      <c r="O7" s="12" t="s">
        <v>3152</v>
      </c>
      <c r="P7" s="140">
        <v>1521</v>
      </c>
      <c r="Q7" s="140">
        <v>1522</v>
      </c>
      <c r="R7" s="28" t="s">
        <v>3153</v>
      </c>
      <c r="S7" s="29" t="s">
        <v>3154</v>
      </c>
      <c r="T7" s="141" t="s">
        <v>3155</v>
      </c>
      <c r="U7" s="28" t="s">
        <v>3153</v>
      </c>
      <c r="V7" s="16" t="str">
        <f>DefaultTagReference!$A$1&amp;CHAR(10)&amp;"Application Name: """&amp;"FlashGrid Cluster"&amp;""""&amp;CHAR(10)&amp;"Application Service: """&amp;"Database"&amp;""""&amp;CHAR(10)&amp;"Lifecycle: """&amp;UPPER(MID('FG Specs'!F7,3,3))&amp;""""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"FlashGrid Cluster"
Application Service: "Database"
Lifecycle: "PFB"</v>
      </c>
      <c r="W7" s="12"/>
    </row>
    <row r="8" spans="1:23" ht="39.75" customHeight="1" x14ac:dyDescent="0.35">
      <c r="A8" s="18" t="str">
        <f>_xlfn.XLOOKUP(E8,NetworkReference[Subnet],NetworkReference[Subscription])</f>
        <v>NINP-PERF2</v>
      </c>
      <c r="B8" s="17" t="str">
        <f>_xlfn.CONCAT("rg-",MID(E8,4,3),"-",VLOOKUP(A8,NetworkReference[[#All],[Subscription]:[ShortSub]],2,FALSE),"-database",IF(FGSpecs[[#This Row],[Region]]="Australia East","-aue"," -aus"),"-001")</f>
        <v>rg-pfb-pf2-database-aue-001</v>
      </c>
      <c r="C8" s="17" t="str">
        <f>_xlfn.XLOOKUP(E8,NetworkReference[Subnet],NetworkReference[Virtual Network Resource Group])</f>
        <v>rg-pf2-network-aue-001</v>
      </c>
      <c r="D8" s="17" t="str">
        <f>_xlfn.XLOOKUP(E8,NetworkReference[Subnet],NetworkReference[Virtual Network])</f>
        <v>vnet-pf2-workload-aue-001</v>
      </c>
      <c r="E8" s="105" t="s">
        <v>486</v>
      </c>
      <c r="F8" s="103" t="s">
        <v>3149</v>
      </c>
      <c r="G8" s="150" t="s">
        <v>3161</v>
      </c>
      <c r="H8" s="143"/>
      <c r="I8" s="61" t="s">
        <v>61</v>
      </c>
      <c r="J8" s="17" t="str">
        <f t="shared" si="0"/>
        <v>appfbpf2odb11.ninp.myhealthrecord.gov.au</v>
      </c>
      <c r="K8" s="149" t="s">
        <v>3151</v>
      </c>
      <c r="L8" s="60" t="str">
        <f>_xlfn.CONCAT("nsg-",FGSpecs[[#This Row],[Subnet]])</f>
        <v>nsg-sn-pfb-aue-pf2-database</v>
      </c>
      <c r="M8" s="62" t="str">
        <f t="shared" si="3"/>
        <v>asg-appfbpero</v>
      </c>
      <c r="N8" s="63" t="str">
        <f t="shared" si="4"/>
        <v>disk-appfbperodb-001</v>
      </c>
      <c r="O8" s="12" t="s">
        <v>3152</v>
      </c>
      <c r="P8" s="140">
        <v>1521</v>
      </c>
      <c r="Q8" s="140">
        <v>1522</v>
      </c>
      <c r="R8" s="28" t="s">
        <v>3153</v>
      </c>
      <c r="S8" s="29" t="s">
        <v>3154</v>
      </c>
      <c r="T8" s="141" t="s">
        <v>3155</v>
      </c>
      <c r="U8" s="28" t="s">
        <v>3153</v>
      </c>
      <c r="V8" s="16" t="str">
        <f>DefaultTagReference!$A$1&amp;CHAR(10)&amp;"Application Name: """&amp;"FlashGrid Cluster"&amp;""""&amp;CHAR(10)&amp;"Application Service: """&amp;"Database"&amp;""""&amp;CHAR(10)&amp;"Lifecycle: """&amp;UPPER(MID('FG Specs'!F8,3,3))&amp;""""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"FlashGrid Cluster"
Application Service: "Database"
Lifecycle: "PFB"</v>
      </c>
      <c r="W8" s="12"/>
    </row>
    <row r="9" spans="1:23" ht="39.75" customHeight="1" x14ac:dyDescent="0.35">
      <c r="A9" s="18" t="str">
        <f>_xlfn.XLOOKUP(E9,NetworkReference[Subnet],NetworkReference[Subscription])</f>
        <v>NINP-PERF2</v>
      </c>
      <c r="B9" s="17" t="str">
        <f>_xlfn.CONCAT("rg-",MID(E9,4,3),"-",VLOOKUP(A9,NetworkReference[[#All],[Subscription]:[ShortSub]],2,FALSE),"-database",IF(FGSpecs[[#This Row],[Region]]="Australia East","-aue"," -aus"),"-001")</f>
        <v>rg-pfb-pf2-database-aue-001</v>
      </c>
      <c r="C9" s="17" t="str">
        <f>_xlfn.XLOOKUP(E9,NetworkReference[Subnet],NetworkReference[Virtual Network Resource Group])</f>
        <v>rg-pf2-network-aue-001</v>
      </c>
      <c r="D9" s="17" t="str">
        <f>_xlfn.XLOOKUP(E9,NetworkReference[Subnet],NetworkReference[Virtual Network])</f>
        <v>vnet-pf2-workload-aue-001</v>
      </c>
      <c r="E9" s="105" t="s">
        <v>486</v>
      </c>
      <c r="F9" s="103" t="s">
        <v>3149</v>
      </c>
      <c r="G9" s="150" t="s">
        <v>3162</v>
      </c>
      <c r="H9" s="142"/>
      <c r="I9" s="61" t="s">
        <v>61</v>
      </c>
      <c r="J9" s="17" t="str">
        <f t="shared" si="0"/>
        <v>appfbpf2odb12.ninp.myhealthrecord.gov.au</v>
      </c>
      <c r="K9" s="149" t="s">
        <v>3151</v>
      </c>
      <c r="L9" s="60" t="str">
        <f>_xlfn.CONCAT("nsg-",FGSpecs[[#This Row],[Subnet]])</f>
        <v>nsg-sn-pfb-aue-pf2-database</v>
      </c>
      <c r="M9" s="62" t="str">
        <f t="shared" si="3"/>
        <v>asg-appfbpero</v>
      </c>
      <c r="N9" s="63" t="str">
        <f t="shared" si="4"/>
        <v>disk-appfbperodb-001</v>
      </c>
      <c r="O9" s="12" t="s">
        <v>3152</v>
      </c>
      <c r="P9" s="140">
        <v>1521</v>
      </c>
      <c r="Q9" s="140">
        <v>1522</v>
      </c>
      <c r="R9" s="28" t="s">
        <v>3153</v>
      </c>
      <c r="S9" s="29" t="s">
        <v>3154</v>
      </c>
      <c r="T9" s="141" t="s">
        <v>3155</v>
      </c>
      <c r="U9" s="28" t="s">
        <v>3153</v>
      </c>
      <c r="V9" s="16" t="str">
        <f>DefaultTagReference!$A$1&amp;CHAR(10)&amp;"Application Name: """&amp;"FlashGrid Cluster"&amp;""""&amp;CHAR(10)&amp;"Application Service: """&amp;"Database"&amp;""""&amp;CHAR(10)&amp;"Lifecycle: """&amp;UPPER(MID('FG Specs'!F9,3,3))&amp;""""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"FlashGrid Cluster"
Application Service: "Database"
Lifecycle: "PFB"</v>
      </c>
      <c r="W9" s="12"/>
    </row>
    <row r="10" spans="1:23" ht="39.75" customHeight="1" x14ac:dyDescent="0.35">
      <c r="A10" s="18" t="str">
        <f>_xlfn.XLOOKUP(E10,NetworkReference[Subnet],NetworkReference[Subscription])</f>
        <v>NINP-PERF2</v>
      </c>
      <c r="B10" s="17" t="str">
        <f>_xlfn.CONCAT("rg-",MID(E10,4,3),"-",VLOOKUP(A10,NetworkReference[[#All],[Subscription]:[ShortSub]],2,FALSE),"-database",IF(FGSpecs[[#This Row],[Region]]="Australia East","-aue"," -aus"),"-001")</f>
        <v>rg-pfb-pf2-database-aue-001</v>
      </c>
      <c r="C10" s="17" t="str">
        <f>_xlfn.XLOOKUP(E10,NetworkReference[Subnet],NetworkReference[Virtual Network Resource Group])</f>
        <v>rg-pf2-network-aue-001</v>
      </c>
      <c r="D10" s="17" t="str">
        <f>_xlfn.XLOOKUP(E10,NetworkReference[Subnet],NetworkReference[Virtual Network])</f>
        <v>vnet-pf2-workload-aue-001</v>
      </c>
      <c r="E10" s="105" t="s">
        <v>486</v>
      </c>
      <c r="F10" s="103" t="s">
        <v>3149</v>
      </c>
      <c r="G10" s="151" t="s">
        <v>3163</v>
      </c>
      <c r="H10" s="142"/>
      <c r="I10" s="61" t="s">
        <v>61</v>
      </c>
      <c r="J10" s="17" t="str">
        <f t="shared" si="0"/>
        <v>appfbpf2odb13.ninp.myhealthrecord.gov.au</v>
      </c>
      <c r="K10" s="149" t="s">
        <v>3151</v>
      </c>
      <c r="L10" s="60" t="str">
        <f>_xlfn.CONCAT("nsg-",FGSpecs[[#This Row],[Subnet]])</f>
        <v>nsg-sn-pfb-aue-pf2-database</v>
      </c>
      <c r="M10" s="62" t="str">
        <f t="shared" si="3"/>
        <v>asg-appfbpero</v>
      </c>
      <c r="N10" s="63" t="str">
        <f t="shared" si="4"/>
        <v>disk-appfbperodb-001</v>
      </c>
      <c r="O10" s="12" t="s">
        <v>3152</v>
      </c>
      <c r="P10" s="140">
        <v>1521</v>
      </c>
      <c r="Q10" s="140">
        <v>1522</v>
      </c>
      <c r="R10" s="28" t="s">
        <v>3153</v>
      </c>
      <c r="S10" s="29" t="s">
        <v>3154</v>
      </c>
      <c r="T10" s="141" t="s">
        <v>3155</v>
      </c>
      <c r="U10" s="28" t="s">
        <v>3153</v>
      </c>
      <c r="V10" s="16" t="str">
        <f>DefaultTagReference!$A$1&amp;CHAR(10)&amp;"Application Name: """&amp;"FlashGrid Cluster"&amp;""""&amp;CHAR(10)&amp;"Application Service: """&amp;"Database"&amp;""""&amp;CHAR(10)&amp;"Lifecycle: """&amp;UPPER(MID('FG Specs'!F10,3,3))&amp;""""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"FlashGrid Cluster"
Application Service: "Database"
Lifecycle: "PFB"</v>
      </c>
      <c r="W10" s="12"/>
    </row>
    <row r="11" spans="1:23" ht="39.75" customHeight="1" x14ac:dyDescent="0.35"/>
    <row r="12" spans="1:23" ht="39.75" customHeight="1" x14ac:dyDescent="0.35"/>
  </sheetData>
  <phoneticPr fontId="13" type="noConversion"/>
  <conditionalFormatting sqref="J21:J1048576 E11:E20 F1:F10">
    <cfRule type="duplicateValues" dxfId="82" priority="11"/>
  </conditionalFormatting>
  <conditionalFormatting sqref="G1:H1">
    <cfRule type="duplicateValues" dxfId="81" priority="8"/>
  </conditionalFormatting>
  <conditionalFormatting sqref="F4">
    <cfRule type="duplicateValues" dxfId="80" priority="7"/>
  </conditionalFormatting>
  <conditionalFormatting sqref="F5:F6">
    <cfRule type="duplicateValues" dxfId="79" priority="6"/>
  </conditionalFormatting>
  <conditionalFormatting sqref="F7">
    <cfRule type="duplicateValues" dxfId="78" priority="5"/>
  </conditionalFormatting>
  <conditionalFormatting sqref="F8:F9">
    <cfRule type="duplicateValues" dxfId="77" priority="4"/>
  </conditionalFormatting>
  <conditionalFormatting sqref="F10">
    <cfRule type="duplicateValues" dxfId="76" priority="3"/>
  </conditionalFormatting>
  <dataValidations count="1">
    <dataValidation type="list" allowBlank="1" showInputMessage="1" showErrorMessage="1" sqref="I2:I10" xr:uid="{5B3EF1DA-93E0-4742-8B8B-063E448830C2}">
      <formula1>Region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78C851-5839-4D34-8061-95D460F7BE8C}">
          <x14:formula1>
            <xm:f>NetworkReference!$G$2:$G$299</xm:f>
          </x14:formula1>
          <xm:sqref>E2:E10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E4A8-6705-4162-A26D-E36329071005}">
  <sheetPr codeName="Sheet5"/>
  <dimension ref="A1:L18"/>
  <sheetViews>
    <sheetView workbookViewId="0">
      <selection activeCell="C37" sqref="C37"/>
    </sheetView>
  </sheetViews>
  <sheetFormatPr defaultRowHeight="14.5" x14ac:dyDescent="0.35"/>
  <cols>
    <col min="1" max="1" width="31.1796875" bestFit="1" customWidth="1"/>
    <col min="2" max="2" width="37.81640625" bestFit="1" customWidth="1"/>
    <col min="3" max="3" width="22.1796875" bestFit="1" customWidth="1"/>
    <col min="4" max="4" width="17.54296875" bestFit="1" customWidth="1"/>
    <col min="5" max="5" width="12.54296875" bestFit="1" customWidth="1"/>
    <col min="6" max="6" width="16.453125" customWidth="1"/>
    <col min="7" max="7" width="33.26953125" bestFit="1" customWidth="1"/>
    <col min="8" max="8" width="23.7265625" bestFit="1" customWidth="1"/>
    <col min="9" max="9" width="24.54296875" bestFit="1" customWidth="1"/>
    <col min="10" max="10" width="33" customWidth="1"/>
    <col min="11" max="11" width="41.54296875" bestFit="1" customWidth="1"/>
    <col min="12" max="12" width="75.1796875" bestFit="1" customWidth="1"/>
  </cols>
  <sheetData>
    <row r="1" spans="1:12" x14ac:dyDescent="0.35">
      <c r="G1" s="157" t="s">
        <v>3164</v>
      </c>
      <c r="H1" s="158"/>
      <c r="I1" s="158"/>
      <c r="J1" s="159"/>
    </row>
    <row r="2" spans="1:12" ht="31.5" thickBot="1" x14ac:dyDescent="0.4">
      <c r="A2" s="2" t="s">
        <v>0</v>
      </c>
      <c r="B2" s="3" t="s">
        <v>3165</v>
      </c>
      <c r="C2" s="3" t="s">
        <v>3166</v>
      </c>
      <c r="D2" s="2" t="s">
        <v>3</v>
      </c>
      <c r="E2" s="2" t="s">
        <v>3167</v>
      </c>
      <c r="F2" s="2" t="s">
        <v>3168</v>
      </c>
      <c r="G2" s="5" t="s">
        <v>3169</v>
      </c>
      <c r="H2" s="5" t="s">
        <v>3170</v>
      </c>
      <c r="I2" s="5" t="s">
        <v>3171</v>
      </c>
      <c r="J2" s="5" t="s">
        <v>3172</v>
      </c>
      <c r="K2" s="2" t="s">
        <v>4</v>
      </c>
      <c r="L2" s="2" t="s">
        <v>5</v>
      </c>
    </row>
    <row r="3" spans="1:12" ht="15" thickTop="1" x14ac:dyDescent="0.35">
      <c r="A3" s="154" t="s">
        <v>3173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6"/>
    </row>
    <row r="4" spans="1:12" ht="87" x14ac:dyDescent="0.35">
      <c r="B4" s="15"/>
      <c r="C4" s="15"/>
      <c r="D4" s="15"/>
      <c r="E4" s="15"/>
      <c r="F4" s="15"/>
      <c r="G4" s="15"/>
      <c r="H4" s="15"/>
      <c r="I4" s="15"/>
      <c r="J4" s="15"/>
      <c r="K4" s="12" t="s">
        <v>3174</v>
      </c>
      <c r="L4" s="12" t="s">
        <v>3175</v>
      </c>
    </row>
    <row r="18" spans="2:2" x14ac:dyDescent="0.35">
      <c r="B18" s="12"/>
    </row>
  </sheetData>
  <mergeCells count="2">
    <mergeCell ref="A3:L3"/>
    <mergeCell ref="G1:J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8793-172A-4332-BAAE-C8F48E7C713D}">
  <sheetPr codeName="Sheet6"/>
  <dimension ref="A1:W280"/>
  <sheetViews>
    <sheetView tabSelected="1" topLeftCell="R1" workbookViewId="0">
      <selection activeCell="U26" sqref="U26"/>
    </sheetView>
  </sheetViews>
  <sheetFormatPr defaultRowHeight="14.5" x14ac:dyDescent="0.35"/>
  <cols>
    <col min="1" max="1" width="20.81640625" bestFit="1" customWidth="1"/>
    <col min="2" max="2" width="29" customWidth="1"/>
    <col min="3" max="3" width="69.7265625" hidden="1" customWidth="1"/>
    <col min="4" max="4" width="45.453125" customWidth="1"/>
    <col min="5" max="5" width="35.26953125" customWidth="1"/>
    <col min="6" max="6" width="27.1796875" bestFit="1" customWidth="1"/>
    <col min="7" max="7" width="10.81640625" customWidth="1"/>
    <col min="8" max="8" width="14.26953125" customWidth="1"/>
    <col min="9" max="9" width="29.1796875" customWidth="1"/>
    <col min="10" max="10" width="19.26953125" customWidth="1"/>
    <col min="11" max="11" width="34.54296875" bestFit="1" customWidth="1"/>
    <col min="12" max="12" width="21.453125" customWidth="1"/>
    <col min="13" max="13" width="24.7265625" customWidth="1"/>
    <col min="14" max="14" width="21.1796875" hidden="1" customWidth="1"/>
    <col min="15" max="15" width="22.81640625" hidden="1" customWidth="1"/>
    <col min="16" max="16" width="55.26953125" hidden="1" customWidth="1"/>
    <col min="17" max="17" width="255.6328125" bestFit="1" customWidth="1"/>
    <col min="18" max="18" width="22.1796875" customWidth="1"/>
    <col min="19" max="19" width="73.453125" customWidth="1"/>
    <col min="20" max="20" width="19.26953125" customWidth="1"/>
    <col min="21" max="21" width="69" customWidth="1"/>
    <col min="22" max="22" width="16.08984375" customWidth="1"/>
  </cols>
  <sheetData>
    <row r="1" spans="1:23" ht="39" x14ac:dyDescent="0.35">
      <c r="A1" s="33" t="s">
        <v>3176</v>
      </c>
      <c r="B1" s="33" t="s">
        <v>3177</v>
      </c>
      <c r="C1" s="33" t="s">
        <v>3178</v>
      </c>
      <c r="D1" s="33" t="s">
        <v>3179</v>
      </c>
      <c r="E1" s="36" t="s">
        <v>3180</v>
      </c>
      <c r="F1" s="33" t="s">
        <v>3181</v>
      </c>
      <c r="G1" s="33" t="s">
        <v>3182</v>
      </c>
      <c r="H1" s="36" t="s">
        <v>3183</v>
      </c>
      <c r="I1" s="36" t="s">
        <v>3184</v>
      </c>
      <c r="J1" s="36" t="s">
        <v>3185</v>
      </c>
      <c r="K1" s="34" t="s">
        <v>3186</v>
      </c>
      <c r="L1" s="34" t="s">
        <v>3187</v>
      </c>
      <c r="M1" s="38" t="s">
        <v>3188</v>
      </c>
      <c r="N1" s="38" t="s">
        <v>3189</v>
      </c>
      <c r="O1" s="38" t="s">
        <v>3190</v>
      </c>
      <c r="P1" s="38" t="s">
        <v>3191</v>
      </c>
      <c r="Q1" s="38" t="s">
        <v>3192</v>
      </c>
      <c r="R1" s="38" t="s">
        <v>3193</v>
      </c>
      <c r="S1" s="34" t="s">
        <v>3194</v>
      </c>
      <c r="T1" s="34" t="s">
        <v>3195</v>
      </c>
      <c r="U1" s="35" t="s">
        <v>3196</v>
      </c>
      <c r="V1" s="34" t="s">
        <v>3197</v>
      </c>
      <c r="W1" s="34" t="s">
        <v>3198</v>
      </c>
    </row>
    <row r="2" spans="1:23" hidden="1" x14ac:dyDescent="0.35">
      <c r="A2" s="138" t="s">
        <v>3199</v>
      </c>
      <c r="B2" s="138" t="s">
        <v>3200</v>
      </c>
      <c r="C2" s="30" t="s">
        <v>3201</v>
      </c>
      <c r="D2" s="30" t="s">
        <v>3202</v>
      </c>
      <c r="E2" s="31" t="str">
        <f>SUBSTITUTE(NfsExports[[#This Row],[FMO Volume Name]],"_","-")</f>
        <v>t3-nfs-1</v>
      </c>
      <c r="F2" s="30" t="s">
        <v>3203</v>
      </c>
      <c r="G2" s="30">
        <v>11000</v>
      </c>
      <c r="H2" s="31">
        <f>MAX(NfsExports[[#This Row],[Required Quota (GB)]],100)</f>
        <v>11000</v>
      </c>
      <c r="I2">
        <v>64</v>
      </c>
      <c r="K2" s="30" t="s">
        <v>3204</v>
      </c>
      <c r="L2" s="30"/>
      <c r="M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/>
      </c>
      <c r="N2" t="str" cm="1">
        <f t="array" ref="N2">_xlfn.TEXTJOIN(",",TRUE,IF(NfsExports[[#This Row],[FMO Volume Name]]=NfsExportsVNets[FMO Volume Name],NfsExportsVNets[FMO Vnet Subnet],""))</f>
        <v>10.98.40.0/21</v>
      </c>
      <c r="O2" s="56" t="str" cm="1">
        <f t="array" ref="O2">_xlfn.TEXTJOIN(",",TRUE,IF(NfsExports[[#This Row],[FMO Volume Name]]=NfsExportsSubnets[FMO Volume Name],NfsExportsSubnets[FMO Subnet CIDR],""))</f>
        <v/>
      </c>
      <c r="P2" t="str" cm="1">
        <f t="array" ref="P2">IFERROR(_xlfn.TEXTJOIN(",",TRUE,_xlfn._xlws.FILTER(NfsExportsServices[FMO VM Name Summary],NfsExports[[#This Row],[FMO Volume Name]]=NfsExportsServices[FMO Volume Name])),"")</f>
        <v/>
      </c>
      <c r="Q2" s="31" t="str">
        <f>_xlfn.TEXTJOIN(",",TRUE,NfsExports[[#This Row],[FMO Export Override]:[FMO Export Service IPs]])</f>
        <v>10.98.40.0/21</v>
      </c>
      <c r="R2" s="31" t="str">
        <f>NfsExports[[#This Row],[FMO Mount Path Estimated]]&amp;" "&amp;NfsExports[[#This Row],[Required Quota (GB)]]&amp;"GB"</f>
        <v>/t3_nfs_1 11000GB</v>
      </c>
      <c r="S2" s="31" t="s">
        <v>3205</v>
      </c>
      <c r="T2" s="31" t="s">
        <v>4723</v>
      </c>
      <c r="U2" s="32" t="s">
        <v>3206</v>
      </c>
      <c r="V2">
        <v>12.8</v>
      </c>
      <c r="W2" s="145">
        <f>MAX(0,NfsExports[[#This Row],[Prospective throughput]]-(NfsExports[[#This Row],[Configured Quota (GB)]]*0.064))</f>
        <v>0</v>
      </c>
    </row>
    <row r="3" spans="1:23" hidden="1" x14ac:dyDescent="0.35">
      <c r="A3" s="138" t="s">
        <v>3199</v>
      </c>
      <c r="B3" s="138" t="s">
        <v>3200</v>
      </c>
      <c r="C3" s="30" t="s">
        <v>3207</v>
      </c>
      <c r="D3" s="30" t="s">
        <v>3208</v>
      </c>
      <c r="E3" s="31" t="str">
        <f>SUBSTITUTE(NfsExports[[#This Row],[FMO Volume Name]],"_","-")</f>
        <v>t4-nfs-1</v>
      </c>
      <c r="F3" s="30" t="s">
        <v>3209</v>
      </c>
      <c r="G3" s="30">
        <v>3000</v>
      </c>
      <c r="H3" s="31">
        <f>MAX(NfsExports[[#This Row],[Required Quota (GB)]],100)</f>
        <v>3000</v>
      </c>
      <c r="I3">
        <v>20</v>
      </c>
      <c r="K3" s="30" t="s">
        <v>3204</v>
      </c>
      <c r="L3" s="30"/>
      <c r="M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/>
      </c>
      <c r="N3" t="str" cm="1">
        <f t="array" ref="N3">_xlfn.TEXTJOIN(",",TRUE,IF(NfsExports[[#This Row],[FMO Volume Name]]=NfsExportsVNets[FMO Volume Name],NfsExportsVNets[FMO Vnet Subnet],""))</f>
        <v>10.98.40.0/21</v>
      </c>
      <c r="O3" t="str" cm="1">
        <f t="array" ref="O3">_xlfn.TEXTJOIN(",",TRUE,IF(NfsExports[[#This Row],[FMO Volume Name]]=NfsExportsSubnets[FMO Volume Name],NfsExportsSubnets[FMO Subnet CIDR],""))</f>
        <v/>
      </c>
      <c r="P3" t="str" cm="1">
        <f t="array" ref="P3">IFERROR(_xlfn.TEXTJOIN(",",TRUE,_xlfn._xlws.FILTER(NfsExportsServices[FMO VM Name Summary],NfsExports[[#This Row],[FMO Volume Name]]=NfsExportsServices[FMO Volume Name])),"")</f>
        <v/>
      </c>
      <c r="Q3" s="31" t="str">
        <f>_xlfn.TEXTJOIN(",",TRUE,NfsExports[[#This Row],[FMO Export Override]:[FMO Export Service IPs]])</f>
        <v>10.98.40.0/21</v>
      </c>
      <c r="R3" s="31" t="str">
        <f>NfsExports[[#This Row],[FMO Mount Path Estimated]]&amp;" "&amp;NfsExports[[#This Row],[Required Quota (GB)]]&amp;"GB"</f>
        <v>/t4_nfs_1 3000GB</v>
      </c>
      <c r="S3" s="31" t="s">
        <v>3205</v>
      </c>
      <c r="T3" s="31" t="s">
        <v>4723</v>
      </c>
      <c r="U3" s="32" t="s">
        <v>3210</v>
      </c>
      <c r="W3" s="31">
        <f>MAX(0,NfsExports[[#This Row],[Prospective throughput]]-(NfsExports[[#This Row],[Configured Quota (GB)]]*0.064))</f>
        <v>0</v>
      </c>
    </row>
    <row r="4" spans="1:23" hidden="1" x14ac:dyDescent="0.35">
      <c r="A4" s="138" t="s">
        <v>3199</v>
      </c>
      <c r="B4" s="138" t="s">
        <v>3200</v>
      </c>
      <c r="C4" s="30" t="s">
        <v>3211</v>
      </c>
      <c r="D4" s="30" t="s">
        <v>3212</v>
      </c>
      <c r="E4" s="31" t="str">
        <f>SUBSTITUTE(NfsExports[[#This Row],[FMO Volume Name]],"_","-")</f>
        <v>npt1qzone</v>
      </c>
      <c r="F4" s="30" t="s">
        <v>3213</v>
      </c>
      <c r="G4" s="30">
        <v>60</v>
      </c>
      <c r="H4" s="31">
        <f>MAX(NfsExports[[#This Row],[Required Quota (GB)]],100)</f>
        <v>100</v>
      </c>
      <c r="I4">
        <v>12.8</v>
      </c>
      <c r="K4" s="30" t="s">
        <v>3214</v>
      </c>
      <c r="L4" s="30"/>
      <c r="M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/>
      </c>
      <c r="N4" t="str" cm="1">
        <f t="array" ref="N4">_xlfn.TEXTJOIN(",",TRUE,IF(NfsExports[[#This Row],[FMO Volume Name]]=NfsExportsVNets[FMO Volume Name],NfsExportsVNets[FMO Vnet Subnet],""))</f>
        <v/>
      </c>
      <c r="O4" t="str" cm="1">
        <f t="array" ref="O4">_xlfn.TEXTJOIN(",",TRUE,IF(NfsExports[[#This Row],[FMO Volume Name]]=NfsExportsSubnets[FMO Volume Name],NfsExportsSubnets[FMO Subnet CIDR],""))</f>
        <v/>
      </c>
      <c r="P4" t="str" cm="1">
        <f t="array" ref="P4">IFERROR(_xlfn.TEXTJOIN(",",TRUE,_xlfn._xlws.FILTER(NfsExportsServices[FMO VM Name Summary],NfsExports[[#This Row],[FMO Volume Name]]=NfsExportsServices[FMO Volume Name])),"")</f>
        <v>10.98.72.80,10.98.72.81,10.98.72.82,10.98.72.83,10.98.72.84,10.98.72.85,10.98.72.86,10.98.72.87,10.98.72.88,10.98.72.89,10.98.72.90,10.98.72.91,10.98.72.92,10.98.72.93,10.98.72.52,10.98.72.53,10.98.72.54,10.98.72.55,10.98.72.56,10.98.72.57,10.98.72.58,10.98.72.59,10.98.72.60,10.98.72.61,10.98.72.62,10.98.72.63,10.98.72.11,10.98.72.12,10.98.72.13,10.98.72.14,10.98.72.15,10.98.72.16,10.98.72.17,10.98.72.18</v>
      </c>
      <c r="Q4" s="31" t="str">
        <f>_xlfn.TEXTJOIN(",",TRUE,NfsExports[[#This Row],[FMO Export Override]:[FMO Export Service IPs]])</f>
        <v>10.98.72.80,10.98.72.81,10.98.72.82,10.98.72.83,10.98.72.84,10.98.72.85,10.98.72.86,10.98.72.87,10.98.72.88,10.98.72.89,10.98.72.90,10.98.72.91,10.98.72.92,10.98.72.93,10.98.72.52,10.98.72.53,10.98.72.54,10.98.72.55,10.98.72.56,10.98.72.57,10.98.72.58,10.98.72.59,10.98.72.60,10.98.72.61,10.98.72.62,10.98.72.63,10.98.72.11,10.98.72.12,10.98.72.13,10.98.72.14,10.98.72.15,10.98.72.16,10.98.72.17,10.98.72.18</v>
      </c>
      <c r="R4" s="31" t="str">
        <f>NfsExports[[#This Row],[FMO Mount Path Estimated]]&amp;" "&amp;NfsExports[[#This Row],[Required Quota (GB)]]&amp;"GB"</f>
        <v>/apps/nfs/npt1qzone 60GB</v>
      </c>
      <c r="S4" s="31" t="s">
        <v>3205</v>
      </c>
      <c r="T4" s="31" t="s">
        <v>4723</v>
      </c>
      <c r="U4" s="32" t="s">
        <v>3215</v>
      </c>
      <c r="W4" s="31">
        <f>MAX(0,NfsExports[[#This Row],[Prospective throughput]]-(NfsExports[[#This Row],[Configured Quota (GB)]]*0.064))</f>
        <v>0</v>
      </c>
    </row>
    <row r="5" spans="1:23" x14ac:dyDescent="0.35">
      <c r="A5" s="138" t="s">
        <v>3199</v>
      </c>
      <c r="B5" s="138" t="s">
        <v>3216</v>
      </c>
      <c r="C5" s="30" t="s">
        <v>3217</v>
      </c>
      <c r="D5" s="30" t="s">
        <v>3218</v>
      </c>
      <c r="E5" s="31" t="str">
        <f>SUBSTITUTE(NfsExports[[#This Row],[FMO Volume Name]],"_","-")</f>
        <v>npt2qzone-pfb</v>
      </c>
      <c r="F5" s="30" t="s">
        <v>4725</v>
      </c>
      <c r="G5" s="30">
        <v>50</v>
      </c>
      <c r="H5" s="31">
        <f>MAX(NfsExports[[#This Row],[Required Quota (GB)]],100)</f>
        <v>100</v>
      </c>
      <c r="I5">
        <v>12.8</v>
      </c>
      <c r="K5" s="30" t="s">
        <v>3219</v>
      </c>
      <c r="L5" s="30"/>
      <c r="M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/>
      </c>
      <c r="N5" t="str" cm="1">
        <f t="array" ref="N5">_xlfn.TEXTJOIN(",",TRUE,IF(NfsExports[[#This Row],[FMO Volume Name]]=NfsExportsVNets[FMO Volume Name],NfsExportsVNets[FMO Vnet Subnet],""))</f>
        <v/>
      </c>
      <c r="O5" t="str" cm="1">
        <f t="array" ref="O5">_xlfn.TEXTJOIN(",",TRUE,IF(NfsExports[[#This Row],[FMO Volume Name]]=NfsExportsSubnets[FMO Volume Name],NfsExportsSubnets[FMO Subnet CIDR],""))</f>
        <v/>
      </c>
      <c r="P5" t="str" cm="1">
        <f t="array" ref="P5">IFERROR(_xlfn.TEXTJOIN(",",TRUE,_xlfn._xlws.FILTER(NfsExportsServices[FMO VM Name Summary],NfsExports[[#This Row],[FMO Volume Name]]=NfsExportsServices[FMO Volume Name])),"")</f>
        <v>10.98.73.23,10.98.73.24,10.98.73.25,10.98.73.26,10.98.73.27,10.98.73.28,10.98.73.29,10.98.73.30,10.98.73.31,10.98.73.32,10.98.73.33,10.98.73.34,10.98.73.35,10.98.73.36,10.98.73.37,10.98.73.38,10.98.73.39,10.98.73.40,10.98.73.41,10.98.73.42,10.98.73.43,10.98.73.44,10.98.73.45,10.98.73.46,10.98.73.143,10.98.73.144,10.98.73.145,10.98.73.146,10.98.73.147,10.98.73.148,10.98.73.149,10.98.73.150,10.98.73.151,10.98.73.152,10.98.73.153,10.98.73.154,10.98.73.155,10.98.73.156,10.98.73.157,10.98.73.158,10.98.73.159,10.98.73.160,10.98.73.161,10.98.73.162,10.98.73.163,10.98.73.164,10.98.73.165,10.98.73.166,10.98.73.167,10.98.73.168,10.98.73.169,10.98.73.170,10.98.73.171,10.98.73.172,10.98.73.173,10.98.73.175,10.98.73.176,10.98.73.177,10.98.73.178,10.98.73.179,10.98.73.180,10.98.73.181,10.98.73.182,10.98.73.183,10.98.73.184,10.98.73.11,10.98.73.12,10.98.73.13,10.98.73.14,10.98.73.15,10.98.73.16,10.98.73.17,10.98.73.18,10.98.73.19,10.98.73.20,10.98.73.21,10.98.73.22,10.98.72.94,10.98.72.95,10.98.72.96,10.98.72.97,10.98.72.98,10.98.72.99,10.98.72.100</v>
      </c>
      <c r="Q5" s="31" t="str">
        <f>_xlfn.TEXTJOIN(",",TRUE,NfsExports[[#This Row],[FMO Export Override]:[FMO Export Service IPs]])</f>
        <v>10.98.73.23,10.98.73.24,10.98.73.25,10.98.73.26,10.98.73.27,10.98.73.28,10.98.73.29,10.98.73.30,10.98.73.31,10.98.73.32,10.98.73.33,10.98.73.34,10.98.73.35,10.98.73.36,10.98.73.37,10.98.73.38,10.98.73.39,10.98.73.40,10.98.73.41,10.98.73.42,10.98.73.43,10.98.73.44,10.98.73.45,10.98.73.46,10.98.73.143,10.98.73.144,10.98.73.145,10.98.73.146,10.98.73.147,10.98.73.148,10.98.73.149,10.98.73.150,10.98.73.151,10.98.73.152,10.98.73.153,10.98.73.154,10.98.73.155,10.98.73.156,10.98.73.157,10.98.73.158,10.98.73.159,10.98.73.160,10.98.73.161,10.98.73.162,10.98.73.163,10.98.73.164,10.98.73.165,10.98.73.166,10.98.73.167,10.98.73.168,10.98.73.169,10.98.73.170,10.98.73.171,10.98.73.172,10.98.73.173,10.98.73.175,10.98.73.176,10.98.73.177,10.98.73.178,10.98.73.179,10.98.73.180,10.98.73.181,10.98.73.182,10.98.73.183,10.98.73.184,10.98.73.11,10.98.73.12,10.98.73.13,10.98.73.14,10.98.73.15,10.98.73.16,10.98.73.17,10.98.73.18,10.98.73.19,10.98.73.20,10.98.73.21,10.98.73.22,10.98.72.94,10.98.72.95,10.98.72.96,10.98.72.97,10.98.72.98,10.98.72.99,10.98.72.100</v>
      </c>
      <c r="R5" s="31" t="str">
        <f>NfsExports[[#This Row],[FMO Mount Path Estimated]]&amp;" "&amp;NfsExports[[#This Row],[Required Quota (GB)]]&amp;"GB"</f>
        <v>/apps/nfs/npt2qzone_pfb 50GB</v>
      </c>
      <c r="S5" s="31" t="s">
        <v>3205</v>
      </c>
      <c r="T5" s="31" t="s">
        <v>4723</v>
      </c>
      <c r="U5" s="32" t="s">
        <v>4742</v>
      </c>
      <c r="W5" s="31">
        <f>MAX(0,NfsExports[[#This Row],[Prospective throughput]]-(NfsExports[[#This Row],[Configured Quota (GB)]]*0.064))</f>
        <v>0</v>
      </c>
    </row>
    <row r="6" spans="1:23" x14ac:dyDescent="0.35">
      <c r="A6" s="138" t="s">
        <v>3199</v>
      </c>
      <c r="B6" s="138" t="s">
        <v>3216</v>
      </c>
      <c r="C6" s="30" t="s">
        <v>3220</v>
      </c>
      <c r="D6" s="30" t="s">
        <v>3221</v>
      </c>
      <c r="E6" s="30" t="str">
        <f>SUBSTITUTE(NfsExports[[#This Row],[FMO Volume Name]],"_","-")</f>
        <v>pft1qzone-pfb</v>
      </c>
      <c r="F6" s="30" t="s">
        <v>4726</v>
      </c>
      <c r="G6" s="30">
        <v>15</v>
      </c>
      <c r="H6" s="31">
        <f>MAX(NfsExports[[#This Row],[Required Quota (GB)]],100)</f>
        <v>100</v>
      </c>
      <c r="I6">
        <v>12.8</v>
      </c>
      <c r="K6" s="30" t="s">
        <v>3222</v>
      </c>
      <c r="L6" s="30"/>
      <c r="M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/>
      </c>
      <c r="N6" t="str" cm="1">
        <f t="array" ref="N6">_xlfn.TEXTJOIN(",",TRUE,IF(NfsExports[[#This Row],[FMO Volume Name]]=NfsExportsVNets[FMO Volume Name],NfsExportsVNets[FMO Vnet Subnet],""))</f>
        <v/>
      </c>
      <c r="O6" t="str" cm="1">
        <f t="array" ref="O6">_xlfn.TEXTJOIN(",",TRUE,IF(NfsExports[[#This Row],[FMO Volume Name]]=NfsExportsSubnets[FMO Volume Name],NfsExportsSubnets[FMO Subnet CIDR],""))</f>
        <v/>
      </c>
      <c r="P6" t="str" cm="1">
        <f t="array" ref="P6">IFERROR(_xlfn.TEXTJOIN(",",TRUE,_xlfn._xlws.FILTER(NfsExportsServices[FMO VM Name Summary],NfsExports[[#This Row],[FMO Volume Name]]=NfsExportsServices[FMO Volume Name])),"")</f>
        <v>10.98.72.80,10.98.72.81,10.98.72.82,10.98.72.83,10.98.72.84,10.98.72.85,10.98.72.86,10.98.72.87,10.98.72.88,10.98.72.89,10.98.72.90,10.98.72.91,10.98.72.92,10.98.72.93,10.98.72.11,10.98.72.12,10.98.72.13,10.98.72.14,10.98.72.15,10.98.72.16,10.98.72.17,10.98.72.18,10.98.72.52,10.98.72.53,10.98.72.54,10.98.72.55,10.98.72.56,10.98.72.57,10.98.72.58,10.98.72.59,10.98.72.60,10.98.72.61,10.98.72.62,10.98.72.63,10.98.72.49,10.98.72.50</v>
      </c>
      <c r="Q6" s="31" t="str">
        <f>_xlfn.TEXTJOIN(",",TRUE,NfsExports[[#This Row],[FMO Export Override]:[FMO Export Service IPs]])</f>
        <v>10.98.72.80,10.98.72.81,10.98.72.82,10.98.72.83,10.98.72.84,10.98.72.85,10.98.72.86,10.98.72.87,10.98.72.88,10.98.72.89,10.98.72.90,10.98.72.91,10.98.72.92,10.98.72.93,10.98.72.11,10.98.72.12,10.98.72.13,10.98.72.14,10.98.72.15,10.98.72.16,10.98.72.17,10.98.72.18,10.98.72.52,10.98.72.53,10.98.72.54,10.98.72.55,10.98.72.56,10.98.72.57,10.98.72.58,10.98.72.59,10.98.72.60,10.98.72.61,10.98.72.62,10.98.72.63,10.98.72.49,10.98.72.50</v>
      </c>
      <c r="R6" s="31" t="str">
        <f>NfsExports[[#This Row],[FMO Mount Path Estimated]]&amp;" "&amp;NfsExports[[#This Row],[Required Quota (GB)]]&amp;"GB"</f>
        <v>/apps/nfs/pft1qzone_pfb 15GB</v>
      </c>
      <c r="S6" s="31"/>
      <c r="T6" s="31" t="s">
        <v>4723</v>
      </c>
      <c r="U6" s="32" t="s">
        <v>4743</v>
      </c>
      <c r="W6" s="31">
        <f>MAX(0,NfsExports[[#This Row],[Prospective throughput]]-(NfsExports[[#This Row],[Configured Quota (GB)]]*0.064))</f>
        <v>0</v>
      </c>
    </row>
    <row r="7" spans="1:23" x14ac:dyDescent="0.35">
      <c r="A7" s="138" t="s">
        <v>3199</v>
      </c>
      <c r="B7" s="138" t="s">
        <v>3216</v>
      </c>
      <c r="C7" s="30" t="s">
        <v>3223</v>
      </c>
      <c r="D7" s="30" t="s">
        <v>3224</v>
      </c>
      <c r="E7" s="30" t="str">
        <f>SUBSTITUTE(NfsExports[[#This Row],[FMO Volume Name]],"_","-")</f>
        <v>pft2qzone-pfb</v>
      </c>
      <c r="F7" s="30" t="s">
        <v>4727</v>
      </c>
      <c r="G7" s="30">
        <v>15</v>
      </c>
      <c r="H7" s="31">
        <f>MAX(NfsExports[[#This Row],[Required Quota (GB)]],100)</f>
        <v>100</v>
      </c>
      <c r="I7">
        <v>12.8</v>
      </c>
      <c r="K7" s="30" t="s">
        <v>3225</v>
      </c>
      <c r="L7" s="30"/>
      <c r="M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/>
      </c>
      <c r="N7" t="str" cm="1">
        <f t="array" ref="N7">_xlfn.TEXTJOIN(",",TRUE,IF(NfsExports[[#This Row],[FMO Volume Name]]=NfsExportsVNets[FMO Volume Name],NfsExportsVNets[FMO Vnet Subnet],""))</f>
        <v/>
      </c>
      <c r="O7" t="str" cm="1">
        <f t="array" ref="O7">_xlfn.TEXTJOIN(",",TRUE,IF(NfsExports[[#This Row],[FMO Volume Name]]=NfsExportsSubnets[FMO Volume Name],NfsExportsSubnets[FMO Subnet CIDR],""))</f>
        <v/>
      </c>
      <c r="P7" t="str" cm="1">
        <f t="array" ref="P7">IFERROR(_xlfn.TEXTJOIN(",",TRUE,_xlfn._xlws.FILTER(NfsExportsServices[FMO VM Name Summary],NfsExports[[#This Row],[FMO Volume Name]]=NfsExportsServices[FMO Volume Name])),"")</f>
        <v>10.98.73.23,10.98.73.24,10.98.73.25,10.98.73.26,10.98.73.27,10.98.73.28,10.98.73.29,10.98.73.30,10.98.73.31,10.98.73.32,10.98.73.33,10.98.73.34,10.98.73.35,10.98.73.36,10.98.73.37,10.98.73.38,10.98.73.39,10.98.73.40,10.98.73.41,10.98.73.42,10.98.73.43,10.98.73.44,10.98.73.45,10.98.73.46,10.98.73.143,10.98.73.144,10.98.73.145,10.98.73.146,10.98.73.147,10.98.73.148,10.98.73.149,10.98.73.150,10.98.73.151,10.98.73.152,10.98.73.153,10.98.73.154,10.98.73.155,10.98.73.156,10.98.73.157,10.98.73.158,10.98.73.159,10.98.73.160,10.98.73.161,10.98.73.162,10.98.73.163,10.98.73.164,10.98.73.165,10.98.73.166,10.98.73.167,10.98.73.168,10.98.73.169,10.98.73.170,10.98.73.171,10.98.73.172,10.98.73.173,10.98.73.175,10.98.73.176,10.98.73.177,10.98.73.178,10.98.73.179,10.98.73.180,10.98.73.181,10.98.73.182,10.98.73.183,10.98.73.184,10.98.73.11,10.98.73.12,10.98.73.13,10.98.73.14,10.98.73.15,10.98.73.16,10.98.73.17,10.98.73.18,10.98.73.19,10.98.73.20,10.98.73.21,10.98.73.22,10.98.72.94,10.98.72.95,10.98.72.96,10.98.72.97,10.98.72.98,10.98.72.99,10.98.72.100</v>
      </c>
      <c r="Q7" s="31" t="str">
        <f>_xlfn.TEXTJOIN(",",TRUE,NfsExports[[#This Row],[FMO Export Override]:[FMO Export Service IPs]])</f>
        <v>10.98.73.23,10.98.73.24,10.98.73.25,10.98.73.26,10.98.73.27,10.98.73.28,10.98.73.29,10.98.73.30,10.98.73.31,10.98.73.32,10.98.73.33,10.98.73.34,10.98.73.35,10.98.73.36,10.98.73.37,10.98.73.38,10.98.73.39,10.98.73.40,10.98.73.41,10.98.73.42,10.98.73.43,10.98.73.44,10.98.73.45,10.98.73.46,10.98.73.143,10.98.73.144,10.98.73.145,10.98.73.146,10.98.73.147,10.98.73.148,10.98.73.149,10.98.73.150,10.98.73.151,10.98.73.152,10.98.73.153,10.98.73.154,10.98.73.155,10.98.73.156,10.98.73.157,10.98.73.158,10.98.73.159,10.98.73.160,10.98.73.161,10.98.73.162,10.98.73.163,10.98.73.164,10.98.73.165,10.98.73.166,10.98.73.167,10.98.73.168,10.98.73.169,10.98.73.170,10.98.73.171,10.98.73.172,10.98.73.173,10.98.73.175,10.98.73.176,10.98.73.177,10.98.73.178,10.98.73.179,10.98.73.180,10.98.73.181,10.98.73.182,10.98.73.183,10.98.73.184,10.98.73.11,10.98.73.12,10.98.73.13,10.98.73.14,10.98.73.15,10.98.73.16,10.98.73.17,10.98.73.18,10.98.73.19,10.98.73.20,10.98.73.21,10.98.73.22,10.98.72.94,10.98.72.95,10.98.72.96,10.98.72.97,10.98.72.98,10.98.72.99,10.98.72.100</v>
      </c>
      <c r="R7" s="31" t="str">
        <f>NfsExports[[#This Row],[FMO Mount Path Estimated]]&amp;" "&amp;NfsExports[[#This Row],[Required Quota (GB)]]&amp;"GB"</f>
        <v>/apps/nfs/pft2qzone_pfb 15GB</v>
      </c>
      <c r="S7" s="31"/>
      <c r="T7" s="31" t="s">
        <v>4723</v>
      </c>
      <c r="U7" s="32" t="s">
        <v>4744</v>
      </c>
      <c r="W7" s="31">
        <f>MAX(0,NfsExports[[#This Row],[Prospective throughput]]-(NfsExports[[#This Row],[Configured Quota (GB)]]*0.064))</f>
        <v>0</v>
      </c>
    </row>
    <row r="8" spans="1:23" x14ac:dyDescent="0.35">
      <c r="A8" s="138" t="s">
        <v>3199</v>
      </c>
      <c r="B8" s="138" t="s">
        <v>3216</v>
      </c>
      <c r="C8" s="30" t="s">
        <v>3226</v>
      </c>
      <c r="D8" s="30" t="s">
        <v>3227</v>
      </c>
      <c r="E8" s="30" t="str">
        <f>SUBSTITUTE(NfsExports[[#This Row],[FMO Volume Name]],"_","-")</f>
        <v>t2-portal-pfb</v>
      </c>
      <c r="F8" s="30" t="s">
        <v>3228</v>
      </c>
      <c r="G8" s="30">
        <v>30</v>
      </c>
      <c r="H8" s="31">
        <f>MAX(NfsExports[[#This Row],[Required Quota (GB)]],100)</f>
        <v>100</v>
      </c>
      <c r="I8">
        <v>12.8</v>
      </c>
      <c r="K8" s="30" t="s">
        <v>3229</v>
      </c>
      <c r="L8" s="30"/>
      <c r="M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/>
      </c>
      <c r="N8" t="str" cm="1">
        <f t="array" ref="N8">_xlfn.TEXTJOIN(",",TRUE,IF(NfsExports[[#This Row],[FMO Volume Name]]=NfsExportsVNets[FMO Volume Name],NfsExportsVNets[FMO Vnet Subnet],""))</f>
        <v/>
      </c>
      <c r="O8" t="str" cm="1">
        <f t="array" ref="O8">_xlfn.TEXTJOIN(",",TRUE,IF(NfsExports[[#This Row],[FMO Volume Name]]=NfsExportsSubnets[FMO Volume Name],NfsExportsSubnets[FMO Subnet CIDR],""))</f>
        <v/>
      </c>
      <c r="P8" t="str" cm="1">
        <f t="array" ref="P8">IFERROR(_xlfn.TEXTJOIN(",",TRUE,_xlfn._xlws.FILTER(NfsExportsServices[FMO VM Name Summary],NfsExports[[#This Row],[FMO Volume Name]]=NfsExportsServices[FMO Volume Name])),"")</f>
        <v>10.98.73.5,10.98.73.6,10.98.73.7,10.98.73.8,10.98.73.9,10.98.73.10</v>
      </c>
      <c r="Q8" s="31" t="str">
        <f>_xlfn.TEXTJOIN(",",TRUE,NfsExports[[#This Row],[FMO Export Override]:[FMO Export Service IPs]])</f>
        <v>10.98.73.5,10.98.73.6,10.98.73.7,10.98.73.8,10.98.73.9,10.98.73.10</v>
      </c>
      <c r="R8" s="31" t="str">
        <f>NfsExports[[#This Row],[FMO Mount Path Estimated]]&amp;" "&amp;NfsExports[[#This Row],[Required Quota (GB)]]&amp;"GB"</f>
        <v>/apps/nfs/t2_portal_pfb 30GB</v>
      </c>
      <c r="S8" s="31"/>
      <c r="T8" s="31" t="s">
        <v>4723</v>
      </c>
      <c r="U8" s="32" t="s">
        <v>4745</v>
      </c>
      <c r="W8" s="31">
        <f>MAX(0,NfsExports[[#This Row],[Prospective throughput]]-(NfsExports[[#This Row],[Configured Quota (GB)]]*0.064))</f>
        <v>0</v>
      </c>
    </row>
    <row r="9" spans="1:23" x14ac:dyDescent="0.35">
      <c r="A9" s="138" t="s">
        <v>3199</v>
      </c>
      <c r="B9" s="138" t="s">
        <v>3216</v>
      </c>
      <c r="C9" s="82" t="s">
        <v>3230</v>
      </c>
      <c r="D9" s="30" t="s">
        <v>3231</v>
      </c>
      <c r="E9" s="31" t="str">
        <f>SUBSTITUTE(NfsExports[[#This Row],[FMO Volume Name]],"_","-")</f>
        <v>t2-shareq-pfb</v>
      </c>
      <c r="F9" s="30" t="s">
        <v>3232</v>
      </c>
      <c r="G9" s="30">
        <v>15</v>
      </c>
      <c r="H9" s="31">
        <f>MAX(NfsExports[[#This Row],[Required Quota (GB)]],100)</f>
        <v>100</v>
      </c>
      <c r="I9">
        <v>32</v>
      </c>
      <c r="J9" t="s">
        <v>3233</v>
      </c>
      <c r="K9" s="30" t="s">
        <v>3234</v>
      </c>
      <c r="L9" s="30"/>
      <c r="M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/>
      </c>
      <c r="N9" t="str" cm="1">
        <f t="array" ref="N9">_xlfn.TEXTJOIN(",",TRUE,IF(NfsExports[[#This Row],[FMO Volume Name]]=NfsExportsVNets[FMO Volume Name],NfsExportsVNets[FMO Vnet Subnet],""))</f>
        <v/>
      </c>
      <c r="O9" t="str" cm="1">
        <f t="array" ref="O9">_xlfn.TEXTJOIN(",",TRUE,IF(NfsExports[[#This Row],[FMO Volume Name]]=NfsExportsSubnets[FMO Volume Name],NfsExportsSubnets[FMO Subnet CIDR],""))</f>
        <v/>
      </c>
      <c r="P9" t="str" cm="1">
        <f t="array" ref="P9">IFERROR(_xlfn.TEXTJOIN(",",TRUE,_xlfn._xlws.FILTER(NfsExportsServices[FMO VM Name Summary],NfsExports[[#This Row],[FMO Volume Name]]=NfsExportsServices[FMO Volume Name])),"")</f>
        <v>10.98.73.97,10.98.73.98,10.98.73.99,10.98.73.100,10.98.73.101,10.98.73.102,10.98.73.103,10.98.73.104,10.98.72.52,10.98.72.53,10.98.72.54,10.98.72.55,10.98.72.56,10.98.72.57,10.98.73.11,10.98.73.12,10.98.73.13,10.98.73.14,10.98.73.15,10.98.73.16,10.98.73.17,10.98.73.18,10.98.73.19,10.98.73.20,10.98.73.21,10.98.73.22,10.98.73.143,10.98.73.144,10.98.73.145,10.98.73.146,10.98.73.147,10.98.73.148,10.98.73.149,10.98.73.150,10.98.73.151,10.98.73.152,10.98.73.153,10.98.73.154,10.98.73.155,10.98.73.156,10.98.73.157,10.98.73.158,10.98.73.159,10.98.73.160,10.98.73.161,10.98.73.162,10.98.73.163,10.98.73.164,10.98.73.165,10.98.73.166,10.98.73.167,10.98.73.168,10.98.73.169,10.98.73.170,10.98.73.171,10.98.73.172,10.98.73.173,10.98.73.175,10.98.73.176,10.98.73.177,10.98.73.178,10.98.73.179,10.98.73.180,10.98.73.181,10.98.73.182,10.98.73.183,10.98.73.184</v>
      </c>
      <c r="Q9" s="31" t="str">
        <f>_xlfn.TEXTJOIN(",",TRUE,NfsExports[[#This Row],[FMO Export Override]:[FMO Export Service IPs]])</f>
        <v>10.98.73.97,10.98.73.98,10.98.73.99,10.98.73.100,10.98.73.101,10.98.73.102,10.98.73.103,10.98.73.104,10.98.72.52,10.98.72.53,10.98.72.54,10.98.72.55,10.98.72.56,10.98.72.57,10.98.73.11,10.98.73.12,10.98.73.13,10.98.73.14,10.98.73.15,10.98.73.16,10.98.73.17,10.98.73.18,10.98.73.19,10.98.73.20,10.98.73.21,10.98.73.22,10.98.73.143,10.98.73.144,10.98.73.145,10.98.73.146,10.98.73.147,10.98.73.148,10.98.73.149,10.98.73.150,10.98.73.151,10.98.73.152,10.98.73.153,10.98.73.154,10.98.73.155,10.98.73.156,10.98.73.157,10.98.73.158,10.98.73.159,10.98.73.160,10.98.73.161,10.98.73.162,10.98.73.163,10.98.73.164,10.98.73.165,10.98.73.166,10.98.73.167,10.98.73.168,10.98.73.169,10.98.73.170,10.98.73.171,10.98.73.172,10.98.73.173,10.98.73.175,10.98.73.176,10.98.73.177,10.98.73.178,10.98.73.179,10.98.73.180,10.98.73.181,10.98.73.182,10.98.73.183,10.98.73.184</v>
      </c>
      <c r="R9" s="31" t="str">
        <f>NfsExports[[#This Row],[FMO Mount Path Estimated]]&amp;" "&amp;NfsExports[[#This Row],[Required Quota (GB)]]&amp;"GB"</f>
        <v>/apps/nfs/t2_shareq_pfb 15GB</v>
      </c>
      <c r="S9" s="31" t="s">
        <v>3235</v>
      </c>
      <c r="T9" s="31" t="s">
        <v>4722</v>
      </c>
      <c r="U9" s="32" t="s">
        <v>4746</v>
      </c>
      <c r="V9">
        <v>32</v>
      </c>
      <c r="W9" s="31">
        <f>MAX(0,NfsExports[[#This Row],[Prospective throughput]]-(NfsExports[[#This Row],[Configured Quota (GB)]]*0.064))</f>
        <v>25.6</v>
      </c>
    </row>
    <row r="10" spans="1:23" hidden="1" x14ac:dyDescent="0.35">
      <c r="A10" s="138" t="s">
        <v>3199</v>
      </c>
      <c r="B10" s="138" t="s">
        <v>3200</v>
      </c>
      <c r="C10" s="30" t="s">
        <v>3236</v>
      </c>
      <c r="D10" s="30" t="s">
        <v>3237</v>
      </c>
      <c r="E10" s="31" t="str">
        <f>SUBSTITUTE(NfsExports[[#This Row],[FMO Volume Name]],"_","-")</f>
        <v>backup1</v>
      </c>
      <c r="F10" s="139" t="s">
        <v>3238</v>
      </c>
      <c r="G10" s="139">
        <v>40000</v>
      </c>
      <c r="H10" s="31">
        <f>MAX(NfsExports[[#This Row],[Required Quota (GB)]],100)</f>
        <v>40000</v>
      </c>
      <c r="I10">
        <v>750</v>
      </c>
      <c r="J10" t="s">
        <v>3233</v>
      </c>
      <c r="K10" s="30" t="s">
        <v>3239</v>
      </c>
      <c r="L10" s="30" t="s">
        <v>3240</v>
      </c>
      <c r="M1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/>
      </c>
      <c r="N10" t="str" cm="1">
        <f t="array" ref="N10">_xlfn.TEXTJOIN(",",TRUE,IF(NfsExports[[#This Row],[FMO Volume Name]]=NfsExportsVNets[FMO Volume Name],NfsExportsVNets[FMO Vnet Subnet],""))</f>
        <v/>
      </c>
      <c r="O10" t="str" cm="1">
        <f t="array" ref="O10">_xlfn.TEXTJOIN(",",TRUE,IF(NfsExports[[#This Row],[FMO Volume Name]]=NfsExportsSubnets[FMO Volume Name],NfsExportsSubnets[FMO Subnet CIDR],""))</f>
        <v/>
      </c>
      <c r="P10" t="str" cm="1">
        <f t="array" ref="P10">IFERROR(_xlfn.TEXTJOIN(",",TRUE,_xlfn._xlws.FILTER(NfsExportsServices[FMO VM Name Summary],NfsExports[[#This Row],[FMO Volume Name]]=NfsExportsServices[FMO Volume Name])),"")</f>
        <v/>
      </c>
      <c r="Q10" s="31" t="str">
        <f>_xlfn.TEXTJOIN(",",TRUE,NfsExports[[#This Row],[FMO Export Override]:[FMO Export Service IPs]])</f>
        <v>10.96.57.0/26,10.96.56.240</v>
      </c>
      <c r="R10" s="31" t="str">
        <f>NfsExports[[#This Row],[FMO Mount Path Estimated]]&amp;" "&amp;NfsExports[[#This Row],[Required Quota (GB)]]&amp;"GB"</f>
        <v>/backup1 40000GB</v>
      </c>
      <c r="S10" s="31"/>
      <c r="T10" s="31" t="s">
        <v>4723</v>
      </c>
      <c r="U10" s="32" t="s">
        <v>3241</v>
      </c>
      <c r="W10" s="31">
        <f>MAX(0,NfsExports[[#This Row],[Prospective throughput]]-(NfsExports[[#This Row],[Configured Quota (GB)]]*0.064))</f>
        <v>0</v>
      </c>
    </row>
    <row r="11" spans="1:23" hidden="1" x14ac:dyDescent="0.35">
      <c r="A11" s="138" t="s">
        <v>3199</v>
      </c>
      <c r="B11" s="138" t="s">
        <v>3200</v>
      </c>
      <c r="C11" s="139" t="s">
        <v>3242</v>
      </c>
      <c r="D11" s="139" t="s">
        <v>3243</v>
      </c>
      <c r="E11" s="31" t="str">
        <f>SUBSTITUTE(NfsExports[[#This Row],[FMO Volume Name]],"_","-")</f>
        <v>backup2</v>
      </c>
      <c r="F11" s="139" t="s">
        <v>3244</v>
      </c>
      <c r="G11" s="139">
        <v>40000</v>
      </c>
      <c r="H11" s="31">
        <f>MAX(NfsExports[[#This Row],[Required Quota (GB)]],100)</f>
        <v>40000</v>
      </c>
      <c r="I11">
        <v>750</v>
      </c>
      <c r="J11" t="s">
        <v>3233</v>
      </c>
      <c r="K11" s="30" t="s">
        <v>3239</v>
      </c>
      <c r="L11" s="139" t="s">
        <v>3240</v>
      </c>
      <c r="M1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/>
      </c>
      <c r="N11" t="str" cm="1">
        <f t="array" ref="N11">_xlfn.TEXTJOIN(",",TRUE,IF(NfsExports[[#This Row],[FMO Volume Name]]=NfsExportsVNets[FMO Volume Name],NfsExportsVNets[FMO Vnet Subnet],""))</f>
        <v/>
      </c>
      <c r="O11" t="str" cm="1">
        <f t="array" ref="O11">_xlfn.TEXTJOIN(",",TRUE,IF(NfsExports[[#This Row],[FMO Volume Name]]=NfsExportsSubnets[FMO Volume Name],NfsExportsSubnets[FMO Subnet CIDR],""))</f>
        <v/>
      </c>
      <c r="P11" t="str" cm="1">
        <f t="array" ref="P11">IFERROR(_xlfn.TEXTJOIN(",",TRUE,_xlfn._xlws.FILTER(NfsExportsServices[FMO VM Name Summary],NfsExports[[#This Row],[FMO Volume Name]]=NfsExportsServices[FMO Volume Name])),"")</f>
        <v/>
      </c>
      <c r="Q11" s="31" t="str">
        <f>_xlfn.TEXTJOIN(",",TRUE,NfsExports[[#This Row],[FMO Export Override]:[FMO Export Service IPs]])</f>
        <v>10.96.57.0/26,10.96.56.240</v>
      </c>
      <c r="R11" s="31" t="str">
        <f>NfsExports[[#This Row],[FMO Mount Path Estimated]]&amp;" "&amp;NfsExports[[#This Row],[Required Quota (GB)]]&amp;"GB"</f>
        <v>/backup2 40000GB</v>
      </c>
      <c r="S11" s="31"/>
      <c r="T11" s="31" t="s">
        <v>4723</v>
      </c>
      <c r="U11" s="32" t="s">
        <v>3245</v>
      </c>
      <c r="W11" s="31">
        <f>MAX(0,NfsExports[[#This Row],[Prospective throughput]]-(NfsExports[[#This Row],[Configured Quota (GB)]]*0.064))</f>
        <v>0</v>
      </c>
    </row>
    <row r="12" spans="1:23" x14ac:dyDescent="0.35">
      <c r="A12" s="138" t="s">
        <v>3199</v>
      </c>
      <c r="B12" s="138" t="s">
        <v>3216</v>
      </c>
      <c r="C12" s="67" t="s">
        <v>3246</v>
      </c>
      <c r="D12" s="65" t="s">
        <v>3247</v>
      </c>
      <c r="E12" s="31" t="str">
        <f>SUBSTITUTE(NfsExports[[#This Row],[FMO Volume Name]],"_","-")</f>
        <v>vmpfbpf2aep01-apps-pcehr</v>
      </c>
      <c r="F12" s="66" t="s">
        <v>3248</v>
      </c>
      <c r="G12" s="67">
        <v>100</v>
      </c>
      <c r="H12" s="31">
        <f>MAX(NfsExports[[#This Row],[Required Quota (GB)]],100)</f>
        <v>100</v>
      </c>
      <c r="I12">
        <v>12.8</v>
      </c>
      <c r="K12" s="66" t="s">
        <v>3249</v>
      </c>
      <c r="M1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10.98.73.5</v>
      </c>
      <c r="N12" t="str" cm="1">
        <f t="array" ref="N12">_xlfn.TEXTJOIN(",",TRUE,IF(NfsExports[[#This Row],[FMO Volume Name]]=NfsExportsVNets[FMO Volume Name],NfsExportsVNets[FMO Vnet Subnet],""))</f>
        <v/>
      </c>
      <c r="O12" t="str" cm="1">
        <f t="array" ref="O12">_xlfn.TEXTJOIN(",",TRUE,IF(NfsExports[[#This Row],[FMO Volume Name]]=NfsExportsSubnets[FMO Volume Name],NfsExportsSubnets[FMO Subnet CIDR],""))</f>
        <v/>
      </c>
      <c r="P12" t="str" cm="1">
        <f t="array" ref="P12">IFERROR(_xlfn.TEXTJOIN(",",TRUE,_xlfn._xlws.FILTER(NfsExportsServices[FMO VM Name Summary],NfsExports[[#This Row],[FMO Volume Name]]=NfsExportsServices[FMO Volume Name])),"")</f>
        <v/>
      </c>
      <c r="Q12" s="31" t="str">
        <f>_xlfn.TEXTJOIN(",",TRUE,NfsExports[[#This Row],[FMO Export Override]:[FMO Export Service IPs]])</f>
        <v>10.98.73.5</v>
      </c>
      <c r="R12" s="31" t="str">
        <f>NfsExports[[#This Row],[FMO Mount Path Estimated]]&amp;" "&amp;NfsExports[[#This Row],[Required Quota (GB)]]&amp;"GB"</f>
        <v>/apps/pcehr 100GB</v>
      </c>
      <c r="S12" s="31" t="s">
        <v>3250</v>
      </c>
      <c r="T12" s="31" t="s">
        <v>4723</v>
      </c>
      <c r="U12" s="32" t="s">
        <v>3251</v>
      </c>
      <c r="V12">
        <v>12.8</v>
      </c>
      <c r="W12" s="31">
        <f>MAX(0,NfsExports[[#This Row],[Prospective throughput]]-(NfsExports[[#This Row],[Configured Quota (GB)]]*0.064))</f>
        <v>6.4</v>
      </c>
    </row>
    <row r="13" spans="1:23" x14ac:dyDescent="0.35">
      <c r="A13" s="138" t="s">
        <v>3199</v>
      </c>
      <c r="B13" s="138" t="s">
        <v>3216</v>
      </c>
      <c r="C13" s="67" t="s">
        <v>3252</v>
      </c>
      <c r="D13" s="66" t="s">
        <v>3253</v>
      </c>
      <c r="E13" s="31" t="str">
        <f>SUBSTITUTE(NfsExports[[#This Row],[FMO Volume Name]],"_","-")</f>
        <v>vmpfbpf2aep02-apps-pcehr</v>
      </c>
      <c r="F13" s="66" t="s">
        <v>3248</v>
      </c>
      <c r="G13" s="67">
        <v>100</v>
      </c>
      <c r="H13" s="31">
        <f>MAX(NfsExports[[#This Row],[Required Quota (GB)]],100)</f>
        <v>100</v>
      </c>
      <c r="I13">
        <v>12.8</v>
      </c>
      <c r="K13" s="66" t="s">
        <v>3249</v>
      </c>
      <c r="M1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10.98.73.6</v>
      </c>
      <c r="N13" t="str" cm="1">
        <f t="array" ref="N13">_xlfn.TEXTJOIN(",",TRUE,IF(NfsExports[[#This Row],[FMO Volume Name]]=NfsExportsVNets[FMO Volume Name],NfsExportsVNets[FMO Vnet Subnet],""))</f>
        <v/>
      </c>
      <c r="O13" t="str" cm="1">
        <f t="array" ref="O13">_xlfn.TEXTJOIN(",",TRUE,IF(NfsExports[[#This Row],[FMO Volume Name]]=NfsExportsSubnets[FMO Volume Name],NfsExportsSubnets[FMO Subnet CIDR],""))</f>
        <v/>
      </c>
      <c r="P13" t="str" cm="1">
        <f t="array" ref="P13">IFERROR(_xlfn.TEXTJOIN(",",TRUE,_xlfn._xlws.FILTER(NfsExportsServices[FMO VM Name Summary],NfsExports[[#This Row],[FMO Volume Name]]=NfsExportsServices[FMO Volume Name])),"")</f>
        <v/>
      </c>
      <c r="Q13" s="31" t="str">
        <f>_xlfn.TEXTJOIN(",",TRUE,NfsExports[[#This Row],[FMO Export Override]:[FMO Export Service IPs]])</f>
        <v>10.98.73.6</v>
      </c>
      <c r="R13" s="31" t="str">
        <f>NfsExports[[#This Row],[FMO Mount Path Estimated]]&amp;" "&amp;NfsExports[[#This Row],[Required Quota (GB)]]&amp;"GB"</f>
        <v>/apps/pcehr 100GB</v>
      </c>
      <c r="S13" s="31" t="s">
        <v>3250</v>
      </c>
      <c r="T13" s="31" t="s">
        <v>4723</v>
      </c>
      <c r="U13" s="32" t="s">
        <v>3254</v>
      </c>
      <c r="V13">
        <v>12.8</v>
      </c>
      <c r="W13" s="31">
        <f>MAX(0,NfsExports[[#This Row],[Prospective throughput]]-(NfsExports[[#This Row],[Configured Quota (GB)]]*0.064))</f>
        <v>6.4</v>
      </c>
    </row>
    <row r="14" spans="1:23" x14ac:dyDescent="0.35">
      <c r="A14" s="138" t="s">
        <v>3199</v>
      </c>
      <c r="B14" s="138" t="s">
        <v>3216</v>
      </c>
      <c r="C14" s="67" t="s">
        <v>3255</v>
      </c>
      <c r="D14" s="65" t="s">
        <v>3256</v>
      </c>
      <c r="E14" s="31" t="str">
        <f>SUBSTITUTE(NfsExports[[#This Row],[FMO Volume Name]],"_","-")</f>
        <v>vmpfbpf2aep03-apps-pcehr</v>
      </c>
      <c r="F14" s="66" t="s">
        <v>3248</v>
      </c>
      <c r="G14" s="67">
        <v>100</v>
      </c>
      <c r="H14" s="31">
        <f>MAX(NfsExports[[#This Row],[Required Quota (GB)]],100)</f>
        <v>100</v>
      </c>
      <c r="I14">
        <v>12.8</v>
      </c>
      <c r="K14" s="66" t="s">
        <v>3249</v>
      </c>
      <c r="M1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10.98.73.7</v>
      </c>
      <c r="N14" t="str" cm="1">
        <f t="array" ref="N14">_xlfn.TEXTJOIN(",",TRUE,IF(NfsExports[[#This Row],[FMO Volume Name]]=NfsExportsVNets[FMO Volume Name],NfsExportsVNets[FMO Vnet Subnet],""))</f>
        <v/>
      </c>
      <c r="O14" t="str" cm="1">
        <f t="array" ref="O14">_xlfn.TEXTJOIN(",",TRUE,IF(NfsExports[[#This Row],[FMO Volume Name]]=NfsExportsSubnets[FMO Volume Name],NfsExportsSubnets[FMO Subnet CIDR],""))</f>
        <v/>
      </c>
      <c r="P14" t="str" cm="1">
        <f t="array" ref="P14">IFERROR(_xlfn.TEXTJOIN(",",TRUE,_xlfn._xlws.FILTER(NfsExportsServices[FMO VM Name Summary],NfsExports[[#This Row],[FMO Volume Name]]=NfsExportsServices[FMO Volume Name])),"")</f>
        <v/>
      </c>
      <c r="Q14" s="31" t="str">
        <f>_xlfn.TEXTJOIN(",",TRUE,NfsExports[[#This Row],[FMO Export Override]:[FMO Export Service IPs]])</f>
        <v>10.98.73.7</v>
      </c>
      <c r="R14" s="31" t="str">
        <f>NfsExports[[#This Row],[FMO Mount Path Estimated]]&amp;" "&amp;NfsExports[[#This Row],[Required Quota (GB)]]&amp;"GB"</f>
        <v>/apps/pcehr 100GB</v>
      </c>
      <c r="S14" s="31" t="s">
        <v>3250</v>
      </c>
      <c r="T14" s="31" t="s">
        <v>4723</v>
      </c>
      <c r="U14" s="32" t="s">
        <v>3257</v>
      </c>
      <c r="V14">
        <v>12.8</v>
      </c>
      <c r="W14" s="31">
        <f>MAX(0,NfsExports[[#This Row],[Prospective throughput]]-(NfsExports[[#This Row],[Configured Quota (GB)]]*0.064))</f>
        <v>6.4</v>
      </c>
    </row>
    <row r="15" spans="1:23" x14ac:dyDescent="0.35">
      <c r="A15" s="138" t="s">
        <v>3199</v>
      </c>
      <c r="B15" s="138" t="s">
        <v>3216</v>
      </c>
      <c r="C15" s="67" t="s">
        <v>3258</v>
      </c>
      <c r="D15" s="66" t="s">
        <v>3259</v>
      </c>
      <c r="E15" s="31" t="str">
        <f>SUBSTITUTE(NfsExports[[#This Row],[FMO Volume Name]],"_","-")</f>
        <v>vmpfbpf2aep04-apps-pcehr</v>
      </c>
      <c r="F15" s="66" t="s">
        <v>3248</v>
      </c>
      <c r="G15" s="67">
        <v>100</v>
      </c>
      <c r="H15" s="31">
        <f>MAX(NfsExports[[#This Row],[Required Quota (GB)]],100)</f>
        <v>100</v>
      </c>
      <c r="I15">
        <v>12.8</v>
      </c>
      <c r="K15" s="66" t="s">
        <v>3249</v>
      </c>
      <c r="M1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10.98.73.8</v>
      </c>
      <c r="N15" t="str" cm="1">
        <f t="array" ref="N15">_xlfn.TEXTJOIN(",",TRUE,IF(NfsExports[[#This Row],[FMO Volume Name]]=NfsExportsVNets[FMO Volume Name],NfsExportsVNets[FMO Vnet Subnet],""))</f>
        <v/>
      </c>
      <c r="O15" t="str" cm="1">
        <f t="array" ref="O15">_xlfn.TEXTJOIN(",",TRUE,IF(NfsExports[[#This Row],[FMO Volume Name]]=NfsExportsSubnets[FMO Volume Name],NfsExportsSubnets[FMO Subnet CIDR],""))</f>
        <v/>
      </c>
      <c r="P15" t="str" cm="1">
        <f t="array" ref="P15">IFERROR(_xlfn.TEXTJOIN(",",TRUE,_xlfn._xlws.FILTER(NfsExportsServices[FMO VM Name Summary],NfsExports[[#This Row],[FMO Volume Name]]=NfsExportsServices[FMO Volume Name])),"")</f>
        <v/>
      </c>
      <c r="Q15" s="31" t="str">
        <f>_xlfn.TEXTJOIN(",",TRUE,NfsExports[[#This Row],[FMO Export Override]:[FMO Export Service IPs]])</f>
        <v>10.98.73.8</v>
      </c>
      <c r="R15" s="31" t="str">
        <f>NfsExports[[#This Row],[FMO Mount Path Estimated]]&amp;" "&amp;NfsExports[[#This Row],[Required Quota (GB)]]&amp;"GB"</f>
        <v>/apps/pcehr 100GB</v>
      </c>
      <c r="S15" s="31" t="s">
        <v>3250</v>
      </c>
      <c r="T15" s="31" t="s">
        <v>4723</v>
      </c>
      <c r="U15" s="32" t="s">
        <v>3260</v>
      </c>
      <c r="V15">
        <v>12.8</v>
      </c>
      <c r="W15" s="31">
        <f>MAX(0,NfsExports[[#This Row],[Prospective throughput]]-(NfsExports[[#This Row],[Configured Quota (GB)]]*0.064))</f>
        <v>6.4</v>
      </c>
    </row>
    <row r="16" spans="1:23" x14ac:dyDescent="0.35">
      <c r="A16" s="138" t="s">
        <v>3199</v>
      </c>
      <c r="B16" s="138" t="s">
        <v>3216</v>
      </c>
      <c r="C16" s="67" t="s">
        <v>3261</v>
      </c>
      <c r="D16" s="65" t="s">
        <v>3262</v>
      </c>
      <c r="E16" s="31" t="str">
        <f>SUBSTITUTE(NfsExports[[#This Row],[FMO Volume Name]],"_","-")</f>
        <v>vmpfbpf2aep05-apps-pcehr</v>
      </c>
      <c r="F16" s="66" t="s">
        <v>3248</v>
      </c>
      <c r="G16" s="67">
        <v>100</v>
      </c>
      <c r="H16" s="31">
        <f>MAX(NfsExports[[#This Row],[Required Quota (GB)]],100)</f>
        <v>100</v>
      </c>
      <c r="I16">
        <v>12.8</v>
      </c>
      <c r="K16" s="66" t="s">
        <v>3249</v>
      </c>
      <c r="M1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10.98.73.9</v>
      </c>
      <c r="N16" t="str" cm="1">
        <f t="array" ref="N16">_xlfn.TEXTJOIN(",",TRUE,IF(NfsExports[[#This Row],[FMO Volume Name]]=NfsExportsVNets[FMO Volume Name],NfsExportsVNets[FMO Vnet Subnet],""))</f>
        <v/>
      </c>
      <c r="O16" t="str" cm="1">
        <f t="array" ref="O16">_xlfn.TEXTJOIN(",",TRUE,IF(NfsExports[[#This Row],[FMO Volume Name]]=NfsExportsSubnets[FMO Volume Name],NfsExportsSubnets[FMO Subnet CIDR],""))</f>
        <v/>
      </c>
      <c r="P16" t="str" cm="1">
        <f t="array" ref="P16">IFERROR(_xlfn.TEXTJOIN(",",TRUE,_xlfn._xlws.FILTER(NfsExportsServices[FMO VM Name Summary],NfsExports[[#This Row],[FMO Volume Name]]=NfsExportsServices[FMO Volume Name])),"")</f>
        <v/>
      </c>
      <c r="Q16" s="31" t="str">
        <f>_xlfn.TEXTJOIN(",",TRUE,NfsExports[[#This Row],[FMO Export Override]:[FMO Export Service IPs]])</f>
        <v>10.98.73.9</v>
      </c>
      <c r="R16" s="31" t="str">
        <f>NfsExports[[#This Row],[FMO Mount Path Estimated]]&amp;" "&amp;NfsExports[[#This Row],[Required Quota (GB)]]&amp;"GB"</f>
        <v>/apps/pcehr 100GB</v>
      </c>
      <c r="S16" s="31" t="s">
        <v>3250</v>
      </c>
      <c r="T16" s="31" t="s">
        <v>4723</v>
      </c>
      <c r="U16" s="32" t="s">
        <v>3263</v>
      </c>
      <c r="V16">
        <v>12.8</v>
      </c>
      <c r="W16" s="31">
        <f>MAX(0,NfsExports[[#This Row],[Prospective throughput]]-(NfsExports[[#This Row],[Configured Quota (GB)]]*0.064))</f>
        <v>6.4</v>
      </c>
    </row>
    <row r="17" spans="1:23" x14ac:dyDescent="0.35">
      <c r="A17" s="138" t="s">
        <v>3199</v>
      </c>
      <c r="B17" s="138" t="s">
        <v>3216</v>
      </c>
      <c r="C17" s="67" t="s">
        <v>3264</v>
      </c>
      <c r="D17" s="66" t="s">
        <v>3265</v>
      </c>
      <c r="E17" s="31" t="str">
        <f>SUBSTITUTE(NfsExports[[#This Row],[FMO Volume Name]],"_","-")</f>
        <v>vmpfbpf2aep06-apps-pcehr</v>
      </c>
      <c r="F17" s="66" t="s">
        <v>3248</v>
      </c>
      <c r="G17" s="67">
        <v>100</v>
      </c>
      <c r="H17" s="31">
        <f>MAX(NfsExports[[#This Row],[Required Quota (GB)]],100)</f>
        <v>100</v>
      </c>
      <c r="I17">
        <v>12.8</v>
      </c>
      <c r="K17" s="66" t="s">
        <v>3249</v>
      </c>
      <c r="M1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10.98.73.10</v>
      </c>
      <c r="N17" t="str" cm="1">
        <f t="array" ref="N17">_xlfn.TEXTJOIN(",",TRUE,IF(NfsExports[[#This Row],[FMO Volume Name]]=NfsExportsVNets[FMO Volume Name],NfsExportsVNets[FMO Vnet Subnet],""))</f>
        <v/>
      </c>
      <c r="O17" t="str" cm="1">
        <f t="array" ref="O17">_xlfn.TEXTJOIN(",",TRUE,IF(NfsExports[[#This Row],[FMO Volume Name]]=NfsExportsSubnets[FMO Volume Name],NfsExportsSubnets[FMO Subnet CIDR],""))</f>
        <v/>
      </c>
      <c r="P17" t="str" cm="1">
        <f t="array" ref="P17">IFERROR(_xlfn.TEXTJOIN(",",TRUE,_xlfn._xlws.FILTER(NfsExportsServices[FMO VM Name Summary],NfsExports[[#This Row],[FMO Volume Name]]=NfsExportsServices[FMO Volume Name])),"")</f>
        <v/>
      </c>
      <c r="Q17" s="31" t="str">
        <f>_xlfn.TEXTJOIN(",",TRUE,NfsExports[[#This Row],[FMO Export Override]:[FMO Export Service IPs]])</f>
        <v>10.98.73.10</v>
      </c>
      <c r="R17" s="31" t="str">
        <f>NfsExports[[#This Row],[FMO Mount Path Estimated]]&amp;" "&amp;NfsExports[[#This Row],[Required Quota (GB)]]&amp;"GB"</f>
        <v>/apps/pcehr 100GB</v>
      </c>
      <c r="S17" s="31" t="s">
        <v>3250</v>
      </c>
      <c r="T17" s="31" t="s">
        <v>4723</v>
      </c>
      <c r="U17" s="32" t="s">
        <v>3266</v>
      </c>
      <c r="V17">
        <v>12.8</v>
      </c>
      <c r="W17" s="31">
        <f>MAX(0,NfsExports[[#This Row],[Prospective throughput]]-(NfsExports[[#This Row],[Configured Quota (GB)]]*0.064))</f>
        <v>6.4</v>
      </c>
    </row>
    <row r="18" spans="1:23" x14ac:dyDescent="0.35">
      <c r="A18" s="138" t="s">
        <v>3199</v>
      </c>
      <c r="B18" s="138" t="s">
        <v>3216</v>
      </c>
      <c r="C18" s="67" t="s">
        <v>3267</v>
      </c>
      <c r="D18" s="65" t="s">
        <v>3268</v>
      </c>
      <c r="E18" s="31" t="str">
        <f>SUBSTITUTE(NfsExports[[#This Row],[FMO Volume Name]],"_","-")</f>
        <v>vmpfbpf2aho01-apps-pcehr</v>
      </c>
      <c r="F18" s="66" t="s">
        <v>3248</v>
      </c>
      <c r="G18" s="67">
        <v>30</v>
      </c>
      <c r="H18" s="31">
        <f>MAX(NfsExports[[#This Row],[Required Quota (GB)]],100)</f>
        <v>100</v>
      </c>
      <c r="I18">
        <v>12.8</v>
      </c>
      <c r="K18" s="66" t="s">
        <v>3249</v>
      </c>
      <c r="M1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10.98.72.4</v>
      </c>
      <c r="N18" t="str" cm="1">
        <f t="array" ref="N18">_xlfn.TEXTJOIN(",",TRUE,IF(NfsExports[[#This Row],[FMO Volume Name]]=NfsExportsVNets[FMO Volume Name],NfsExportsVNets[FMO Vnet Subnet],""))</f>
        <v/>
      </c>
      <c r="O18" t="str" cm="1">
        <f t="array" ref="O18">_xlfn.TEXTJOIN(",",TRUE,IF(NfsExports[[#This Row],[FMO Volume Name]]=NfsExportsSubnets[FMO Volume Name],NfsExportsSubnets[FMO Subnet CIDR],""))</f>
        <v/>
      </c>
      <c r="P18" t="str" cm="1">
        <f t="array" ref="P18">IFERROR(_xlfn.TEXTJOIN(",",TRUE,_xlfn._xlws.FILTER(NfsExportsServices[FMO VM Name Summary],NfsExports[[#This Row],[FMO Volume Name]]=NfsExportsServices[FMO Volume Name])),"")</f>
        <v/>
      </c>
      <c r="Q18" s="31" t="str">
        <f>_xlfn.TEXTJOIN(",",TRUE,NfsExports[[#This Row],[FMO Export Override]:[FMO Export Service IPs]])</f>
        <v>10.98.72.4</v>
      </c>
      <c r="R18" s="31" t="str">
        <f>NfsExports[[#This Row],[FMO Mount Path Estimated]]&amp;" "&amp;NfsExports[[#This Row],[Required Quota (GB)]]&amp;"GB"</f>
        <v>/apps/pcehr 30GB</v>
      </c>
      <c r="S18" s="31" t="s">
        <v>3250</v>
      </c>
      <c r="T18" s="31" t="s">
        <v>4723</v>
      </c>
      <c r="U18" s="32" t="s">
        <v>3269</v>
      </c>
      <c r="V18">
        <v>12.8</v>
      </c>
      <c r="W18" s="31">
        <f>MAX(0,NfsExports[[#This Row],[Prospective throughput]]-(NfsExports[[#This Row],[Configured Quota (GB)]]*0.064))</f>
        <v>6.4</v>
      </c>
    </row>
    <row r="19" spans="1:23" x14ac:dyDescent="0.35">
      <c r="A19" s="138" t="s">
        <v>3199</v>
      </c>
      <c r="B19" s="138" t="s">
        <v>3216</v>
      </c>
      <c r="C19" s="67" t="s">
        <v>3270</v>
      </c>
      <c r="D19" s="66" t="s">
        <v>3271</v>
      </c>
      <c r="E19" s="31" t="str">
        <f>SUBSTITUTE(NfsExports[[#This Row],[FMO Volume Name]],"_","-")</f>
        <v>vmpfbpf2aho02-apps-pcehr</v>
      </c>
      <c r="F19" s="66" t="s">
        <v>3248</v>
      </c>
      <c r="G19" s="67">
        <v>30</v>
      </c>
      <c r="H19" s="31">
        <f>MAX(NfsExports[[#This Row],[Required Quota (GB)]],100)</f>
        <v>100</v>
      </c>
      <c r="I19">
        <v>12.8</v>
      </c>
      <c r="K19" s="66" t="s">
        <v>3249</v>
      </c>
      <c r="M1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10.98.72.5</v>
      </c>
      <c r="N19" t="str" cm="1">
        <f t="array" ref="N19">_xlfn.TEXTJOIN(",",TRUE,IF(NfsExports[[#This Row],[FMO Volume Name]]=NfsExportsVNets[FMO Volume Name],NfsExportsVNets[FMO Vnet Subnet],""))</f>
        <v/>
      </c>
      <c r="O19" t="str" cm="1">
        <f t="array" ref="O19">_xlfn.TEXTJOIN(",",TRUE,IF(NfsExports[[#This Row],[FMO Volume Name]]=NfsExportsSubnets[FMO Volume Name],NfsExportsSubnets[FMO Subnet CIDR],""))</f>
        <v/>
      </c>
      <c r="P19" t="str" cm="1">
        <f t="array" ref="P19">IFERROR(_xlfn.TEXTJOIN(",",TRUE,_xlfn._xlws.FILTER(NfsExportsServices[FMO VM Name Summary],NfsExports[[#This Row],[FMO Volume Name]]=NfsExportsServices[FMO Volume Name])),"")</f>
        <v/>
      </c>
      <c r="Q19" s="31" t="str">
        <f>_xlfn.TEXTJOIN(",",TRUE,NfsExports[[#This Row],[FMO Export Override]:[FMO Export Service IPs]])</f>
        <v>10.98.72.5</v>
      </c>
      <c r="R19" s="31" t="str">
        <f>NfsExports[[#This Row],[FMO Mount Path Estimated]]&amp;" "&amp;NfsExports[[#This Row],[Required Quota (GB)]]&amp;"GB"</f>
        <v>/apps/pcehr 30GB</v>
      </c>
      <c r="S19" s="31" t="s">
        <v>3250</v>
      </c>
      <c r="T19" s="31" t="s">
        <v>4723</v>
      </c>
      <c r="U19" s="32" t="s">
        <v>3272</v>
      </c>
      <c r="V19">
        <v>12.8</v>
      </c>
      <c r="W19" s="31">
        <f>MAX(0,NfsExports[[#This Row],[Prospective throughput]]-(NfsExports[[#This Row],[Configured Quota (GB)]]*0.064))</f>
        <v>6.4</v>
      </c>
    </row>
    <row r="20" spans="1:23" x14ac:dyDescent="0.35">
      <c r="A20" s="138" t="s">
        <v>3199</v>
      </c>
      <c r="B20" s="138" t="s">
        <v>3216</v>
      </c>
      <c r="C20" s="67" t="s">
        <v>3273</v>
      </c>
      <c r="D20" s="65" t="s">
        <v>3274</v>
      </c>
      <c r="E20" s="31" t="str">
        <f>SUBSTITUTE(NfsExports[[#This Row],[FMO Volume Name]],"_","-")</f>
        <v>vmpfbpf2aho03-apps-pcehr</v>
      </c>
      <c r="F20" s="66" t="s">
        <v>3248</v>
      </c>
      <c r="G20" s="67">
        <v>30</v>
      </c>
      <c r="H20" s="31">
        <f>MAX(NfsExports[[#This Row],[Required Quota (GB)]],100)</f>
        <v>100</v>
      </c>
      <c r="I20">
        <v>12.8</v>
      </c>
      <c r="K20" s="66" t="s">
        <v>3249</v>
      </c>
      <c r="M2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10.98.72.6</v>
      </c>
      <c r="N20" t="str" cm="1">
        <f t="array" ref="N20">_xlfn.TEXTJOIN(",",TRUE,IF(NfsExports[[#This Row],[FMO Volume Name]]=NfsExportsVNets[FMO Volume Name],NfsExportsVNets[FMO Vnet Subnet],""))</f>
        <v/>
      </c>
      <c r="O20" t="str" cm="1">
        <f t="array" ref="O20">_xlfn.TEXTJOIN(",",TRUE,IF(NfsExports[[#This Row],[FMO Volume Name]]=NfsExportsSubnets[FMO Volume Name],NfsExportsSubnets[FMO Subnet CIDR],""))</f>
        <v/>
      </c>
      <c r="P20" t="str" cm="1">
        <f t="array" ref="P20">IFERROR(_xlfn.TEXTJOIN(",",TRUE,_xlfn._xlws.FILTER(NfsExportsServices[FMO VM Name Summary],NfsExports[[#This Row],[FMO Volume Name]]=NfsExportsServices[FMO Volume Name])),"")</f>
        <v/>
      </c>
      <c r="Q20" s="31" t="str">
        <f>_xlfn.TEXTJOIN(",",TRUE,NfsExports[[#This Row],[FMO Export Override]:[FMO Export Service IPs]])</f>
        <v>10.98.72.6</v>
      </c>
      <c r="R20" s="31" t="str">
        <f>NfsExports[[#This Row],[FMO Mount Path Estimated]]&amp;" "&amp;NfsExports[[#This Row],[Required Quota (GB)]]&amp;"GB"</f>
        <v>/apps/pcehr 30GB</v>
      </c>
      <c r="S20" s="31" t="s">
        <v>3250</v>
      </c>
      <c r="T20" s="31" t="s">
        <v>4723</v>
      </c>
      <c r="U20" s="32" t="s">
        <v>3275</v>
      </c>
      <c r="V20">
        <v>12.8</v>
      </c>
      <c r="W20" s="31">
        <f>MAX(0,NfsExports[[#This Row],[Prospective throughput]]-(NfsExports[[#This Row],[Configured Quota (GB)]]*0.064))</f>
        <v>6.4</v>
      </c>
    </row>
    <row r="21" spans="1:23" x14ac:dyDescent="0.35">
      <c r="A21" s="138" t="s">
        <v>3199</v>
      </c>
      <c r="B21" s="138" t="s">
        <v>3216</v>
      </c>
      <c r="C21" s="67" t="s">
        <v>3276</v>
      </c>
      <c r="D21" s="66" t="s">
        <v>3277</v>
      </c>
      <c r="E21" s="31" t="str">
        <f>SUBSTITUTE(NfsExports[[#This Row],[FMO Volume Name]],"_","-")</f>
        <v>vmpfbpf2aho04-apps-pcehr</v>
      </c>
      <c r="F21" s="66" t="s">
        <v>3248</v>
      </c>
      <c r="G21" s="67">
        <v>30</v>
      </c>
      <c r="H21" s="31">
        <f>MAX(NfsExports[[#This Row],[Required Quota (GB)]],100)</f>
        <v>100</v>
      </c>
      <c r="I21">
        <v>12.8</v>
      </c>
      <c r="K21" s="66" t="s">
        <v>3249</v>
      </c>
      <c r="M2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10.98.72.7</v>
      </c>
      <c r="N21" t="str" cm="1">
        <f t="array" ref="N21">_xlfn.TEXTJOIN(",",TRUE,IF(NfsExports[[#This Row],[FMO Volume Name]]=NfsExportsVNets[FMO Volume Name],NfsExportsVNets[FMO Vnet Subnet],""))</f>
        <v/>
      </c>
      <c r="O21" t="str" cm="1">
        <f t="array" ref="O21">_xlfn.TEXTJOIN(",",TRUE,IF(NfsExports[[#This Row],[FMO Volume Name]]=NfsExportsSubnets[FMO Volume Name],NfsExportsSubnets[FMO Subnet CIDR],""))</f>
        <v/>
      </c>
      <c r="P21" t="str" cm="1">
        <f t="array" ref="P21">IFERROR(_xlfn.TEXTJOIN(",",TRUE,_xlfn._xlws.FILTER(NfsExportsServices[FMO VM Name Summary],NfsExports[[#This Row],[FMO Volume Name]]=NfsExportsServices[FMO Volume Name])),"")</f>
        <v/>
      </c>
      <c r="Q21" s="31" t="str">
        <f>_xlfn.TEXTJOIN(",",TRUE,NfsExports[[#This Row],[FMO Export Override]:[FMO Export Service IPs]])</f>
        <v>10.98.72.7</v>
      </c>
      <c r="R21" s="31" t="str">
        <f>NfsExports[[#This Row],[FMO Mount Path Estimated]]&amp;" "&amp;NfsExports[[#This Row],[Required Quota (GB)]]&amp;"GB"</f>
        <v>/apps/pcehr 30GB</v>
      </c>
      <c r="S21" s="31" t="s">
        <v>3250</v>
      </c>
      <c r="T21" s="31" t="s">
        <v>4723</v>
      </c>
      <c r="U21" s="32" t="s">
        <v>3278</v>
      </c>
      <c r="V21">
        <v>12.8</v>
      </c>
      <c r="W21" s="31">
        <f>MAX(0,NfsExports[[#This Row],[Prospective throughput]]-(NfsExports[[#This Row],[Configured Quota (GB)]]*0.064))</f>
        <v>6.4</v>
      </c>
    </row>
    <row r="22" spans="1:23" x14ac:dyDescent="0.35">
      <c r="A22" s="138" t="s">
        <v>3199</v>
      </c>
      <c r="B22" s="138" t="s">
        <v>3216</v>
      </c>
      <c r="C22" s="67" t="s">
        <v>3279</v>
      </c>
      <c r="D22" s="66" t="s">
        <v>3280</v>
      </c>
      <c r="E22" s="31" t="str">
        <f>SUBSTITUTE(NfsExports[[#This Row],[FMO Volume Name]],"_","-")</f>
        <v>vmpfbpf2crp01-apps-pcehr</v>
      </c>
      <c r="F22" s="66" t="s">
        <v>3248</v>
      </c>
      <c r="G22" s="67">
        <v>30</v>
      </c>
      <c r="H22" s="31">
        <f>MAX(NfsExports[[#This Row],[Required Quota (GB)]],100)</f>
        <v>100</v>
      </c>
      <c r="I22">
        <v>16</v>
      </c>
      <c r="K22" s="66" t="s">
        <v>3249</v>
      </c>
      <c r="M2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10.98.73.11</v>
      </c>
      <c r="N22" t="str" cm="1">
        <f t="array" ref="N22">_xlfn.TEXTJOIN(",",TRUE,IF(NfsExports[[#This Row],[FMO Volume Name]]=NfsExportsVNets[FMO Volume Name],NfsExportsVNets[FMO Vnet Subnet],""))</f>
        <v/>
      </c>
      <c r="O22" t="str" cm="1">
        <f t="array" ref="O22">_xlfn.TEXTJOIN(",",TRUE,IF(NfsExports[[#This Row],[FMO Volume Name]]=NfsExportsSubnets[FMO Volume Name],NfsExportsSubnets[FMO Subnet CIDR],""))</f>
        <v/>
      </c>
      <c r="P22" t="str" cm="1">
        <f t="array" ref="P22">IFERROR(_xlfn.TEXTJOIN(",",TRUE,_xlfn._xlws.FILTER(NfsExportsServices[FMO VM Name Summary],NfsExports[[#This Row],[FMO Volume Name]]=NfsExportsServices[FMO Volume Name])),"")</f>
        <v/>
      </c>
      <c r="Q22" s="31" t="str">
        <f>_xlfn.TEXTJOIN(",",TRUE,NfsExports[[#This Row],[FMO Export Override]:[FMO Export Service IPs]])</f>
        <v>10.98.73.11</v>
      </c>
      <c r="R22" s="31" t="str">
        <f>NfsExports[[#This Row],[FMO Mount Path Estimated]]&amp;" "&amp;NfsExports[[#This Row],[Required Quota (GB)]]&amp;"GB"</f>
        <v>/apps/pcehr 30GB</v>
      </c>
      <c r="S22" s="31" t="s">
        <v>3281</v>
      </c>
      <c r="T22" s="31" t="s">
        <v>4723</v>
      </c>
      <c r="U22" s="32" t="s">
        <v>3282</v>
      </c>
      <c r="V22">
        <v>16</v>
      </c>
      <c r="W22" s="31">
        <f>MAX(0,NfsExports[[#This Row],[Prospective throughput]]-(NfsExports[[#This Row],[Configured Quota (GB)]]*0.064))</f>
        <v>9.6</v>
      </c>
    </row>
    <row r="23" spans="1:23" x14ac:dyDescent="0.35">
      <c r="A23" s="138" t="s">
        <v>3199</v>
      </c>
      <c r="B23" s="138" t="s">
        <v>3216</v>
      </c>
      <c r="C23" s="67" t="s">
        <v>3283</v>
      </c>
      <c r="D23" s="65" t="s">
        <v>3284</v>
      </c>
      <c r="E23" s="31" t="str">
        <f>SUBSTITUTE(NfsExports[[#This Row],[FMO Volume Name]],"_","-")</f>
        <v>vmpfbpf2crp02-apps-pcehr</v>
      </c>
      <c r="F23" s="66" t="s">
        <v>3248</v>
      </c>
      <c r="G23" s="67">
        <v>30</v>
      </c>
      <c r="H23" s="31">
        <f>MAX(NfsExports[[#This Row],[Required Quota (GB)]],100)</f>
        <v>100</v>
      </c>
      <c r="I23">
        <v>12.8</v>
      </c>
      <c r="K23" s="66" t="s">
        <v>3249</v>
      </c>
      <c r="M2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10.98.73.12</v>
      </c>
      <c r="N23" t="str" cm="1">
        <f t="array" ref="N23">_xlfn.TEXTJOIN(",",TRUE,IF(NfsExports[[#This Row],[FMO Volume Name]]=NfsExportsVNets[FMO Volume Name],NfsExportsVNets[FMO Vnet Subnet],""))</f>
        <v/>
      </c>
      <c r="O23" t="str" cm="1">
        <f t="array" ref="O23">_xlfn.TEXTJOIN(",",TRUE,IF(NfsExports[[#This Row],[FMO Volume Name]]=NfsExportsSubnets[FMO Volume Name],NfsExportsSubnets[FMO Subnet CIDR],""))</f>
        <v/>
      </c>
      <c r="P23" t="str" cm="1">
        <f t="array" ref="P23">IFERROR(_xlfn.TEXTJOIN(",",TRUE,_xlfn._xlws.FILTER(NfsExportsServices[FMO VM Name Summary],NfsExports[[#This Row],[FMO Volume Name]]=NfsExportsServices[FMO Volume Name])),"")</f>
        <v/>
      </c>
      <c r="Q23" s="31" t="str">
        <f>_xlfn.TEXTJOIN(",",TRUE,NfsExports[[#This Row],[FMO Export Override]:[FMO Export Service IPs]])</f>
        <v>10.98.73.12</v>
      </c>
      <c r="R23" s="31" t="str">
        <f>NfsExports[[#This Row],[FMO Mount Path Estimated]]&amp;" "&amp;NfsExports[[#This Row],[Required Quota (GB)]]&amp;"GB"</f>
        <v>/apps/pcehr 30GB</v>
      </c>
      <c r="S23" s="31" t="s">
        <v>3250</v>
      </c>
      <c r="T23" s="31" t="s">
        <v>4723</v>
      </c>
      <c r="U23" s="32" t="s">
        <v>3285</v>
      </c>
      <c r="V23">
        <v>12.8</v>
      </c>
      <c r="W23" s="31">
        <f>MAX(0,NfsExports[[#This Row],[Prospective throughput]]-(NfsExports[[#This Row],[Configured Quota (GB)]]*0.064))</f>
        <v>6.4</v>
      </c>
    </row>
    <row r="24" spans="1:23" x14ac:dyDescent="0.35">
      <c r="A24" s="138" t="s">
        <v>3199</v>
      </c>
      <c r="B24" s="138" t="s">
        <v>3216</v>
      </c>
      <c r="C24" s="67" t="s">
        <v>3286</v>
      </c>
      <c r="D24" s="66" t="s">
        <v>3287</v>
      </c>
      <c r="E24" s="31" t="str">
        <f>SUBSTITUTE(NfsExports[[#This Row],[FMO Volume Name]],"_","-")</f>
        <v>vmpfbpf2crp03-apps-pcehr</v>
      </c>
      <c r="F24" s="66" t="s">
        <v>3248</v>
      </c>
      <c r="G24" s="67">
        <v>30</v>
      </c>
      <c r="H24" s="31">
        <f>MAX(NfsExports[[#This Row],[Required Quota (GB)]],100)</f>
        <v>100</v>
      </c>
      <c r="I24">
        <v>12.8</v>
      </c>
      <c r="K24" s="66" t="s">
        <v>3249</v>
      </c>
      <c r="M2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10.98.73.13</v>
      </c>
      <c r="N24" t="str" cm="1">
        <f t="array" ref="N24">_xlfn.TEXTJOIN(",",TRUE,IF(NfsExports[[#This Row],[FMO Volume Name]]=NfsExportsVNets[FMO Volume Name],NfsExportsVNets[FMO Vnet Subnet],""))</f>
        <v/>
      </c>
      <c r="O24" t="str" cm="1">
        <f t="array" ref="O24">_xlfn.TEXTJOIN(",",TRUE,IF(NfsExports[[#This Row],[FMO Volume Name]]=NfsExportsSubnets[FMO Volume Name],NfsExportsSubnets[FMO Subnet CIDR],""))</f>
        <v/>
      </c>
      <c r="P24" t="str" cm="1">
        <f t="array" ref="P24">IFERROR(_xlfn.TEXTJOIN(",",TRUE,_xlfn._xlws.FILTER(NfsExportsServices[FMO VM Name Summary],NfsExports[[#This Row],[FMO Volume Name]]=NfsExportsServices[FMO Volume Name])),"")</f>
        <v/>
      </c>
      <c r="Q24" s="31" t="str">
        <f>_xlfn.TEXTJOIN(",",TRUE,NfsExports[[#This Row],[FMO Export Override]:[FMO Export Service IPs]])</f>
        <v>10.98.73.13</v>
      </c>
      <c r="R24" s="31" t="str">
        <f>NfsExports[[#This Row],[FMO Mount Path Estimated]]&amp;" "&amp;NfsExports[[#This Row],[Required Quota (GB)]]&amp;"GB"</f>
        <v>/apps/pcehr 30GB</v>
      </c>
      <c r="S24" s="31" t="s">
        <v>3250</v>
      </c>
      <c r="T24" s="31" t="s">
        <v>4723</v>
      </c>
      <c r="U24" s="32" t="s">
        <v>3288</v>
      </c>
      <c r="V24">
        <v>12.8</v>
      </c>
      <c r="W24" s="31">
        <f>MAX(0,NfsExports[[#This Row],[Prospective throughput]]-(NfsExports[[#This Row],[Configured Quota (GB)]]*0.064))</f>
        <v>6.4</v>
      </c>
    </row>
    <row r="25" spans="1:23" x14ac:dyDescent="0.35">
      <c r="A25" s="138" t="s">
        <v>3199</v>
      </c>
      <c r="B25" s="138" t="s">
        <v>3216</v>
      </c>
      <c r="C25" s="67" t="s">
        <v>3289</v>
      </c>
      <c r="D25" s="65" t="s">
        <v>3290</v>
      </c>
      <c r="E25" s="31" t="str">
        <f>SUBSTITUTE(NfsExports[[#This Row],[FMO Volume Name]],"_","-")</f>
        <v>vmpfbpf2crp04-apps-pcehr</v>
      </c>
      <c r="F25" s="66" t="s">
        <v>3248</v>
      </c>
      <c r="G25" s="67">
        <v>30</v>
      </c>
      <c r="H25" s="31">
        <f>MAX(NfsExports[[#This Row],[Required Quota (GB)]],100)</f>
        <v>100</v>
      </c>
      <c r="I25">
        <v>12.8</v>
      </c>
      <c r="K25" s="66" t="s">
        <v>3249</v>
      </c>
      <c r="M2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10.98.73.14</v>
      </c>
      <c r="N25" t="str" cm="1">
        <f t="array" ref="N25">_xlfn.TEXTJOIN(",",TRUE,IF(NfsExports[[#This Row],[FMO Volume Name]]=NfsExportsVNets[FMO Volume Name],NfsExportsVNets[FMO Vnet Subnet],""))</f>
        <v/>
      </c>
      <c r="O25" t="str" cm="1">
        <f t="array" ref="O25">_xlfn.TEXTJOIN(",",TRUE,IF(NfsExports[[#This Row],[FMO Volume Name]]=NfsExportsSubnets[FMO Volume Name],NfsExportsSubnets[FMO Subnet CIDR],""))</f>
        <v/>
      </c>
      <c r="P25" t="str" cm="1">
        <f t="array" ref="P25">IFERROR(_xlfn.TEXTJOIN(",",TRUE,_xlfn._xlws.FILTER(NfsExportsServices[FMO VM Name Summary],NfsExports[[#This Row],[FMO Volume Name]]=NfsExportsServices[FMO Volume Name])),"")</f>
        <v/>
      </c>
      <c r="Q25" s="31" t="str">
        <f>_xlfn.TEXTJOIN(",",TRUE,NfsExports[[#This Row],[FMO Export Override]:[FMO Export Service IPs]])</f>
        <v>10.98.73.14</v>
      </c>
      <c r="R25" s="31" t="str">
        <f>NfsExports[[#This Row],[FMO Mount Path Estimated]]&amp;" "&amp;NfsExports[[#This Row],[Required Quota (GB)]]&amp;"GB"</f>
        <v>/apps/pcehr 30GB</v>
      </c>
      <c r="S25" s="31" t="s">
        <v>3250</v>
      </c>
      <c r="T25" s="31" t="s">
        <v>4723</v>
      </c>
      <c r="U25" s="32" t="s">
        <v>3291</v>
      </c>
      <c r="V25">
        <v>12.8</v>
      </c>
      <c r="W25" s="31">
        <f>MAX(0,NfsExports[[#This Row],[Prospective throughput]]-(NfsExports[[#This Row],[Configured Quota (GB)]]*0.064))</f>
        <v>6.4</v>
      </c>
    </row>
    <row r="26" spans="1:23" x14ac:dyDescent="0.35">
      <c r="A26" s="138" t="s">
        <v>3199</v>
      </c>
      <c r="B26" s="138" t="s">
        <v>3216</v>
      </c>
      <c r="C26" s="67" t="s">
        <v>3292</v>
      </c>
      <c r="D26" s="66" t="s">
        <v>3293</v>
      </c>
      <c r="E26" s="31" t="str">
        <f>SUBSTITUTE(NfsExports[[#This Row],[FMO Volume Name]],"_","-")</f>
        <v>vmpfbpf2crp05-apps-pcehr</v>
      </c>
      <c r="F26" s="66" t="s">
        <v>3248</v>
      </c>
      <c r="G26" s="67">
        <v>30</v>
      </c>
      <c r="H26" s="31">
        <f>MAX(NfsExports[[#This Row],[Required Quota (GB)]],100)</f>
        <v>100</v>
      </c>
      <c r="I26">
        <v>12.8</v>
      </c>
      <c r="K26" s="66" t="s">
        <v>3249</v>
      </c>
      <c r="M2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10.98.73.15</v>
      </c>
      <c r="N26" t="str" cm="1">
        <f t="array" ref="N26">_xlfn.TEXTJOIN(",",TRUE,IF(NfsExports[[#This Row],[FMO Volume Name]]=NfsExportsVNets[FMO Volume Name],NfsExportsVNets[FMO Vnet Subnet],""))</f>
        <v/>
      </c>
      <c r="O26" t="str" cm="1">
        <f t="array" ref="O26">_xlfn.TEXTJOIN(",",TRUE,IF(NfsExports[[#This Row],[FMO Volume Name]]=NfsExportsSubnets[FMO Volume Name],NfsExportsSubnets[FMO Subnet CIDR],""))</f>
        <v/>
      </c>
      <c r="P26" t="str" cm="1">
        <f t="array" ref="P26">IFERROR(_xlfn.TEXTJOIN(",",TRUE,_xlfn._xlws.FILTER(NfsExportsServices[FMO VM Name Summary],NfsExports[[#This Row],[FMO Volume Name]]=NfsExportsServices[FMO Volume Name])),"")</f>
        <v/>
      </c>
      <c r="Q26" s="31" t="str">
        <f>_xlfn.TEXTJOIN(",",TRUE,NfsExports[[#This Row],[FMO Export Override]:[FMO Export Service IPs]])</f>
        <v>10.98.73.15</v>
      </c>
      <c r="R26" s="31" t="str">
        <f>NfsExports[[#This Row],[FMO Mount Path Estimated]]&amp;" "&amp;NfsExports[[#This Row],[Required Quota (GB)]]&amp;"GB"</f>
        <v>/apps/pcehr 30GB</v>
      </c>
      <c r="S26" s="31" t="s">
        <v>3250</v>
      </c>
      <c r="T26" s="31" t="s">
        <v>4723</v>
      </c>
      <c r="U26" s="32" t="s">
        <v>3294</v>
      </c>
      <c r="V26">
        <v>12.8</v>
      </c>
      <c r="W26" s="31">
        <f>MAX(0,NfsExports[[#This Row],[Prospective throughput]]-(NfsExports[[#This Row],[Configured Quota (GB)]]*0.064))</f>
        <v>6.4</v>
      </c>
    </row>
    <row r="27" spans="1:23" x14ac:dyDescent="0.35">
      <c r="A27" s="138" t="s">
        <v>3199</v>
      </c>
      <c r="B27" s="138" t="s">
        <v>3216</v>
      </c>
      <c r="C27" s="67" t="s">
        <v>3295</v>
      </c>
      <c r="D27" s="65" t="s">
        <v>3296</v>
      </c>
      <c r="E27" s="31" t="str">
        <f>SUBSTITUTE(NfsExports[[#This Row],[FMO Volume Name]],"_","-")</f>
        <v>vmpfbpf2crp06-apps-pcehr</v>
      </c>
      <c r="F27" s="66" t="s">
        <v>3248</v>
      </c>
      <c r="G27" s="67">
        <v>30</v>
      </c>
      <c r="H27" s="31">
        <f>MAX(NfsExports[[#This Row],[Required Quota (GB)]],100)</f>
        <v>100</v>
      </c>
      <c r="I27">
        <v>12.8</v>
      </c>
      <c r="K27" s="66" t="s">
        <v>3249</v>
      </c>
      <c r="M2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10.98.73.16</v>
      </c>
      <c r="N27" t="str" cm="1">
        <f t="array" ref="N27">_xlfn.TEXTJOIN(",",TRUE,IF(NfsExports[[#This Row],[FMO Volume Name]]=NfsExportsVNets[FMO Volume Name],NfsExportsVNets[FMO Vnet Subnet],""))</f>
        <v/>
      </c>
      <c r="O27" t="str" cm="1">
        <f t="array" ref="O27">_xlfn.TEXTJOIN(",",TRUE,IF(NfsExports[[#This Row],[FMO Volume Name]]=NfsExportsSubnets[FMO Volume Name],NfsExportsSubnets[FMO Subnet CIDR],""))</f>
        <v/>
      </c>
      <c r="P27" t="str" cm="1">
        <f t="array" ref="P27">IFERROR(_xlfn.TEXTJOIN(",",TRUE,_xlfn._xlws.FILTER(NfsExportsServices[FMO VM Name Summary],NfsExports[[#This Row],[FMO Volume Name]]=NfsExportsServices[FMO Volume Name])),"")</f>
        <v/>
      </c>
      <c r="Q27" s="31" t="str">
        <f>_xlfn.TEXTJOIN(",",TRUE,NfsExports[[#This Row],[FMO Export Override]:[FMO Export Service IPs]])</f>
        <v>10.98.73.16</v>
      </c>
      <c r="R27" s="31" t="str">
        <f>NfsExports[[#This Row],[FMO Mount Path Estimated]]&amp;" "&amp;NfsExports[[#This Row],[Required Quota (GB)]]&amp;"GB"</f>
        <v>/apps/pcehr 30GB</v>
      </c>
      <c r="S27" s="31" t="s">
        <v>3250</v>
      </c>
      <c r="T27" s="31" t="s">
        <v>4723</v>
      </c>
      <c r="U27" s="32" t="s">
        <v>3297</v>
      </c>
      <c r="V27">
        <v>12.8</v>
      </c>
      <c r="W27" s="31">
        <f>MAX(0,NfsExports[[#This Row],[Prospective throughput]]-(NfsExports[[#This Row],[Configured Quota (GB)]]*0.064))</f>
        <v>6.4</v>
      </c>
    </row>
    <row r="28" spans="1:23" x14ac:dyDescent="0.35">
      <c r="A28" s="138" t="s">
        <v>3199</v>
      </c>
      <c r="B28" s="138" t="s">
        <v>3216</v>
      </c>
      <c r="C28" s="67" t="s">
        <v>3298</v>
      </c>
      <c r="D28" s="66" t="s">
        <v>3299</v>
      </c>
      <c r="E28" s="31" t="str">
        <f>SUBSTITUTE(NfsExports[[#This Row],[FMO Volume Name]],"_","-")</f>
        <v>vmpfbpf2crp07-apps-pcehr</v>
      </c>
      <c r="F28" s="66" t="s">
        <v>3248</v>
      </c>
      <c r="G28" s="67">
        <v>30</v>
      </c>
      <c r="H28" s="31">
        <f>MAX(NfsExports[[#This Row],[Required Quota (GB)]],100)</f>
        <v>100</v>
      </c>
      <c r="I28">
        <v>12.8</v>
      </c>
      <c r="K28" s="66" t="s">
        <v>3249</v>
      </c>
      <c r="M2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10.98.73.17</v>
      </c>
      <c r="N28" t="str" cm="1">
        <f t="array" ref="N28">_xlfn.TEXTJOIN(",",TRUE,IF(NfsExports[[#This Row],[FMO Volume Name]]=NfsExportsVNets[FMO Volume Name],NfsExportsVNets[FMO Vnet Subnet],""))</f>
        <v/>
      </c>
      <c r="O28" t="str" cm="1">
        <f t="array" ref="O28">_xlfn.TEXTJOIN(",",TRUE,IF(NfsExports[[#This Row],[FMO Volume Name]]=NfsExportsSubnets[FMO Volume Name],NfsExportsSubnets[FMO Subnet CIDR],""))</f>
        <v/>
      </c>
      <c r="P28" t="str" cm="1">
        <f t="array" ref="P28">IFERROR(_xlfn.TEXTJOIN(",",TRUE,_xlfn._xlws.FILTER(NfsExportsServices[FMO VM Name Summary],NfsExports[[#This Row],[FMO Volume Name]]=NfsExportsServices[FMO Volume Name])),"")</f>
        <v/>
      </c>
      <c r="Q28" s="31" t="str">
        <f>_xlfn.TEXTJOIN(",",TRUE,NfsExports[[#This Row],[FMO Export Override]:[FMO Export Service IPs]])</f>
        <v>10.98.73.17</v>
      </c>
      <c r="R28" s="31" t="str">
        <f>NfsExports[[#This Row],[FMO Mount Path Estimated]]&amp;" "&amp;NfsExports[[#This Row],[Required Quota (GB)]]&amp;"GB"</f>
        <v>/apps/pcehr 30GB</v>
      </c>
      <c r="S28" s="31" t="s">
        <v>3250</v>
      </c>
      <c r="T28" s="31" t="s">
        <v>4723</v>
      </c>
      <c r="U28" s="32" t="s">
        <v>3300</v>
      </c>
      <c r="V28">
        <v>12.8</v>
      </c>
      <c r="W28" s="31">
        <f>MAX(0,NfsExports[[#This Row],[Prospective throughput]]-(NfsExports[[#This Row],[Configured Quota (GB)]]*0.064))</f>
        <v>6.4</v>
      </c>
    </row>
    <row r="29" spans="1:23" x14ac:dyDescent="0.35">
      <c r="A29" s="138" t="s">
        <v>3199</v>
      </c>
      <c r="B29" s="138" t="s">
        <v>3216</v>
      </c>
      <c r="C29" s="67" t="s">
        <v>3301</v>
      </c>
      <c r="D29" s="65" t="s">
        <v>3302</v>
      </c>
      <c r="E29" s="31" t="str">
        <f>SUBSTITUTE(NfsExports[[#This Row],[FMO Volume Name]],"_","-")</f>
        <v>vmpfbpf2crp08-apps-pcehr</v>
      </c>
      <c r="F29" s="66" t="s">
        <v>3248</v>
      </c>
      <c r="G29" s="67">
        <v>30</v>
      </c>
      <c r="H29" s="31">
        <f>MAX(NfsExports[[#This Row],[Required Quota (GB)]],100)</f>
        <v>100</v>
      </c>
      <c r="I29">
        <v>12.8</v>
      </c>
      <c r="K29" s="66" t="s">
        <v>3249</v>
      </c>
      <c r="M2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10.98.73.18</v>
      </c>
      <c r="N29" t="str" cm="1">
        <f t="array" ref="N29">_xlfn.TEXTJOIN(",",TRUE,IF(NfsExports[[#This Row],[FMO Volume Name]]=NfsExportsVNets[FMO Volume Name],NfsExportsVNets[FMO Vnet Subnet],""))</f>
        <v/>
      </c>
      <c r="O29" t="str" cm="1">
        <f t="array" ref="O29">_xlfn.TEXTJOIN(",",TRUE,IF(NfsExports[[#This Row],[FMO Volume Name]]=NfsExportsSubnets[FMO Volume Name],NfsExportsSubnets[FMO Subnet CIDR],""))</f>
        <v/>
      </c>
      <c r="P29" t="str" cm="1">
        <f t="array" ref="P29">IFERROR(_xlfn.TEXTJOIN(",",TRUE,_xlfn._xlws.FILTER(NfsExportsServices[FMO VM Name Summary],NfsExports[[#This Row],[FMO Volume Name]]=NfsExportsServices[FMO Volume Name])),"")</f>
        <v/>
      </c>
      <c r="Q29" s="31" t="str">
        <f>_xlfn.TEXTJOIN(",",TRUE,NfsExports[[#This Row],[FMO Export Override]:[FMO Export Service IPs]])</f>
        <v>10.98.73.18</v>
      </c>
      <c r="R29" s="31" t="str">
        <f>NfsExports[[#This Row],[FMO Mount Path Estimated]]&amp;" "&amp;NfsExports[[#This Row],[Required Quota (GB)]]&amp;"GB"</f>
        <v>/apps/pcehr 30GB</v>
      </c>
      <c r="S29" s="31" t="s">
        <v>3250</v>
      </c>
      <c r="T29" s="31" t="s">
        <v>4723</v>
      </c>
      <c r="U29" s="32" t="s">
        <v>3303</v>
      </c>
      <c r="V29">
        <v>12.8</v>
      </c>
      <c r="W29" s="31">
        <f>MAX(0,NfsExports[[#This Row],[Prospective throughput]]-(NfsExports[[#This Row],[Configured Quota (GB)]]*0.064))</f>
        <v>6.4</v>
      </c>
    </row>
    <row r="30" spans="1:23" x14ac:dyDescent="0.35">
      <c r="A30" s="138" t="s">
        <v>3199</v>
      </c>
      <c r="B30" s="138" t="s">
        <v>3216</v>
      </c>
      <c r="C30" s="67" t="s">
        <v>3304</v>
      </c>
      <c r="D30" s="66" t="s">
        <v>3305</v>
      </c>
      <c r="E30" s="31" t="str">
        <f>SUBSTITUTE(NfsExports[[#This Row],[FMO Volume Name]],"_","-")</f>
        <v>vmpfbpf2dcr01-apps-pcehr</v>
      </c>
      <c r="F30" s="66" t="s">
        <v>3248</v>
      </c>
      <c r="G30" s="67">
        <v>30</v>
      </c>
      <c r="H30" s="31">
        <f>MAX(NfsExports[[#This Row],[Required Quota (GB)]],100)</f>
        <v>100</v>
      </c>
      <c r="I30">
        <v>12.8</v>
      </c>
      <c r="K30" s="66" t="s">
        <v>3249</v>
      </c>
      <c r="M3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10.98.73.19</v>
      </c>
      <c r="N30" t="str" cm="1">
        <f t="array" ref="N30">_xlfn.TEXTJOIN(",",TRUE,IF(NfsExports[[#This Row],[FMO Volume Name]]=NfsExportsVNets[FMO Volume Name],NfsExportsVNets[FMO Vnet Subnet],""))</f>
        <v/>
      </c>
      <c r="O30" t="str" cm="1">
        <f t="array" ref="O30">_xlfn.TEXTJOIN(",",TRUE,IF(NfsExports[[#This Row],[FMO Volume Name]]=NfsExportsSubnets[FMO Volume Name],NfsExportsSubnets[FMO Subnet CIDR],""))</f>
        <v/>
      </c>
      <c r="P30" t="str" cm="1">
        <f t="array" ref="P30">IFERROR(_xlfn.TEXTJOIN(",",TRUE,_xlfn._xlws.FILTER(NfsExportsServices[FMO VM Name Summary],NfsExports[[#This Row],[FMO Volume Name]]=NfsExportsServices[FMO Volume Name])),"")</f>
        <v/>
      </c>
      <c r="Q30" s="31" t="str">
        <f>_xlfn.TEXTJOIN(",",TRUE,NfsExports[[#This Row],[FMO Export Override]:[FMO Export Service IPs]])</f>
        <v>10.98.73.19</v>
      </c>
      <c r="R30" s="31" t="str">
        <f>NfsExports[[#This Row],[FMO Mount Path Estimated]]&amp;" "&amp;NfsExports[[#This Row],[Required Quota (GB)]]&amp;"GB"</f>
        <v>/apps/pcehr 30GB</v>
      </c>
      <c r="S30" s="31" t="s">
        <v>3281</v>
      </c>
      <c r="T30" s="31" t="s">
        <v>4723</v>
      </c>
      <c r="U30" s="32" t="s">
        <v>3306</v>
      </c>
      <c r="V30">
        <v>12.8</v>
      </c>
      <c r="W30" s="31">
        <f>MAX(0,NfsExports[[#This Row],[Prospective throughput]]-(NfsExports[[#This Row],[Configured Quota (GB)]]*0.064))</f>
        <v>6.4</v>
      </c>
    </row>
    <row r="31" spans="1:23" x14ac:dyDescent="0.35">
      <c r="A31" s="138" t="s">
        <v>3199</v>
      </c>
      <c r="B31" s="138" t="s">
        <v>3216</v>
      </c>
      <c r="C31" s="67" t="s">
        <v>3307</v>
      </c>
      <c r="D31" s="65" t="s">
        <v>3308</v>
      </c>
      <c r="E31" s="31" t="str">
        <f>SUBSTITUTE(NfsExports[[#This Row],[FMO Volume Name]],"_","-")</f>
        <v>vmpfbpf2dcr02-apps-pcehr</v>
      </c>
      <c r="F31" s="66" t="s">
        <v>3248</v>
      </c>
      <c r="G31" s="67">
        <v>30</v>
      </c>
      <c r="H31" s="31">
        <f>MAX(NfsExports[[#This Row],[Required Quota (GB)]],100)</f>
        <v>100</v>
      </c>
      <c r="I31">
        <v>12.8</v>
      </c>
      <c r="K31" s="66" t="s">
        <v>3249</v>
      </c>
      <c r="M3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10.98.73.20</v>
      </c>
      <c r="N31" t="str" cm="1">
        <f t="array" ref="N31">_xlfn.TEXTJOIN(",",TRUE,IF(NfsExports[[#This Row],[FMO Volume Name]]=NfsExportsVNets[FMO Volume Name],NfsExportsVNets[FMO Vnet Subnet],""))</f>
        <v/>
      </c>
      <c r="O31" t="str" cm="1">
        <f t="array" ref="O31">_xlfn.TEXTJOIN(",",TRUE,IF(NfsExports[[#This Row],[FMO Volume Name]]=NfsExportsSubnets[FMO Volume Name],NfsExportsSubnets[FMO Subnet CIDR],""))</f>
        <v/>
      </c>
      <c r="P31" t="str" cm="1">
        <f t="array" ref="P31">IFERROR(_xlfn.TEXTJOIN(",",TRUE,_xlfn._xlws.FILTER(NfsExportsServices[FMO VM Name Summary],NfsExports[[#This Row],[FMO Volume Name]]=NfsExportsServices[FMO Volume Name])),"")</f>
        <v/>
      </c>
      <c r="Q31" s="31" t="str">
        <f>_xlfn.TEXTJOIN(",",TRUE,NfsExports[[#This Row],[FMO Export Override]:[FMO Export Service IPs]])</f>
        <v>10.98.73.20</v>
      </c>
      <c r="R31" s="31" t="str">
        <f>NfsExports[[#This Row],[FMO Mount Path Estimated]]&amp;" "&amp;NfsExports[[#This Row],[Required Quota (GB)]]&amp;"GB"</f>
        <v>/apps/pcehr 30GB</v>
      </c>
      <c r="S31" s="31" t="s">
        <v>3309</v>
      </c>
      <c r="T31" s="31" t="s">
        <v>4723</v>
      </c>
      <c r="U31" s="32" t="s">
        <v>3310</v>
      </c>
      <c r="V31">
        <v>12.8</v>
      </c>
      <c r="W31" s="31">
        <f>MAX(0,NfsExports[[#This Row],[Prospective throughput]]-(NfsExports[[#This Row],[Configured Quota (GB)]]*0.064))</f>
        <v>6.4</v>
      </c>
    </row>
    <row r="32" spans="1:23" x14ac:dyDescent="0.35">
      <c r="A32" s="138" t="s">
        <v>3199</v>
      </c>
      <c r="B32" s="138" t="s">
        <v>3216</v>
      </c>
      <c r="C32" s="67" t="s">
        <v>3311</v>
      </c>
      <c r="D32" s="66" t="s">
        <v>3312</v>
      </c>
      <c r="E32" s="31" t="str">
        <f>SUBSTITUTE(NfsExports[[#This Row],[FMO Volume Name]],"_","-")</f>
        <v>vmpfbpf2dcr03-apps-pcehr</v>
      </c>
      <c r="F32" s="66" t="s">
        <v>3248</v>
      </c>
      <c r="G32" s="67">
        <v>30</v>
      </c>
      <c r="H32" s="31">
        <f>MAX(NfsExports[[#This Row],[Required Quota (GB)]],100)</f>
        <v>100</v>
      </c>
      <c r="I32">
        <v>12.8</v>
      </c>
      <c r="K32" s="66" t="s">
        <v>3249</v>
      </c>
      <c r="M3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10.98.73.21</v>
      </c>
      <c r="N32" t="str" cm="1">
        <f t="array" ref="N32">_xlfn.TEXTJOIN(",",TRUE,IF(NfsExports[[#This Row],[FMO Volume Name]]=NfsExportsVNets[FMO Volume Name],NfsExportsVNets[FMO Vnet Subnet],""))</f>
        <v/>
      </c>
      <c r="O32" t="str" cm="1">
        <f t="array" ref="O32">_xlfn.TEXTJOIN(",",TRUE,IF(NfsExports[[#This Row],[FMO Volume Name]]=NfsExportsSubnets[FMO Volume Name],NfsExportsSubnets[FMO Subnet CIDR],""))</f>
        <v/>
      </c>
      <c r="P32" t="str" cm="1">
        <f t="array" ref="P32">IFERROR(_xlfn.TEXTJOIN(",",TRUE,_xlfn._xlws.FILTER(NfsExportsServices[FMO VM Name Summary],NfsExports[[#This Row],[FMO Volume Name]]=NfsExportsServices[FMO Volume Name])),"")</f>
        <v/>
      </c>
      <c r="Q32" s="31" t="str">
        <f>_xlfn.TEXTJOIN(",",TRUE,NfsExports[[#This Row],[FMO Export Override]:[FMO Export Service IPs]])</f>
        <v>10.98.73.21</v>
      </c>
      <c r="R32" s="31" t="str">
        <f>NfsExports[[#This Row],[FMO Mount Path Estimated]]&amp;" "&amp;NfsExports[[#This Row],[Required Quota (GB)]]&amp;"GB"</f>
        <v>/apps/pcehr 30GB</v>
      </c>
      <c r="S32" s="31" t="s">
        <v>3309</v>
      </c>
      <c r="T32" s="31" t="s">
        <v>4723</v>
      </c>
      <c r="U32" s="32" t="s">
        <v>3313</v>
      </c>
      <c r="V32">
        <v>12.8</v>
      </c>
      <c r="W32" s="31">
        <f>MAX(0,NfsExports[[#This Row],[Prospective throughput]]-(NfsExports[[#This Row],[Configured Quota (GB)]]*0.064))</f>
        <v>6.4</v>
      </c>
    </row>
    <row r="33" spans="1:23" x14ac:dyDescent="0.35">
      <c r="A33" s="138" t="s">
        <v>3199</v>
      </c>
      <c r="B33" s="138" t="s">
        <v>3216</v>
      </c>
      <c r="C33" s="67" t="s">
        <v>3314</v>
      </c>
      <c r="D33" s="65" t="s">
        <v>3315</v>
      </c>
      <c r="E33" s="31" t="str">
        <f>SUBSTITUTE(NfsExports[[#This Row],[FMO Volume Name]],"_","-")</f>
        <v>vmpfbpf2dcx01-apps-pcehr</v>
      </c>
      <c r="F33" s="66" t="s">
        <v>3248</v>
      </c>
      <c r="G33" s="67">
        <v>30</v>
      </c>
      <c r="H33" s="31">
        <f>MAX(NfsExports[[#This Row],[Required Quota (GB)]],100)</f>
        <v>100</v>
      </c>
      <c r="I33">
        <v>24</v>
      </c>
      <c r="K33" s="66" t="s">
        <v>3249</v>
      </c>
      <c r="M3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10.98.73.23</v>
      </c>
      <c r="N33" t="str" cm="1">
        <f t="array" ref="N33">_xlfn.TEXTJOIN(",",TRUE,IF(NfsExports[[#This Row],[FMO Volume Name]]=NfsExportsVNets[FMO Volume Name],NfsExportsVNets[FMO Vnet Subnet],""))</f>
        <v/>
      </c>
      <c r="O33" t="str" cm="1">
        <f t="array" ref="O33">_xlfn.TEXTJOIN(",",TRUE,IF(NfsExports[[#This Row],[FMO Volume Name]]=NfsExportsSubnets[FMO Volume Name],NfsExportsSubnets[FMO Subnet CIDR],""))</f>
        <v/>
      </c>
      <c r="P33" t="str" cm="1">
        <f t="array" ref="P33">IFERROR(_xlfn.TEXTJOIN(",",TRUE,_xlfn._xlws.FILTER(NfsExportsServices[FMO VM Name Summary],NfsExports[[#This Row],[FMO Volume Name]]=NfsExportsServices[FMO Volume Name])),"")</f>
        <v/>
      </c>
      <c r="Q33" s="31" t="str">
        <f>_xlfn.TEXTJOIN(",",TRUE,NfsExports[[#This Row],[FMO Export Override]:[FMO Export Service IPs]])</f>
        <v>10.98.73.23</v>
      </c>
      <c r="R33" s="31" t="str">
        <f>NfsExports[[#This Row],[FMO Mount Path Estimated]]&amp;" "&amp;NfsExports[[#This Row],[Required Quota (GB)]]&amp;"GB"</f>
        <v>/apps/pcehr 30GB</v>
      </c>
      <c r="S33" s="31" t="s">
        <v>3281</v>
      </c>
      <c r="T33" s="31" t="s">
        <v>4723</v>
      </c>
      <c r="U33" s="32" t="s">
        <v>3316</v>
      </c>
      <c r="V33">
        <v>24</v>
      </c>
      <c r="W33" s="31">
        <f>MAX(0,NfsExports[[#This Row],[Prospective throughput]]-(NfsExports[[#This Row],[Configured Quota (GB)]]*0.064))</f>
        <v>17.600000000000001</v>
      </c>
    </row>
    <row r="34" spans="1:23" x14ac:dyDescent="0.35">
      <c r="A34" s="138" t="s">
        <v>3199</v>
      </c>
      <c r="B34" s="138" t="s">
        <v>3216</v>
      </c>
      <c r="C34" s="67" t="s">
        <v>3317</v>
      </c>
      <c r="D34" s="66" t="s">
        <v>3318</v>
      </c>
      <c r="E34" s="31" t="str">
        <f>SUBSTITUTE(NfsExports[[#This Row],[FMO Volume Name]],"_","-")</f>
        <v>vmpfbpf2dcx02-apps-pcehr</v>
      </c>
      <c r="F34" s="66" t="s">
        <v>3248</v>
      </c>
      <c r="G34" s="67">
        <v>30</v>
      </c>
      <c r="H34" s="31">
        <f>MAX(NfsExports[[#This Row],[Required Quota (GB)]],100)</f>
        <v>100</v>
      </c>
      <c r="I34">
        <v>12.8</v>
      </c>
      <c r="K34" s="66" t="s">
        <v>3249</v>
      </c>
      <c r="M3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10.98.73.24</v>
      </c>
      <c r="N34" t="str" cm="1">
        <f t="array" ref="N34">_xlfn.TEXTJOIN(",",TRUE,IF(NfsExports[[#This Row],[FMO Volume Name]]=NfsExportsVNets[FMO Volume Name],NfsExportsVNets[FMO Vnet Subnet],""))</f>
        <v/>
      </c>
      <c r="O34" t="str" cm="1">
        <f t="array" ref="O34">_xlfn.TEXTJOIN(",",TRUE,IF(NfsExports[[#This Row],[FMO Volume Name]]=NfsExportsSubnets[FMO Volume Name],NfsExportsSubnets[FMO Subnet CIDR],""))</f>
        <v/>
      </c>
      <c r="P34" t="str" cm="1">
        <f t="array" ref="P34">IFERROR(_xlfn.TEXTJOIN(",",TRUE,_xlfn._xlws.FILTER(NfsExportsServices[FMO VM Name Summary],NfsExports[[#This Row],[FMO Volume Name]]=NfsExportsServices[FMO Volume Name])),"")</f>
        <v/>
      </c>
      <c r="Q34" s="31" t="str">
        <f>_xlfn.TEXTJOIN(",",TRUE,NfsExports[[#This Row],[FMO Export Override]:[FMO Export Service IPs]])</f>
        <v>10.98.73.24</v>
      </c>
      <c r="R34" s="31" t="str">
        <f>NfsExports[[#This Row],[FMO Mount Path Estimated]]&amp;" "&amp;NfsExports[[#This Row],[Required Quota (GB)]]&amp;"GB"</f>
        <v>/apps/pcehr 30GB</v>
      </c>
      <c r="S34" s="31" t="s">
        <v>3250</v>
      </c>
      <c r="T34" s="31" t="s">
        <v>4723</v>
      </c>
      <c r="U34" s="32" t="s">
        <v>3319</v>
      </c>
      <c r="V34">
        <v>12.8</v>
      </c>
      <c r="W34" s="31">
        <f>MAX(0,NfsExports[[#This Row],[Prospective throughput]]-(NfsExports[[#This Row],[Configured Quota (GB)]]*0.064))</f>
        <v>6.4</v>
      </c>
    </row>
    <row r="35" spans="1:23" x14ac:dyDescent="0.35">
      <c r="A35" s="138" t="s">
        <v>3199</v>
      </c>
      <c r="B35" s="138" t="s">
        <v>3216</v>
      </c>
      <c r="C35" s="67" t="s">
        <v>3320</v>
      </c>
      <c r="D35" s="65" t="s">
        <v>3321</v>
      </c>
      <c r="E35" s="31" t="str">
        <f>SUBSTITUTE(NfsExports[[#This Row],[FMO Volume Name]],"_","-")</f>
        <v>vmpfbpf2dcx03-apps-pcehr</v>
      </c>
      <c r="F35" s="66" t="s">
        <v>3248</v>
      </c>
      <c r="G35" s="67">
        <v>30</v>
      </c>
      <c r="H35" s="31">
        <f>MAX(NfsExports[[#This Row],[Required Quota (GB)]],100)</f>
        <v>100</v>
      </c>
      <c r="I35">
        <v>12.8</v>
      </c>
      <c r="K35" s="66" t="s">
        <v>3249</v>
      </c>
      <c r="M3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10.98.73.25</v>
      </c>
      <c r="N35" t="str" cm="1">
        <f t="array" ref="N35">_xlfn.TEXTJOIN(",",TRUE,IF(NfsExports[[#This Row],[FMO Volume Name]]=NfsExportsVNets[FMO Volume Name],NfsExportsVNets[FMO Vnet Subnet],""))</f>
        <v/>
      </c>
      <c r="O35" t="str" cm="1">
        <f t="array" ref="O35">_xlfn.TEXTJOIN(",",TRUE,IF(NfsExports[[#This Row],[FMO Volume Name]]=NfsExportsSubnets[FMO Volume Name],NfsExportsSubnets[FMO Subnet CIDR],""))</f>
        <v/>
      </c>
      <c r="P35" t="str" cm="1">
        <f t="array" ref="P35">IFERROR(_xlfn.TEXTJOIN(",",TRUE,_xlfn._xlws.FILTER(NfsExportsServices[FMO VM Name Summary],NfsExports[[#This Row],[FMO Volume Name]]=NfsExportsServices[FMO Volume Name])),"")</f>
        <v/>
      </c>
      <c r="Q35" s="31" t="str">
        <f>_xlfn.TEXTJOIN(",",TRUE,NfsExports[[#This Row],[FMO Export Override]:[FMO Export Service IPs]])</f>
        <v>10.98.73.25</v>
      </c>
      <c r="R35" s="31" t="str">
        <f>NfsExports[[#This Row],[FMO Mount Path Estimated]]&amp;" "&amp;NfsExports[[#This Row],[Required Quota (GB)]]&amp;"GB"</f>
        <v>/apps/pcehr 30GB</v>
      </c>
      <c r="S35" s="31" t="s">
        <v>3250</v>
      </c>
      <c r="T35" s="31" t="s">
        <v>4723</v>
      </c>
      <c r="U35" s="32" t="s">
        <v>3322</v>
      </c>
      <c r="V35">
        <v>12.8</v>
      </c>
      <c r="W35" s="31">
        <f>MAX(0,NfsExports[[#This Row],[Prospective throughput]]-(NfsExports[[#This Row],[Configured Quota (GB)]]*0.064))</f>
        <v>6.4</v>
      </c>
    </row>
    <row r="36" spans="1:23" x14ac:dyDescent="0.35">
      <c r="A36" s="138" t="s">
        <v>3199</v>
      </c>
      <c r="B36" s="138" t="s">
        <v>3216</v>
      </c>
      <c r="C36" s="67" t="s">
        <v>3323</v>
      </c>
      <c r="D36" s="66" t="s">
        <v>3324</v>
      </c>
      <c r="E36" s="31" t="str">
        <f>SUBSTITUTE(NfsExports[[#This Row],[FMO Volume Name]],"_","-")</f>
        <v>vmpfbpf2dcx04-apps-pcehr</v>
      </c>
      <c r="F36" s="66" t="s">
        <v>3248</v>
      </c>
      <c r="G36" s="67">
        <v>30</v>
      </c>
      <c r="H36" s="31">
        <f>MAX(NfsExports[[#This Row],[Required Quota (GB)]],100)</f>
        <v>100</v>
      </c>
      <c r="I36">
        <v>12.8</v>
      </c>
      <c r="K36" s="66" t="s">
        <v>3249</v>
      </c>
      <c r="M3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10.98.73.26</v>
      </c>
      <c r="N36" t="str" cm="1">
        <f t="array" ref="N36">_xlfn.TEXTJOIN(",",TRUE,IF(NfsExports[[#This Row],[FMO Volume Name]]=NfsExportsVNets[FMO Volume Name],NfsExportsVNets[FMO Vnet Subnet],""))</f>
        <v/>
      </c>
      <c r="O36" t="str" cm="1">
        <f t="array" ref="O36">_xlfn.TEXTJOIN(",",TRUE,IF(NfsExports[[#This Row],[FMO Volume Name]]=NfsExportsSubnets[FMO Volume Name],NfsExportsSubnets[FMO Subnet CIDR],""))</f>
        <v/>
      </c>
      <c r="P36" t="str" cm="1">
        <f t="array" ref="P36">IFERROR(_xlfn.TEXTJOIN(",",TRUE,_xlfn._xlws.FILTER(NfsExportsServices[FMO VM Name Summary],NfsExports[[#This Row],[FMO Volume Name]]=NfsExportsServices[FMO Volume Name])),"")</f>
        <v/>
      </c>
      <c r="Q36" s="31" t="str">
        <f>_xlfn.TEXTJOIN(",",TRUE,NfsExports[[#This Row],[FMO Export Override]:[FMO Export Service IPs]])</f>
        <v>10.98.73.26</v>
      </c>
      <c r="R36" s="31" t="str">
        <f>NfsExports[[#This Row],[FMO Mount Path Estimated]]&amp;" "&amp;NfsExports[[#This Row],[Required Quota (GB)]]&amp;"GB"</f>
        <v>/apps/pcehr 30GB</v>
      </c>
      <c r="S36" s="31" t="s">
        <v>3250</v>
      </c>
      <c r="T36" s="31" t="s">
        <v>4723</v>
      </c>
      <c r="U36" s="32" t="s">
        <v>3325</v>
      </c>
      <c r="V36">
        <v>12.8</v>
      </c>
      <c r="W36" s="31">
        <f>MAX(0,NfsExports[[#This Row],[Prospective throughput]]-(NfsExports[[#This Row],[Configured Quota (GB)]]*0.064))</f>
        <v>6.4</v>
      </c>
    </row>
    <row r="37" spans="1:23" x14ac:dyDescent="0.35">
      <c r="A37" s="138" t="s">
        <v>3199</v>
      </c>
      <c r="B37" s="138" t="s">
        <v>3216</v>
      </c>
      <c r="C37" s="67" t="s">
        <v>3326</v>
      </c>
      <c r="D37" s="65" t="s">
        <v>3327</v>
      </c>
      <c r="E37" s="31" t="str">
        <f>SUBSTITUTE(NfsExports[[#This Row],[FMO Volume Name]],"_","-")</f>
        <v>vmpfbpf2dcx05-apps-pcehr</v>
      </c>
      <c r="F37" s="66" t="s">
        <v>3248</v>
      </c>
      <c r="G37" s="67">
        <v>30</v>
      </c>
      <c r="H37" s="31">
        <f>MAX(NfsExports[[#This Row],[Required Quota (GB)]],100)</f>
        <v>100</v>
      </c>
      <c r="I37">
        <v>12.8</v>
      </c>
      <c r="K37" s="66" t="s">
        <v>3249</v>
      </c>
      <c r="M3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10.98.73.27</v>
      </c>
      <c r="N37" t="str" cm="1">
        <f t="array" ref="N37">_xlfn.TEXTJOIN(",",TRUE,IF(NfsExports[[#This Row],[FMO Volume Name]]=NfsExportsVNets[FMO Volume Name],NfsExportsVNets[FMO Vnet Subnet],""))</f>
        <v/>
      </c>
      <c r="O37" t="str" cm="1">
        <f t="array" ref="O37">_xlfn.TEXTJOIN(",",TRUE,IF(NfsExports[[#This Row],[FMO Volume Name]]=NfsExportsSubnets[FMO Volume Name],NfsExportsSubnets[FMO Subnet CIDR],""))</f>
        <v/>
      </c>
      <c r="P37" t="str" cm="1">
        <f t="array" ref="P37">IFERROR(_xlfn.TEXTJOIN(",",TRUE,_xlfn._xlws.FILTER(NfsExportsServices[FMO VM Name Summary],NfsExports[[#This Row],[FMO Volume Name]]=NfsExportsServices[FMO Volume Name])),"")</f>
        <v/>
      </c>
      <c r="Q37" s="31" t="str">
        <f>_xlfn.TEXTJOIN(",",TRUE,NfsExports[[#This Row],[FMO Export Override]:[FMO Export Service IPs]])</f>
        <v>10.98.73.27</v>
      </c>
      <c r="R37" s="31" t="str">
        <f>NfsExports[[#This Row],[FMO Mount Path Estimated]]&amp;" "&amp;NfsExports[[#This Row],[Required Quota (GB)]]&amp;"GB"</f>
        <v>/apps/pcehr 30GB</v>
      </c>
      <c r="S37" s="31" t="s">
        <v>3250</v>
      </c>
      <c r="T37" s="31" t="s">
        <v>4723</v>
      </c>
      <c r="U37" s="32" t="s">
        <v>3328</v>
      </c>
      <c r="V37">
        <v>12.8</v>
      </c>
      <c r="W37" s="31">
        <f>MAX(0,NfsExports[[#This Row],[Prospective throughput]]-(NfsExports[[#This Row],[Configured Quota (GB)]]*0.064))</f>
        <v>6.4</v>
      </c>
    </row>
    <row r="38" spans="1:23" x14ac:dyDescent="0.35">
      <c r="A38" s="138" t="s">
        <v>3199</v>
      </c>
      <c r="B38" s="138" t="s">
        <v>3216</v>
      </c>
      <c r="C38" s="67" t="s">
        <v>3329</v>
      </c>
      <c r="D38" s="66" t="s">
        <v>3330</v>
      </c>
      <c r="E38" s="31" t="str">
        <f>SUBSTITUTE(NfsExports[[#This Row],[FMO Volume Name]],"_","-")</f>
        <v>vmpfbpf2dcx06-apps-pcehr</v>
      </c>
      <c r="F38" s="66" t="s">
        <v>3248</v>
      </c>
      <c r="G38" s="67">
        <v>30</v>
      </c>
      <c r="H38" s="31">
        <f>MAX(NfsExports[[#This Row],[Required Quota (GB)]],100)</f>
        <v>100</v>
      </c>
      <c r="I38">
        <v>12.8</v>
      </c>
      <c r="K38" s="66" t="s">
        <v>3249</v>
      </c>
      <c r="M3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10.98.73.28</v>
      </c>
      <c r="N38" t="str" cm="1">
        <f t="array" ref="N38">_xlfn.TEXTJOIN(",",TRUE,IF(NfsExports[[#This Row],[FMO Volume Name]]=NfsExportsVNets[FMO Volume Name],NfsExportsVNets[FMO Vnet Subnet],""))</f>
        <v/>
      </c>
      <c r="O38" t="str" cm="1">
        <f t="array" ref="O38">_xlfn.TEXTJOIN(",",TRUE,IF(NfsExports[[#This Row],[FMO Volume Name]]=NfsExportsSubnets[FMO Volume Name],NfsExportsSubnets[FMO Subnet CIDR],""))</f>
        <v/>
      </c>
      <c r="P38" t="str" cm="1">
        <f t="array" ref="P38">IFERROR(_xlfn.TEXTJOIN(",",TRUE,_xlfn._xlws.FILTER(NfsExportsServices[FMO VM Name Summary],NfsExports[[#This Row],[FMO Volume Name]]=NfsExportsServices[FMO Volume Name])),"")</f>
        <v/>
      </c>
      <c r="Q38" s="31" t="str">
        <f>_xlfn.TEXTJOIN(",",TRUE,NfsExports[[#This Row],[FMO Export Override]:[FMO Export Service IPs]])</f>
        <v>10.98.73.28</v>
      </c>
      <c r="R38" s="31" t="str">
        <f>NfsExports[[#This Row],[FMO Mount Path Estimated]]&amp;" "&amp;NfsExports[[#This Row],[Required Quota (GB)]]&amp;"GB"</f>
        <v>/apps/pcehr 30GB</v>
      </c>
      <c r="S38" s="31" t="s">
        <v>3250</v>
      </c>
      <c r="T38" s="31" t="s">
        <v>4723</v>
      </c>
      <c r="U38" s="32" t="s">
        <v>3331</v>
      </c>
      <c r="V38">
        <v>12.8</v>
      </c>
      <c r="W38" s="31">
        <f>MAX(0,NfsExports[[#This Row],[Prospective throughput]]-(NfsExports[[#This Row],[Configured Quota (GB)]]*0.064))</f>
        <v>6.4</v>
      </c>
    </row>
    <row r="39" spans="1:23" x14ac:dyDescent="0.35">
      <c r="A39" s="138" t="s">
        <v>3199</v>
      </c>
      <c r="B39" s="138" t="s">
        <v>3216</v>
      </c>
      <c r="C39" s="67" t="s">
        <v>3332</v>
      </c>
      <c r="D39" s="65" t="s">
        <v>3333</v>
      </c>
      <c r="E39" s="31" t="str">
        <f>SUBSTITUTE(NfsExports[[#This Row],[FMO Volume Name]],"_","-")</f>
        <v>vmpfbpf2dcx07-apps-pcehr</v>
      </c>
      <c r="F39" s="66" t="s">
        <v>3248</v>
      </c>
      <c r="G39" s="67">
        <v>30</v>
      </c>
      <c r="H39" s="31">
        <f>MAX(NfsExports[[#This Row],[Required Quota (GB)]],100)</f>
        <v>100</v>
      </c>
      <c r="I39">
        <v>12.8</v>
      </c>
      <c r="K39" s="66" t="s">
        <v>3249</v>
      </c>
      <c r="M3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10.98.73.29</v>
      </c>
      <c r="N39" t="str" cm="1">
        <f t="array" ref="N39">_xlfn.TEXTJOIN(",",TRUE,IF(NfsExports[[#This Row],[FMO Volume Name]]=NfsExportsVNets[FMO Volume Name],NfsExportsVNets[FMO Vnet Subnet],""))</f>
        <v/>
      </c>
      <c r="O39" t="str" cm="1">
        <f t="array" ref="O39">_xlfn.TEXTJOIN(",",TRUE,IF(NfsExports[[#This Row],[FMO Volume Name]]=NfsExportsSubnets[FMO Volume Name],NfsExportsSubnets[FMO Subnet CIDR],""))</f>
        <v/>
      </c>
      <c r="P39" t="str" cm="1">
        <f t="array" ref="P39">IFERROR(_xlfn.TEXTJOIN(",",TRUE,_xlfn._xlws.FILTER(NfsExportsServices[FMO VM Name Summary],NfsExports[[#This Row],[FMO Volume Name]]=NfsExportsServices[FMO Volume Name])),"")</f>
        <v/>
      </c>
      <c r="Q39" s="31" t="str">
        <f>_xlfn.TEXTJOIN(",",TRUE,NfsExports[[#This Row],[FMO Export Override]:[FMO Export Service IPs]])</f>
        <v>10.98.73.29</v>
      </c>
      <c r="R39" s="31" t="str">
        <f>NfsExports[[#This Row],[FMO Mount Path Estimated]]&amp;" "&amp;NfsExports[[#This Row],[Required Quota (GB)]]&amp;"GB"</f>
        <v>/apps/pcehr 30GB</v>
      </c>
      <c r="S39" s="31" t="s">
        <v>3250</v>
      </c>
      <c r="T39" s="31" t="s">
        <v>4723</v>
      </c>
      <c r="U39" s="32" t="s">
        <v>3334</v>
      </c>
      <c r="V39">
        <v>12.8</v>
      </c>
      <c r="W39" s="31">
        <f>MAX(0,NfsExports[[#This Row],[Prospective throughput]]-(NfsExports[[#This Row],[Configured Quota (GB)]]*0.064))</f>
        <v>6.4</v>
      </c>
    </row>
    <row r="40" spans="1:23" x14ac:dyDescent="0.35">
      <c r="A40" s="138" t="s">
        <v>3199</v>
      </c>
      <c r="B40" s="138" t="s">
        <v>3216</v>
      </c>
      <c r="C40" s="67" t="s">
        <v>3335</v>
      </c>
      <c r="D40" s="66" t="s">
        <v>3336</v>
      </c>
      <c r="E40" s="31" t="str">
        <f>SUBSTITUTE(NfsExports[[#This Row],[FMO Volume Name]],"_","-")</f>
        <v>vmpfbpf2dcx08-apps-pcehr</v>
      </c>
      <c r="F40" s="66" t="s">
        <v>3248</v>
      </c>
      <c r="G40" s="67">
        <v>30</v>
      </c>
      <c r="H40" s="31">
        <f>MAX(NfsExports[[#This Row],[Required Quota (GB)]],100)</f>
        <v>100</v>
      </c>
      <c r="I40">
        <v>12.8</v>
      </c>
      <c r="K40" s="66" t="s">
        <v>3249</v>
      </c>
      <c r="M4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10.98.73.30</v>
      </c>
      <c r="N40" t="str" cm="1">
        <f t="array" ref="N40">_xlfn.TEXTJOIN(",",TRUE,IF(NfsExports[[#This Row],[FMO Volume Name]]=NfsExportsVNets[FMO Volume Name],NfsExportsVNets[FMO Vnet Subnet],""))</f>
        <v/>
      </c>
      <c r="O40" t="str" cm="1">
        <f t="array" ref="O40">_xlfn.TEXTJOIN(",",TRUE,IF(NfsExports[[#This Row],[FMO Volume Name]]=NfsExportsSubnets[FMO Volume Name],NfsExportsSubnets[FMO Subnet CIDR],""))</f>
        <v/>
      </c>
      <c r="P40" t="str" cm="1">
        <f t="array" ref="P40">IFERROR(_xlfn.TEXTJOIN(",",TRUE,_xlfn._xlws.FILTER(NfsExportsServices[FMO VM Name Summary],NfsExports[[#This Row],[FMO Volume Name]]=NfsExportsServices[FMO Volume Name])),"")</f>
        <v/>
      </c>
      <c r="Q40" s="31" t="str">
        <f>_xlfn.TEXTJOIN(",",TRUE,NfsExports[[#This Row],[FMO Export Override]:[FMO Export Service IPs]])</f>
        <v>10.98.73.30</v>
      </c>
      <c r="R40" s="31" t="str">
        <f>NfsExports[[#This Row],[FMO Mount Path Estimated]]&amp;" "&amp;NfsExports[[#This Row],[Required Quota (GB)]]&amp;"GB"</f>
        <v>/apps/pcehr 30GB</v>
      </c>
      <c r="S40" s="31" t="s">
        <v>3250</v>
      </c>
      <c r="T40" s="31" t="s">
        <v>4723</v>
      </c>
      <c r="U40" s="32" t="s">
        <v>3337</v>
      </c>
      <c r="V40">
        <v>12.8</v>
      </c>
      <c r="W40" s="31">
        <f>MAX(0,NfsExports[[#This Row],[Prospective throughput]]-(NfsExports[[#This Row],[Configured Quota (GB)]]*0.064))</f>
        <v>6.4</v>
      </c>
    </row>
    <row r="41" spans="1:23" x14ac:dyDescent="0.35">
      <c r="A41" s="138" t="s">
        <v>3199</v>
      </c>
      <c r="B41" s="138" t="s">
        <v>3216</v>
      </c>
      <c r="C41" s="67" t="s">
        <v>3338</v>
      </c>
      <c r="D41" s="65" t="s">
        <v>3339</v>
      </c>
      <c r="E41" s="31" t="str">
        <f>SUBSTITUTE(NfsExports[[#This Row],[FMO Volume Name]],"_","-")</f>
        <v>vmpfbpf2dcx09-apps-pcehr</v>
      </c>
      <c r="F41" s="66" t="s">
        <v>3248</v>
      </c>
      <c r="G41" s="67">
        <v>30</v>
      </c>
      <c r="H41" s="31">
        <f>MAX(NfsExports[[#This Row],[Required Quota (GB)]],100)</f>
        <v>100</v>
      </c>
      <c r="I41">
        <v>12.8</v>
      </c>
      <c r="K41" s="66" t="s">
        <v>3249</v>
      </c>
      <c r="M4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10.98.73.31</v>
      </c>
      <c r="N41" t="str" cm="1">
        <f t="array" ref="N41">_xlfn.TEXTJOIN(",",TRUE,IF(NfsExports[[#This Row],[FMO Volume Name]]=NfsExportsVNets[FMO Volume Name],NfsExportsVNets[FMO Vnet Subnet],""))</f>
        <v/>
      </c>
      <c r="O41" t="str" cm="1">
        <f t="array" ref="O41">_xlfn.TEXTJOIN(",",TRUE,IF(NfsExports[[#This Row],[FMO Volume Name]]=NfsExportsSubnets[FMO Volume Name],NfsExportsSubnets[FMO Subnet CIDR],""))</f>
        <v/>
      </c>
      <c r="P41" t="str" cm="1">
        <f t="array" ref="P41">IFERROR(_xlfn.TEXTJOIN(",",TRUE,_xlfn._xlws.FILTER(NfsExportsServices[FMO VM Name Summary],NfsExports[[#This Row],[FMO Volume Name]]=NfsExportsServices[FMO Volume Name])),"")</f>
        <v/>
      </c>
      <c r="Q41" s="31" t="str">
        <f>_xlfn.TEXTJOIN(",",TRUE,NfsExports[[#This Row],[FMO Export Override]:[FMO Export Service IPs]])</f>
        <v>10.98.73.31</v>
      </c>
      <c r="R41" s="31" t="str">
        <f>NfsExports[[#This Row],[FMO Mount Path Estimated]]&amp;" "&amp;NfsExports[[#This Row],[Required Quota (GB)]]&amp;"GB"</f>
        <v>/apps/pcehr 30GB</v>
      </c>
      <c r="S41" s="31" t="s">
        <v>3250</v>
      </c>
      <c r="T41" s="31" t="s">
        <v>4723</v>
      </c>
      <c r="U41" s="32" t="s">
        <v>3340</v>
      </c>
      <c r="V41">
        <v>12.8</v>
      </c>
      <c r="W41" s="31">
        <f>MAX(0,NfsExports[[#This Row],[Prospective throughput]]-(NfsExports[[#This Row],[Configured Quota (GB)]]*0.064))</f>
        <v>6.4</v>
      </c>
    </row>
    <row r="42" spans="1:23" x14ac:dyDescent="0.35">
      <c r="A42" s="138" t="s">
        <v>3199</v>
      </c>
      <c r="B42" s="138" t="s">
        <v>3216</v>
      </c>
      <c r="C42" s="67" t="s">
        <v>3341</v>
      </c>
      <c r="D42" s="66" t="s">
        <v>3342</v>
      </c>
      <c r="E42" s="31" t="str">
        <f>SUBSTITUTE(NfsExports[[#This Row],[FMO Volume Name]],"_","-")</f>
        <v>vmpfbpf2dcx10-apps-pcehr</v>
      </c>
      <c r="F42" s="66" t="s">
        <v>3248</v>
      </c>
      <c r="G42" s="67">
        <v>30</v>
      </c>
      <c r="H42" s="31">
        <f>MAX(NfsExports[[#This Row],[Required Quota (GB)]],100)</f>
        <v>100</v>
      </c>
      <c r="I42">
        <v>12.8</v>
      </c>
      <c r="K42" s="66" t="s">
        <v>3249</v>
      </c>
      <c r="M4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10.98.73.32</v>
      </c>
      <c r="N42" t="str" cm="1">
        <f t="array" ref="N42">_xlfn.TEXTJOIN(",",TRUE,IF(NfsExports[[#This Row],[FMO Volume Name]]=NfsExportsVNets[FMO Volume Name],NfsExportsVNets[FMO Vnet Subnet],""))</f>
        <v/>
      </c>
      <c r="O42" t="str" cm="1">
        <f t="array" ref="O42">_xlfn.TEXTJOIN(",",TRUE,IF(NfsExports[[#This Row],[FMO Volume Name]]=NfsExportsSubnets[FMO Volume Name],NfsExportsSubnets[FMO Subnet CIDR],""))</f>
        <v/>
      </c>
      <c r="P42" t="str" cm="1">
        <f t="array" ref="P42">IFERROR(_xlfn.TEXTJOIN(",",TRUE,_xlfn._xlws.FILTER(NfsExportsServices[FMO VM Name Summary],NfsExports[[#This Row],[FMO Volume Name]]=NfsExportsServices[FMO Volume Name])),"")</f>
        <v/>
      </c>
      <c r="Q42" s="31" t="str">
        <f>_xlfn.TEXTJOIN(",",TRUE,NfsExports[[#This Row],[FMO Export Override]:[FMO Export Service IPs]])</f>
        <v>10.98.73.32</v>
      </c>
      <c r="R42" s="31" t="str">
        <f>NfsExports[[#This Row],[FMO Mount Path Estimated]]&amp;" "&amp;NfsExports[[#This Row],[Required Quota (GB)]]&amp;"GB"</f>
        <v>/apps/pcehr 30GB</v>
      </c>
      <c r="S42" s="31" t="s">
        <v>3250</v>
      </c>
      <c r="T42" s="31" t="s">
        <v>4723</v>
      </c>
      <c r="U42" s="32" t="s">
        <v>3343</v>
      </c>
      <c r="V42">
        <v>12.8</v>
      </c>
      <c r="W42" s="31">
        <f>MAX(0,NfsExports[[#This Row],[Prospective throughput]]-(NfsExports[[#This Row],[Configured Quota (GB)]]*0.064))</f>
        <v>6.4</v>
      </c>
    </row>
    <row r="43" spans="1:23" x14ac:dyDescent="0.35">
      <c r="A43" s="138" t="s">
        <v>3199</v>
      </c>
      <c r="B43" s="138" t="s">
        <v>3216</v>
      </c>
      <c r="C43" s="67" t="s">
        <v>3344</v>
      </c>
      <c r="D43" s="65" t="s">
        <v>3345</v>
      </c>
      <c r="E43" s="31" t="str">
        <f>SUBSTITUTE(NfsExports[[#This Row],[FMO Volume Name]],"_","-")</f>
        <v>vmpfbpf2dsm01-apps-pcehr</v>
      </c>
      <c r="F43" s="66" t="s">
        <v>3248</v>
      </c>
      <c r="G43" s="67">
        <v>30</v>
      </c>
      <c r="H43" s="31">
        <f>MAX(NfsExports[[#This Row],[Required Quota (GB)]],100)</f>
        <v>100</v>
      </c>
      <c r="I43">
        <v>12.8</v>
      </c>
      <c r="K43" s="66" t="s">
        <v>3249</v>
      </c>
      <c r="M4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10.98.73.47</v>
      </c>
      <c r="N43" t="str" cm="1">
        <f t="array" ref="N43">_xlfn.TEXTJOIN(",",TRUE,IF(NfsExports[[#This Row],[FMO Volume Name]]=NfsExportsVNets[FMO Volume Name],NfsExportsVNets[FMO Vnet Subnet],""))</f>
        <v/>
      </c>
      <c r="O43" t="str" cm="1">
        <f t="array" ref="O43">_xlfn.TEXTJOIN(",",TRUE,IF(NfsExports[[#This Row],[FMO Volume Name]]=NfsExportsSubnets[FMO Volume Name],NfsExportsSubnets[FMO Subnet CIDR],""))</f>
        <v/>
      </c>
      <c r="P43" t="str" cm="1">
        <f t="array" ref="P43">IFERROR(_xlfn.TEXTJOIN(",",TRUE,_xlfn._xlws.FILTER(NfsExportsServices[FMO VM Name Summary],NfsExports[[#This Row],[FMO Volume Name]]=NfsExportsServices[FMO Volume Name])),"")</f>
        <v/>
      </c>
      <c r="Q43" s="31" t="str">
        <f>_xlfn.TEXTJOIN(",",TRUE,NfsExports[[#This Row],[FMO Export Override]:[FMO Export Service IPs]])</f>
        <v>10.98.73.47</v>
      </c>
      <c r="R43" s="31" t="str">
        <f>NfsExports[[#This Row],[FMO Mount Path Estimated]]&amp;" "&amp;NfsExports[[#This Row],[Required Quota (GB)]]&amp;"GB"</f>
        <v>/apps/pcehr 30GB</v>
      </c>
      <c r="S43" s="31" t="s">
        <v>3250</v>
      </c>
      <c r="T43" s="31" t="s">
        <v>4723</v>
      </c>
      <c r="U43" s="32" t="s">
        <v>3346</v>
      </c>
      <c r="V43">
        <v>12.8</v>
      </c>
      <c r="W43" s="31">
        <f>MAX(0,NfsExports[[#This Row],[Prospective throughput]]-(NfsExports[[#This Row],[Configured Quota (GB)]]*0.064))</f>
        <v>6.4</v>
      </c>
    </row>
    <row r="44" spans="1:23" x14ac:dyDescent="0.35">
      <c r="A44" s="138" t="s">
        <v>3199</v>
      </c>
      <c r="B44" s="138" t="s">
        <v>3216</v>
      </c>
      <c r="C44" s="67" t="s">
        <v>3347</v>
      </c>
      <c r="D44" s="66" t="s">
        <v>3348</v>
      </c>
      <c r="E44" s="31" t="str">
        <f>SUBSTITUTE(NfsExports[[#This Row],[FMO Volume Name]],"_","-")</f>
        <v>vmpfbpf2fhi01-apps-pcehr</v>
      </c>
      <c r="F44" s="66" t="s">
        <v>3248</v>
      </c>
      <c r="G44" s="67">
        <v>40</v>
      </c>
      <c r="H44" s="31">
        <f>MAX(NfsExports[[#This Row],[Required Quota (GB)]],100)</f>
        <v>100</v>
      </c>
      <c r="I44">
        <v>16</v>
      </c>
      <c r="K44" s="66" t="s">
        <v>3249</v>
      </c>
      <c r="M4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10.98.72.11</v>
      </c>
      <c r="N44" t="str" cm="1">
        <f t="array" ref="N44">_xlfn.TEXTJOIN(",",TRUE,IF(NfsExports[[#This Row],[FMO Volume Name]]=NfsExportsVNets[FMO Volume Name],NfsExportsVNets[FMO Vnet Subnet],""))</f>
        <v/>
      </c>
      <c r="O44" t="str" cm="1">
        <f t="array" ref="O44">_xlfn.TEXTJOIN(",",TRUE,IF(NfsExports[[#This Row],[FMO Volume Name]]=NfsExportsSubnets[FMO Volume Name],NfsExportsSubnets[FMO Subnet CIDR],""))</f>
        <v/>
      </c>
      <c r="P44" t="str" cm="1">
        <f t="array" ref="P44">IFERROR(_xlfn.TEXTJOIN(",",TRUE,_xlfn._xlws.FILTER(NfsExportsServices[FMO VM Name Summary],NfsExports[[#This Row],[FMO Volume Name]]=NfsExportsServices[FMO Volume Name])),"")</f>
        <v/>
      </c>
      <c r="Q44" s="31" t="str">
        <f>_xlfn.TEXTJOIN(",",TRUE,NfsExports[[#This Row],[FMO Export Override]:[FMO Export Service IPs]])</f>
        <v>10.98.72.11</v>
      </c>
      <c r="R44" s="31" t="str">
        <f>NfsExports[[#This Row],[FMO Mount Path Estimated]]&amp;" "&amp;NfsExports[[#This Row],[Required Quota (GB)]]&amp;"GB"</f>
        <v>/apps/pcehr 40GB</v>
      </c>
      <c r="S44" s="31" t="s">
        <v>3349</v>
      </c>
      <c r="T44" s="31" t="s">
        <v>4723</v>
      </c>
      <c r="U44" s="32" t="s">
        <v>3350</v>
      </c>
      <c r="V44">
        <v>16</v>
      </c>
      <c r="W44" s="31">
        <f>MAX(0,NfsExports[[#This Row],[Prospective throughput]]-(NfsExports[[#This Row],[Configured Quota (GB)]]*0.064))</f>
        <v>9.6</v>
      </c>
    </row>
    <row r="45" spans="1:23" x14ac:dyDescent="0.35">
      <c r="A45" s="138" t="s">
        <v>3199</v>
      </c>
      <c r="B45" s="138" t="s">
        <v>3216</v>
      </c>
      <c r="C45" s="67" t="s">
        <v>3351</v>
      </c>
      <c r="D45" s="66" t="s">
        <v>3352</v>
      </c>
      <c r="E45" s="31" t="str">
        <f>SUBSTITUTE(NfsExports[[#This Row],[FMO Volume Name]],"_","-")</f>
        <v>vmpfbpf2fhi02-apps-pcehr</v>
      </c>
      <c r="F45" s="66" t="s">
        <v>3248</v>
      </c>
      <c r="G45" s="67">
        <v>40</v>
      </c>
      <c r="H45" s="31">
        <f>MAX(NfsExports[[#This Row],[Required Quota (GB)]],100)</f>
        <v>100</v>
      </c>
      <c r="I45">
        <v>16</v>
      </c>
      <c r="K45" s="66" t="s">
        <v>3249</v>
      </c>
      <c r="M4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10.98.72.12</v>
      </c>
      <c r="N45" t="str" cm="1">
        <f t="array" ref="N45">_xlfn.TEXTJOIN(",",TRUE,IF(NfsExports[[#This Row],[FMO Volume Name]]=NfsExportsVNets[FMO Volume Name],NfsExportsVNets[FMO Vnet Subnet],""))</f>
        <v/>
      </c>
      <c r="O45" t="str" cm="1">
        <f t="array" ref="O45">_xlfn.TEXTJOIN(",",TRUE,IF(NfsExports[[#This Row],[FMO Volume Name]]=NfsExportsSubnets[FMO Volume Name],NfsExportsSubnets[FMO Subnet CIDR],""))</f>
        <v/>
      </c>
      <c r="P45" t="str" cm="1">
        <f t="array" ref="P45">IFERROR(_xlfn.TEXTJOIN(",",TRUE,_xlfn._xlws.FILTER(NfsExportsServices[FMO VM Name Summary],NfsExports[[#This Row],[FMO Volume Name]]=NfsExportsServices[FMO Volume Name])),"")</f>
        <v/>
      </c>
      <c r="Q45" s="31" t="str">
        <f>_xlfn.TEXTJOIN(",",TRUE,NfsExports[[#This Row],[FMO Export Override]:[FMO Export Service IPs]])</f>
        <v>10.98.72.12</v>
      </c>
      <c r="R45" s="31" t="str">
        <f>NfsExports[[#This Row],[FMO Mount Path Estimated]]&amp;" "&amp;NfsExports[[#This Row],[Required Quota (GB)]]&amp;"GB"</f>
        <v>/apps/pcehr 40GB</v>
      </c>
      <c r="S45" s="31" t="s">
        <v>3349</v>
      </c>
      <c r="T45" s="31" t="s">
        <v>4723</v>
      </c>
      <c r="U45" s="32" t="s">
        <v>3353</v>
      </c>
      <c r="V45">
        <v>16</v>
      </c>
      <c r="W45" s="31">
        <f>MAX(0,NfsExports[[#This Row],[Prospective throughput]]-(NfsExports[[#This Row],[Configured Quota (GB)]]*0.064))</f>
        <v>9.6</v>
      </c>
    </row>
    <row r="46" spans="1:23" x14ac:dyDescent="0.35">
      <c r="A46" s="138" t="s">
        <v>3199</v>
      </c>
      <c r="B46" s="138" t="s">
        <v>3216</v>
      </c>
      <c r="C46" s="67" t="s">
        <v>3354</v>
      </c>
      <c r="D46" s="66" t="s">
        <v>3355</v>
      </c>
      <c r="E46" s="31" t="str">
        <f>SUBSTITUTE(NfsExports[[#This Row],[FMO Volume Name]],"_","-")</f>
        <v>vmpfbpf2fhi03-apps-pcehr</v>
      </c>
      <c r="F46" s="66" t="s">
        <v>3248</v>
      </c>
      <c r="G46" s="67">
        <v>40</v>
      </c>
      <c r="H46" s="31">
        <f>MAX(NfsExports[[#This Row],[Required Quota (GB)]],100)</f>
        <v>100</v>
      </c>
      <c r="I46">
        <v>16</v>
      </c>
      <c r="K46" s="66" t="s">
        <v>3249</v>
      </c>
      <c r="M4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10.98.72.13</v>
      </c>
      <c r="N46" t="str" cm="1">
        <f t="array" ref="N46">_xlfn.TEXTJOIN(",",TRUE,IF(NfsExports[[#This Row],[FMO Volume Name]]=NfsExportsVNets[FMO Volume Name],NfsExportsVNets[FMO Vnet Subnet],""))</f>
        <v/>
      </c>
      <c r="O46" t="str" cm="1">
        <f t="array" ref="O46">_xlfn.TEXTJOIN(",",TRUE,IF(NfsExports[[#This Row],[FMO Volume Name]]=NfsExportsSubnets[FMO Volume Name],NfsExportsSubnets[FMO Subnet CIDR],""))</f>
        <v/>
      </c>
      <c r="P46" t="str" cm="1">
        <f t="array" ref="P46">IFERROR(_xlfn.TEXTJOIN(",",TRUE,_xlfn._xlws.FILTER(NfsExportsServices[FMO VM Name Summary],NfsExports[[#This Row],[FMO Volume Name]]=NfsExportsServices[FMO Volume Name])),"")</f>
        <v/>
      </c>
      <c r="Q46" s="31" t="str">
        <f>_xlfn.TEXTJOIN(",",TRUE,NfsExports[[#This Row],[FMO Export Override]:[FMO Export Service IPs]])</f>
        <v>10.98.72.13</v>
      </c>
      <c r="R46" s="31" t="str">
        <f>NfsExports[[#This Row],[FMO Mount Path Estimated]]&amp;" "&amp;NfsExports[[#This Row],[Required Quota (GB)]]&amp;"GB"</f>
        <v>/apps/pcehr 40GB</v>
      </c>
      <c r="S46" s="31" t="s">
        <v>3349</v>
      </c>
      <c r="T46" s="31" t="s">
        <v>4723</v>
      </c>
      <c r="U46" s="32" t="s">
        <v>3356</v>
      </c>
      <c r="V46">
        <v>16</v>
      </c>
      <c r="W46" s="31">
        <f>MAX(0,NfsExports[[#This Row],[Prospective throughput]]-(NfsExports[[#This Row],[Configured Quota (GB)]]*0.064))</f>
        <v>9.6</v>
      </c>
    </row>
    <row r="47" spans="1:23" x14ac:dyDescent="0.35">
      <c r="A47" s="138" t="s">
        <v>3199</v>
      </c>
      <c r="B47" s="138" t="s">
        <v>3216</v>
      </c>
      <c r="C47" s="67" t="s">
        <v>3357</v>
      </c>
      <c r="D47" s="66" t="s">
        <v>3358</v>
      </c>
      <c r="E47" s="31" t="str">
        <f>SUBSTITUTE(NfsExports[[#This Row],[FMO Volume Name]],"_","-")</f>
        <v>vmpfbpf2fhi04-apps-pcehr</v>
      </c>
      <c r="F47" s="66" t="s">
        <v>3248</v>
      </c>
      <c r="G47" s="67">
        <v>40</v>
      </c>
      <c r="H47" s="31">
        <f>MAX(NfsExports[[#This Row],[Required Quota (GB)]],100)</f>
        <v>100</v>
      </c>
      <c r="I47">
        <v>16</v>
      </c>
      <c r="K47" s="66" t="s">
        <v>3249</v>
      </c>
      <c r="M4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10.98.72.14</v>
      </c>
      <c r="N47" t="str" cm="1">
        <f t="array" ref="N47">_xlfn.TEXTJOIN(",",TRUE,IF(NfsExports[[#This Row],[FMO Volume Name]]=NfsExportsVNets[FMO Volume Name],NfsExportsVNets[FMO Vnet Subnet],""))</f>
        <v/>
      </c>
      <c r="O47" t="str" cm="1">
        <f t="array" ref="O47">_xlfn.TEXTJOIN(",",TRUE,IF(NfsExports[[#This Row],[FMO Volume Name]]=NfsExportsSubnets[FMO Volume Name],NfsExportsSubnets[FMO Subnet CIDR],""))</f>
        <v/>
      </c>
      <c r="P47" t="str" cm="1">
        <f t="array" ref="P47">IFERROR(_xlfn.TEXTJOIN(",",TRUE,_xlfn._xlws.FILTER(NfsExportsServices[FMO VM Name Summary],NfsExports[[#This Row],[FMO Volume Name]]=NfsExportsServices[FMO Volume Name])),"")</f>
        <v/>
      </c>
      <c r="Q47" s="31" t="str">
        <f>_xlfn.TEXTJOIN(",",TRUE,NfsExports[[#This Row],[FMO Export Override]:[FMO Export Service IPs]])</f>
        <v>10.98.72.14</v>
      </c>
      <c r="R47" s="31" t="str">
        <f>NfsExports[[#This Row],[FMO Mount Path Estimated]]&amp;" "&amp;NfsExports[[#This Row],[Required Quota (GB)]]&amp;"GB"</f>
        <v>/apps/pcehr 40GB</v>
      </c>
      <c r="S47" s="31" t="s">
        <v>3349</v>
      </c>
      <c r="T47" s="31" t="s">
        <v>4723</v>
      </c>
      <c r="U47" s="32" t="s">
        <v>3359</v>
      </c>
      <c r="V47">
        <v>16</v>
      </c>
      <c r="W47" s="31">
        <f>MAX(0,NfsExports[[#This Row],[Prospective throughput]]-(NfsExports[[#This Row],[Configured Quota (GB)]]*0.064))</f>
        <v>9.6</v>
      </c>
    </row>
    <row r="48" spans="1:23" x14ac:dyDescent="0.35">
      <c r="A48" s="138" t="s">
        <v>3199</v>
      </c>
      <c r="B48" s="138" t="s">
        <v>3216</v>
      </c>
      <c r="C48" s="67" t="s">
        <v>3360</v>
      </c>
      <c r="D48" s="66" t="s">
        <v>3361</v>
      </c>
      <c r="E48" s="31" t="str">
        <f>SUBSTITUTE(NfsExports[[#This Row],[FMO Volume Name]],"_","-")</f>
        <v>vmpfbpf2hdr01-apps-pcehr</v>
      </c>
      <c r="F48" s="66" t="s">
        <v>3248</v>
      </c>
      <c r="G48" s="67">
        <v>45</v>
      </c>
      <c r="H48" s="31">
        <f>MAX(NfsExports[[#This Row],[Required Quota (GB)]],100)</f>
        <v>100</v>
      </c>
      <c r="I48">
        <v>16</v>
      </c>
      <c r="K48" s="66" t="s">
        <v>3249</v>
      </c>
      <c r="M4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10.98.73.48</v>
      </c>
      <c r="N48" t="str" cm="1">
        <f t="array" ref="N48">_xlfn.TEXTJOIN(",",TRUE,IF(NfsExports[[#This Row],[FMO Volume Name]]=NfsExportsVNets[FMO Volume Name],NfsExportsVNets[FMO Vnet Subnet],""))</f>
        <v/>
      </c>
      <c r="O48" t="str" cm="1">
        <f t="array" ref="O48">_xlfn.TEXTJOIN(",",TRUE,IF(NfsExports[[#This Row],[FMO Volume Name]]=NfsExportsSubnets[FMO Volume Name],NfsExportsSubnets[FMO Subnet CIDR],""))</f>
        <v/>
      </c>
      <c r="P48" t="str" cm="1">
        <f t="array" ref="P48">IFERROR(_xlfn.TEXTJOIN(",",TRUE,_xlfn._xlws.FILTER(NfsExportsServices[FMO VM Name Summary],NfsExports[[#This Row],[FMO Volume Name]]=NfsExportsServices[FMO Volume Name])),"")</f>
        <v/>
      </c>
      <c r="Q48" s="31" t="str">
        <f>_xlfn.TEXTJOIN(",",TRUE,NfsExports[[#This Row],[FMO Export Override]:[FMO Export Service IPs]])</f>
        <v>10.98.73.48</v>
      </c>
      <c r="R48" s="31" t="str">
        <f>NfsExports[[#This Row],[FMO Mount Path Estimated]]&amp;" "&amp;NfsExports[[#This Row],[Required Quota (GB)]]&amp;"GB"</f>
        <v>/apps/pcehr 45GB</v>
      </c>
      <c r="S48" s="31" t="s">
        <v>3362</v>
      </c>
      <c r="T48" s="31" t="s">
        <v>4723</v>
      </c>
      <c r="U48" s="32" t="s">
        <v>3363</v>
      </c>
      <c r="V48">
        <v>12</v>
      </c>
      <c r="W48" s="31">
        <f>MAX(0,NfsExports[[#This Row],[Prospective throughput]]-(NfsExports[[#This Row],[Configured Quota (GB)]]*0.064))</f>
        <v>5.6</v>
      </c>
    </row>
    <row r="49" spans="1:23" x14ac:dyDescent="0.35">
      <c r="A49" s="138" t="s">
        <v>3199</v>
      </c>
      <c r="B49" s="138" t="s">
        <v>3216</v>
      </c>
      <c r="C49" s="67" t="s">
        <v>3364</v>
      </c>
      <c r="D49" s="65" t="s">
        <v>3365</v>
      </c>
      <c r="E49" s="31" t="str">
        <f>SUBSTITUTE(NfsExports[[#This Row],[FMO Volume Name]],"_","-")</f>
        <v>vmpfbpf2hdr02-apps-pcehr</v>
      </c>
      <c r="F49" s="66" t="s">
        <v>3248</v>
      </c>
      <c r="G49" s="67">
        <v>45</v>
      </c>
      <c r="H49" s="31">
        <f>MAX(NfsExports[[#This Row],[Required Quota (GB)]],100)</f>
        <v>100</v>
      </c>
      <c r="I49">
        <v>12.8</v>
      </c>
      <c r="K49" s="66" t="s">
        <v>3249</v>
      </c>
      <c r="M4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10.98.73.49</v>
      </c>
      <c r="N49" t="str" cm="1">
        <f t="array" ref="N49">_xlfn.TEXTJOIN(",",TRUE,IF(NfsExports[[#This Row],[FMO Volume Name]]=NfsExportsVNets[FMO Volume Name],NfsExportsVNets[FMO Vnet Subnet],""))</f>
        <v/>
      </c>
      <c r="O49" t="str" cm="1">
        <f t="array" ref="O49">_xlfn.TEXTJOIN(",",TRUE,IF(NfsExports[[#This Row],[FMO Volume Name]]=NfsExportsSubnets[FMO Volume Name],NfsExportsSubnets[FMO Subnet CIDR],""))</f>
        <v/>
      </c>
      <c r="P49" t="str" cm="1">
        <f t="array" ref="P49">IFERROR(_xlfn.TEXTJOIN(",",TRUE,_xlfn._xlws.FILTER(NfsExportsServices[FMO VM Name Summary],NfsExports[[#This Row],[FMO Volume Name]]=NfsExportsServices[FMO Volume Name])),"")</f>
        <v/>
      </c>
      <c r="Q49" s="31" t="str">
        <f>_xlfn.TEXTJOIN(",",TRUE,NfsExports[[#This Row],[FMO Export Override]:[FMO Export Service IPs]])</f>
        <v>10.98.73.49</v>
      </c>
      <c r="R49" s="31" t="str">
        <f>NfsExports[[#This Row],[FMO Mount Path Estimated]]&amp;" "&amp;NfsExports[[#This Row],[Required Quota (GB)]]&amp;"GB"</f>
        <v>/apps/pcehr 45GB</v>
      </c>
      <c r="S49" s="31" t="s">
        <v>3366</v>
      </c>
      <c r="T49" s="31" t="s">
        <v>4723</v>
      </c>
      <c r="U49" s="32" t="s">
        <v>3367</v>
      </c>
      <c r="V49">
        <v>12.8</v>
      </c>
      <c r="W49" s="31">
        <f>MAX(0,NfsExports[[#This Row],[Prospective throughput]]-(NfsExports[[#This Row],[Configured Quota (GB)]]*0.064))</f>
        <v>6.4</v>
      </c>
    </row>
    <row r="50" spans="1:23" x14ac:dyDescent="0.35">
      <c r="A50" s="138" t="s">
        <v>3199</v>
      </c>
      <c r="B50" s="138" t="s">
        <v>3216</v>
      </c>
      <c r="C50" s="67" t="s">
        <v>3368</v>
      </c>
      <c r="D50" s="66" t="s">
        <v>3369</v>
      </c>
      <c r="E50" s="31" t="str">
        <f>SUBSTITUTE(NfsExports[[#This Row],[FMO Volume Name]],"_","-")</f>
        <v>vmpfbpf2hdr03-apps-pcehr</v>
      </c>
      <c r="F50" s="66" t="s">
        <v>3248</v>
      </c>
      <c r="G50" s="67">
        <v>45</v>
      </c>
      <c r="H50" s="31">
        <f>MAX(NfsExports[[#This Row],[Required Quota (GB)]],100)</f>
        <v>100</v>
      </c>
      <c r="I50">
        <v>12.8</v>
      </c>
      <c r="K50" s="66" t="s">
        <v>3249</v>
      </c>
      <c r="M5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10.98.73.50</v>
      </c>
      <c r="N50" t="str" cm="1">
        <f t="array" ref="N50">_xlfn.TEXTJOIN(",",TRUE,IF(NfsExports[[#This Row],[FMO Volume Name]]=NfsExportsVNets[FMO Volume Name],NfsExportsVNets[FMO Vnet Subnet],""))</f>
        <v/>
      </c>
      <c r="O50" t="str" cm="1">
        <f t="array" ref="O50">_xlfn.TEXTJOIN(",",TRUE,IF(NfsExports[[#This Row],[FMO Volume Name]]=NfsExportsSubnets[FMO Volume Name],NfsExportsSubnets[FMO Subnet CIDR],""))</f>
        <v/>
      </c>
      <c r="P50" t="str" cm="1">
        <f t="array" ref="P50">IFERROR(_xlfn.TEXTJOIN(",",TRUE,_xlfn._xlws.FILTER(NfsExportsServices[FMO VM Name Summary],NfsExports[[#This Row],[FMO Volume Name]]=NfsExportsServices[FMO Volume Name])),"")</f>
        <v/>
      </c>
      <c r="Q50" s="31" t="str">
        <f>_xlfn.TEXTJOIN(",",TRUE,NfsExports[[#This Row],[FMO Export Override]:[FMO Export Service IPs]])</f>
        <v>10.98.73.50</v>
      </c>
      <c r="R50" s="31" t="str">
        <f>NfsExports[[#This Row],[FMO Mount Path Estimated]]&amp;" "&amp;NfsExports[[#This Row],[Required Quota (GB)]]&amp;"GB"</f>
        <v>/apps/pcehr 45GB</v>
      </c>
      <c r="S50" s="31" t="s">
        <v>3366</v>
      </c>
      <c r="T50" s="31" t="s">
        <v>4723</v>
      </c>
      <c r="U50" s="32" t="s">
        <v>3370</v>
      </c>
      <c r="V50">
        <v>12.8</v>
      </c>
      <c r="W50" s="31">
        <f>MAX(0,NfsExports[[#This Row],[Prospective throughput]]-(NfsExports[[#This Row],[Configured Quota (GB)]]*0.064))</f>
        <v>6.4</v>
      </c>
    </row>
    <row r="51" spans="1:23" x14ac:dyDescent="0.35">
      <c r="A51" s="138" t="s">
        <v>3199</v>
      </c>
      <c r="B51" s="138" t="s">
        <v>3216</v>
      </c>
      <c r="C51" s="67" t="s">
        <v>3371</v>
      </c>
      <c r="D51" s="65" t="s">
        <v>3372</v>
      </c>
      <c r="E51" s="31" t="str">
        <f>SUBSTITUTE(NfsExports[[#This Row],[FMO Volume Name]],"_","-")</f>
        <v>vmpfbpf2hdr04-apps-pcehr</v>
      </c>
      <c r="F51" s="66" t="s">
        <v>3248</v>
      </c>
      <c r="G51" s="67">
        <v>45</v>
      </c>
      <c r="H51" s="31">
        <f>MAX(NfsExports[[#This Row],[Required Quota (GB)]],100)</f>
        <v>100</v>
      </c>
      <c r="I51">
        <v>16</v>
      </c>
      <c r="K51" s="66" t="s">
        <v>3249</v>
      </c>
      <c r="M5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10.98.73.51</v>
      </c>
      <c r="N51" t="str" cm="1">
        <f t="array" ref="N51">_xlfn.TEXTJOIN(",",TRUE,IF(NfsExports[[#This Row],[FMO Volume Name]]=NfsExportsVNets[FMO Volume Name],NfsExportsVNets[FMO Vnet Subnet],""))</f>
        <v/>
      </c>
      <c r="O51" t="str" cm="1">
        <f t="array" ref="O51">_xlfn.TEXTJOIN(",",TRUE,IF(NfsExports[[#This Row],[FMO Volume Name]]=NfsExportsSubnets[FMO Volume Name],NfsExportsSubnets[FMO Subnet CIDR],""))</f>
        <v/>
      </c>
      <c r="P51" t="str" cm="1">
        <f t="array" ref="P51">IFERROR(_xlfn.TEXTJOIN(",",TRUE,_xlfn._xlws.FILTER(NfsExportsServices[FMO VM Name Summary],NfsExports[[#This Row],[FMO Volume Name]]=NfsExportsServices[FMO Volume Name])),"")</f>
        <v/>
      </c>
      <c r="Q51" s="31" t="str">
        <f>_xlfn.TEXTJOIN(",",TRUE,NfsExports[[#This Row],[FMO Export Override]:[FMO Export Service IPs]])</f>
        <v>10.98.73.51</v>
      </c>
      <c r="R51" s="31" t="str">
        <f>NfsExports[[#This Row],[FMO Mount Path Estimated]]&amp;" "&amp;NfsExports[[#This Row],[Required Quota (GB)]]&amp;"GB"</f>
        <v>/apps/pcehr 45GB</v>
      </c>
      <c r="S51" s="31" t="s">
        <v>3362</v>
      </c>
      <c r="T51" s="31" t="s">
        <v>4723</v>
      </c>
      <c r="U51" s="32" t="s">
        <v>3373</v>
      </c>
      <c r="V51">
        <v>12.8</v>
      </c>
      <c r="W51" s="31">
        <f>MAX(0,NfsExports[[#This Row],[Prospective throughput]]-(NfsExports[[#This Row],[Configured Quota (GB)]]*0.064))</f>
        <v>6.4</v>
      </c>
    </row>
    <row r="52" spans="1:23" x14ac:dyDescent="0.35">
      <c r="A52" s="138" t="s">
        <v>3199</v>
      </c>
      <c r="B52" s="138" t="s">
        <v>3216</v>
      </c>
      <c r="C52" s="67" t="s">
        <v>3374</v>
      </c>
      <c r="D52" s="66" t="s">
        <v>3375</v>
      </c>
      <c r="E52" s="31" t="str">
        <f>SUBSTITUTE(NfsExports[[#This Row],[FMO Volume Name]],"_","-")</f>
        <v>vmpfbpf2hdr05-apps-pcehr</v>
      </c>
      <c r="F52" s="66" t="s">
        <v>3248</v>
      </c>
      <c r="G52" s="67">
        <v>45</v>
      </c>
      <c r="H52" s="31">
        <f>MAX(NfsExports[[#This Row],[Required Quota (GB)]],100)</f>
        <v>100</v>
      </c>
      <c r="I52">
        <v>12.8</v>
      </c>
      <c r="K52" s="66" t="s">
        <v>3249</v>
      </c>
      <c r="M5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10.98.73.52</v>
      </c>
      <c r="N52" t="str" cm="1">
        <f t="array" ref="N52">_xlfn.TEXTJOIN(",",TRUE,IF(NfsExports[[#This Row],[FMO Volume Name]]=NfsExportsVNets[FMO Volume Name],NfsExportsVNets[FMO Vnet Subnet],""))</f>
        <v/>
      </c>
      <c r="O52" t="str" cm="1">
        <f t="array" ref="O52">_xlfn.TEXTJOIN(",",TRUE,IF(NfsExports[[#This Row],[FMO Volume Name]]=NfsExportsSubnets[FMO Volume Name],NfsExportsSubnets[FMO Subnet CIDR],""))</f>
        <v/>
      </c>
      <c r="P52" t="str" cm="1">
        <f t="array" ref="P52">IFERROR(_xlfn.TEXTJOIN(",",TRUE,_xlfn._xlws.FILTER(NfsExportsServices[FMO VM Name Summary],NfsExports[[#This Row],[FMO Volume Name]]=NfsExportsServices[FMO Volume Name])),"")</f>
        <v/>
      </c>
      <c r="Q52" s="31" t="str">
        <f>_xlfn.TEXTJOIN(",",TRUE,NfsExports[[#This Row],[FMO Export Override]:[FMO Export Service IPs]])</f>
        <v>10.98.73.52</v>
      </c>
      <c r="R52" s="31" t="str">
        <f>NfsExports[[#This Row],[FMO Mount Path Estimated]]&amp;" "&amp;NfsExports[[#This Row],[Required Quota (GB)]]&amp;"GB"</f>
        <v>/apps/pcehr 45GB</v>
      </c>
      <c r="S52" s="31" t="s">
        <v>3366</v>
      </c>
      <c r="T52" s="31" t="s">
        <v>4723</v>
      </c>
      <c r="U52" s="32" t="s">
        <v>3376</v>
      </c>
      <c r="V52">
        <v>12.8</v>
      </c>
      <c r="W52" s="31">
        <f>MAX(0,NfsExports[[#This Row],[Prospective throughput]]-(NfsExports[[#This Row],[Configured Quota (GB)]]*0.064))</f>
        <v>6.4</v>
      </c>
    </row>
    <row r="53" spans="1:23" x14ac:dyDescent="0.35">
      <c r="A53" s="138" t="s">
        <v>3199</v>
      </c>
      <c r="B53" s="138" t="s">
        <v>3216</v>
      </c>
      <c r="C53" s="67" t="s">
        <v>3377</v>
      </c>
      <c r="D53" s="65" t="s">
        <v>3378</v>
      </c>
      <c r="E53" s="31" t="str">
        <f>SUBSTITUTE(NfsExports[[#This Row],[FMO Volume Name]],"_","-")</f>
        <v>vmpfbpf2hdr06-apps-pcehr</v>
      </c>
      <c r="F53" s="66" t="s">
        <v>3248</v>
      </c>
      <c r="G53" s="67">
        <v>45</v>
      </c>
      <c r="H53" s="31">
        <f>MAX(NfsExports[[#This Row],[Required Quota (GB)]],100)</f>
        <v>100</v>
      </c>
      <c r="I53">
        <v>12.8</v>
      </c>
      <c r="K53" s="66" t="s">
        <v>3249</v>
      </c>
      <c r="M5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10.98.73.53</v>
      </c>
      <c r="N53" t="str" cm="1">
        <f t="array" ref="N53">_xlfn.TEXTJOIN(",",TRUE,IF(NfsExports[[#This Row],[FMO Volume Name]]=NfsExportsVNets[FMO Volume Name],NfsExportsVNets[FMO Vnet Subnet],""))</f>
        <v/>
      </c>
      <c r="O53" t="str" cm="1">
        <f t="array" ref="O53">_xlfn.TEXTJOIN(",",TRUE,IF(NfsExports[[#This Row],[FMO Volume Name]]=NfsExportsSubnets[FMO Volume Name],NfsExportsSubnets[FMO Subnet CIDR],""))</f>
        <v/>
      </c>
      <c r="P53" t="str" cm="1">
        <f t="array" ref="P53">IFERROR(_xlfn.TEXTJOIN(",",TRUE,_xlfn._xlws.FILTER(NfsExportsServices[FMO VM Name Summary],NfsExports[[#This Row],[FMO Volume Name]]=NfsExportsServices[FMO Volume Name])),"")</f>
        <v/>
      </c>
      <c r="Q53" s="31" t="str">
        <f>_xlfn.TEXTJOIN(",",TRUE,NfsExports[[#This Row],[FMO Export Override]:[FMO Export Service IPs]])</f>
        <v>10.98.73.53</v>
      </c>
      <c r="R53" s="31" t="str">
        <f>NfsExports[[#This Row],[FMO Mount Path Estimated]]&amp;" "&amp;NfsExports[[#This Row],[Required Quota (GB)]]&amp;"GB"</f>
        <v>/apps/pcehr 45GB</v>
      </c>
      <c r="S53" s="31" t="s">
        <v>3366</v>
      </c>
      <c r="T53" s="31" t="s">
        <v>4723</v>
      </c>
      <c r="U53" s="32" t="s">
        <v>3379</v>
      </c>
      <c r="V53">
        <v>12.8</v>
      </c>
      <c r="W53" s="31">
        <f>MAX(0,NfsExports[[#This Row],[Prospective throughput]]-(NfsExports[[#This Row],[Configured Quota (GB)]]*0.064))</f>
        <v>6.4</v>
      </c>
    </row>
    <row r="54" spans="1:23" x14ac:dyDescent="0.35">
      <c r="A54" s="138" t="s">
        <v>3199</v>
      </c>
      <c r="B54" s="138" t="s">
        <v>3216</v>
      </c>
      <c r="C54" s="67" t="s">
        <v>3380</v>
      </c>
      <c r="D54" s="66" t="s">
        <v>3381</v>
      </c>
      <c r="E54" s="31" t="str">
        <f>SUBSTITUTE(NfsExports[[#This Row],[FMO Volume Name]],"_","-")</f>
        <v>vmpfbpf2hdr07-apps-pcehr</v>
      </c>
      <c r="F54" s="66" t="s">
        <v>3248</v>
      </c>
      <c r="G54" s="67">
        <v>45</v>
      </c>
      <c r="H54" s="31">
        <f>MAX(NfsExports[[#This Row],[Required Quota (GB)]],100)</f>
        <v>100</v>
      </c>
      <c r="I54">
        <v>16</v>
      </c>
      <c r="K54" s="66" t="s">
        <v>3249</v>
      </c>
      <c r="M5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10.98.73.54</v>
      </c>
      <c r="N54" t="str" cm="1">
        <f t="array" ref="N54">_xlfn.TEXTJOIN(",",TRUE,IF(NfsExports[[#This Row],[FMO Volume Name]]=NfsExportsVNets[FMO Volume Name],NfsExportsVNets[FMO Vnet Subnet],""))</f>
        <v/>
      </c>
      <c r="O54" t="str" cm="1">
        <f t="array" ref="O54">_xlfn.TEXTJOIN(",",TRUE,IF(NfsExports[[#This Row],[FMO Volume Name]]=NfsExportsSubnets[FMO Volume Name],NfsExportsSubnets[FMO Subnet CIDR],""))</f>
        <v/>
      </c>
      <c r="P54" t="str" cm="1">
        <f t="array" ref="P54">IFERROR(_xlfn.TEXTJOIN(",",TRUE,_xlfn._xlws.FILTER(NfsExportsServices[FMO VM Name Summary],NfsExports[[#This Row],[FMO Volume Name]]=NfsExportsServices[FMO Volume Name])),"")</f>
        <v/>
      </c>
      <c r="Q54" s="31" t="str">
        <f>_xlfn.TEXTJOIN(",",TRUE,NfsExports[[#This Row],[FMO Export Override]:[FMO Export Service IPs]])</f>
        <v>10.98.73.54</v>
      </c>
      <c r="R54" s="31" t="str">
        <f>NfsExports[[#This Row],[FMO Mount Path Estimated]]&amp;" "&amp;NfsExports[[#This Row],[Required Quota (GB)]]&amp;"GB"</f>
        <v>/apps/pcehr 45GB</v>
      </c>
      <c r="S54" s="31" t="s">
        <v>3362</v>
      </c>
      <c r="T54" s="31" t="s">
        <v>4723</v>
      </c>
      <c r="U54" s="32" t="s">
        <v>3382</v>
      </c>
      <c r="V54">
        <v>12.8</v>
      </c>
      <c r="W54" s="31">
        <f>MAX(0,NfsExports[[#This Row],[Prospective throughput]]-(NfsExports[[#This Row],[Configured Quota (GB)]]*0.064))</f>
        <v>6.4</v>
      </c>
    </row>
    <row r="55" spans="1:23" x14ac:dyDescent="0.35">
      <c r="A55" s="138" t="s">
        <v>3199</v>
      </c>
      <c r="B55" s="138" t="s">
        <v>3216</v>
      </c>
      <c r="C55" s="67" t="s">
        <v>3383</v>
      </c>
      <c r="D55" s="65" t="s">
        <v>3384</v>
      </c>
      <c r="E55" s="31" t="str">
        <f>SUBSTITUTE(NfsExports[[#This Row],[FMO Volume Name]],"_","-")</f>
        <v>vmpfbpf2hdr08-apps-pcehr</v>
      </c>
      <c r="F55" s="66" t="s">
        <v>3248</v>
      </c>
      <c r="G55" s="67">
        <v>45</v>
      </c>
      <c r="H55" s="31">
        <f>MAX(NfsExports[[#This Row],[Required Quota (GB)]],100)</f>
        <v>100</v>
      </c>
      <c r="I55">
        <v>12.8</v>
      </c>
      <c r="K55" s="66" t="s">
        <v>3249</v>
      </c>
      <c r="M5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10.98.73.55</v>
      </c>
      <c r="N55" t="str" cm="1">
        <f t="array" ref="N55">_xlfn.TEXTJOIN(",",TRUE,IF(NfsExports[[#This Row],[FMO Volume Name]]=NfsExportsVNets[FMO Volume Name],NfsExportsVNets[FMO Vnet Subnet],""))</f>
        <v/>
      </c>
      <c r="O55" t="str" cm="1">
        <f t="array" ref="O55">_xlfn.TEXTJOIN(",",TRUE,IF(NfsExports[[#This Row],[FMO Volume Name]]=NfsExportsSubnets[FMO Volume Name],NfsExportsSubnets[FMO Subnet CIDR],""))</f>
        <v/>
      </c>
      <c r="P55" t="str" cm="1">
        <f t="array" ref="P55">IFERROR(_xlfn.TEXTJOIN(",",TRUE,_xlfn._xlws.FILTER(NfsExportsServices[FMO VM Name Summary],NfsExports[[#This Row],[FMO Volume Name]]=NfsExportsServices[FMO Volume Name])),"")</f>
        <v/>
      </c>
      <c r="Q55" s="31" t="str">
        <f>_xlfn.TEXTJOIN(",",TRUE,NfsExports[[#This Row],[FMO Export Override]:[FMO Export Service IPs]])</f>
        <v>10.98.73.55</v>
      </c>
      <c r="R55" s="31" t="str">
        <f>NfsExports[[#This Row],[FMO Mount Path Estimated]]&amp;" "&amp;NfsExports[[#This Row],[Required Quota (GB)]]&amp;"GB"</f>
        <v>/apps/pcehr 45GB</v>
      </c>
      <c r="S55" s="31" t="s">
        <v>3366</v>
      </c>
      <c r="T55" s="31" t="s">
        <v>4723</v>
      </c>
      <c r="U55" s="32" t="s">
        <v>3385</v>
      </c>
      <c r="V55">
        <v>12.8</v>
      </c>
      <c r="W55" s="31">
        <f>MAX(0,NfsExports[[#This Row],[Prospective throughput]]-(NfsExports[[#This Row],[Configured Quota (GB)]]*0.064))</f>
        <v>6.4</v>
      </c>
    </row>
    <row r="56" spans="1:23" x14ac:dyDescent="0.35">
      <c r="A56" s="138" t="s">
        <v>3199</v>
      </c>
      <c r="B56" s="138" t="s">
        <v>3216</v>
      </c>
      <c r="C56" s="67" t="s">
        <v>3386</v>
      </c>
      <c r="D56" s="66" t="s">
        <v>3387</v>
      </c>
      <c r="E56" s="31" t="str">
        <f>SUBSTITUTE(NfsExports[[#This Row],[FMO Volume Name]],"_","-")</f>
        <v>vmpfbpf2hdr09-apps-pcehr</v>
      </c>
      <c r="F56" s="66" t="s">
        <v>3248</v>
      </c>
      <c r="G56" s="67">
        <v>45</v>
      </c>
      <c r="H56" s="31">
        <f>MAX(NfsExports[[#This Row],[Required Quota (GB)]],100)</f>
        <v>100</v>
      </c>
      <c r="I56">
        <v>12.8</v>
      </c>
      <c r="K56" s="66" t="s">
        <v>3249</v>
      </c>
      <c r="M5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10.98.73.56</v>
      </c>
      <c r="N56" t="str" cm="1">
        <f t="array" ref="N56">_xlfn.TEXTJOIN(",",TRUE,IF(NfsExports[[#This Row],[FMO Volume Name]]=NfsExportsVNets[FMO Volume Name],NfsExportsVNets[FMO Vnet Subnet],""))</f>
        <v/>
      </c>
      <c r="O56" t="str" cm="1">
        <f t="array" ref="O56">_xlfn.TEXTJOIN(",",TRUE,IF(NfsExports[[#This Row],[FMO Volume Name]]=NfsExportsSubnets[FMO Volume Name],NfsExportsSubnets[FMO Subnet CIDR],""))</f>
        <v/>
      </c>
      <c r="P56" t="str" cm="1">
        <f t="array" ref="P56">IFERROR(_xlfn.TEXTJOIN(",",TRUE,_xlfn._xlws.FILTER(NfsExportsServices[FMO VM Name Summary],NfsExports[[#This Row],[FMO Volume Name]]=NfsExportsServices[FMO Volume Name])),"")</f>
        <v/>
      </c>
      <c r="Q56" s="31" t="str">
        <f>_xlfn.TEXTJOIN(",",TRUE,NfsExports[[#This Row],[FMO Export Override]:[FMO Export Service IPs]])</f>
        <v>10.98.73.56</v>
      </c>
      <c r="R56" s="31" t="str">
        <f>NfsExports[[#This Row],[FMO Mount Path Estimated]]&amp;" "&amp;NfsExports[[#This Row],[Required Quota (GB)]]&amp;"GB"</f>
        <v>/apps/pcehr 45GB</v>
      </c>
      <c r="S56" s="31" t="s">
        <v>3366</v>
      </c>
      <c r="T56" s="31" t="s">
        <v>4723</v>
      </c>
      <c r="U56" s="32" t="s">
        <v>3388</v>
      </c>
      <c r="V56">
        <v>12.8</v>
      </c>
      <c r="W56" s="31">
        <f>MAX(0,NfsExports[[#This Row],[Prospective throughput]]-(NfsExports[[#This Row],[Configured Quota (GB)]]*0.064))</f>
        <v>6.4</v>
      </c>
    </row>
    <row r="57" spans="1:23" x14ac:dyDescent="0.35">
      <c r="A57" s="138" t="s">
        <v>3199</v>
      </c>
      <c r="B57" s="138" t="s">
        <v>3216</v>
      </c>
      <c r="C57" s="67" t="s">
        <v>3389</v>
      </c>
      <c r="D57" s="65" t="s">
        <v>3390</v>
      </c>
      <c r="E57" s="31" t="str">
        <f>SUBSTITUTE(NfsExports[[#This Row],[FMO Volume Name]],"_","-")</f>
        <v>vmpfbpf2hdr10-apps-pcehr</v>
      </c>
      <c r="F57" s="66" t="s">
        <v>3248</v>
      </c>
      <c r="G57" s="67">
        <v>45</v>
      </c>
      <c r="H57" s="31">
        <f>MAX(NfsExports[[#This Row],[Required Quota (GB)]],100)</f>
        <v>100</v>
      </c>
      <c r="I57">
        <v>12.8</v>
      </c>
      <c r="K57" s="66" t="s">
        <v>3249</v>
      </c>
      <c r="M5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10.98.73.57</v>
      </c>
      <c r="N57" t="str" cm="1">
        <f t="array" ref="N57">_xlfn.TEXTJOIN(",",TRUE,IF(NfsExports[[#This Row],[FMO Volume Name]]=NfsExportsVNets[FMO Volume Name],NfsExportsVNets[FMO Vnet Subnet],""))</f>
        <v/>
      </c>
      <c r="O57" t="str" cm="1">
        <f t="array" ref="O57">_xlfn.TEXTJOIN(",",TRUE,IF(NfsExports[[#This Row],[FMO Volume Name]]=NfsExportsSubnets[FMO Volume Name],NfsExportsSubnets[FMO Subnet CIDR],""))</f>
        <v/>
      </c>
      <c r="P57" t="str" cm="1">
        <f t="array" ref="P57">IFERROR(_xlfn.TEXTJOIN(",",TRUE,_xlfn._xlws.FILTER(NfsExportsServices[FMO VM Name Summary],NfsExports[[#This Row],[FMO Volume Name]]=NfsExportsServices[FMO Volume Name])),"")</f>
        <v/>
      </c>
      <c r="Q57" s="31" t="str">
        <f>_xlfn.TEXTJOIN(",",TRUE,NfsExports[[#This Row],[FMO Export Override]:[FMO Export Service IPs]])</f>
        <v>10.98.73.57</v>
      </c>
      <c r="R57" s="31" t="str">
        <f>NfsExports[[#This Row],[FMO Mount Path Estimated]]&amp;" "&amp;NfsExports[[#This Row],[Required Quota (GB)]]&amp;"GB"</f>
        <v>/apps/pcehr 45GB</v>
      </c>
      <c r="S57" s="31" t="s">
        <v>3366</v>
      </c>
      <c r="T57" s="31" t="s">
        <v>4723</v>
      </c>
      <c r="U57" s="32" t="s">
        <v>3391</v>
      </c>
      <c r="V57">
        <v>12.8</v>
      </c>
      <c r="W57" s="31">
        <f>MAX(0,NfsExports[[#This Row],[Prospective throughput]]-(NfsExports[[#This Row],[Configured Quota (GB)]]*0.064))</f>
        <v>6.4</v>
      </c>
    </row>
    <row r="58" spans="1:23" x14ac:dyDescent="0.35">
      <c r="A58" s="138" t="s">
        <v>3199</v>
      </c>
      <c r="B58" s="138" t="s">
        <v>3216</v>
      </c>
      <c r="C58" s="67" t="s">
        <v>3392</v>
      </c>
      <c r="D58" s="66" t="s">
        <v>3393</v>
      </c>
      <c r="E58" s="31" t="str">
        <f>SUBSTITUTE(NfsExports[[#This Row],[FMO Volume Name]],"_","-")</f>
        <v>vmpfbpf2hdr11-apps-pcehr</v>
      </c>
      <c r="F58" s="66" t="s">
        <v>3248</v>
      </c>
      <c r="G58" s="67">
        <v>45</v>
      </c>
      <c r="H58" s="31">
        <f>MAX(NfsExports[[#This Row],[Required Quota (GB)]],100)</f>
        <v>100</v>
      </c>
      <c r="I58">
        <v>12.8</v>
      </c>
      <c r="K58" s="66" t="s">
        <v>3249</v>
      </c>
      <c r="M5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10.98.73.58</v>
      </c>
      <c r="N58" t="str" cm="1">
        <f t="array" ref="N58">_xlfn.TEXTJOIN(",",TRUE,IF(NfsExports[[#This Row],[FMO Volume Name]]=NfsExportsVNets[FMO Volume Name],NfsExportsVNets[FMO Vnet Subnet],""))</f>
        <v/>
      </c>
      <c r="O58" t="str" cm="1">
        <f t="array" ref="O58">_xlfn.TEXTJOIN(",",TRUE,IF(NfsExports[[#This Row],[FMO Volume Name]]=NfsExportsSubnets[FMO Volume Name],NfsExportsSubnets[FMO Subnet CIDR],""))</f>
        <v/>
      </c>
      <c r="P58" t="str" cm="1">
        <f t="array" ref="P58">IFERROR(_xlfn.TEXTJOIN(",",TRUE,_xlfn._xlws.FILTER(NfsExportsServices[FMO VM Name Summary],NfsExports[[#This Row],[FMO Volume Name]]=NfsExportsServices[FMO Volume Name])),"")</f>
        <v/>
      </c>
      <c r="Q58" s="31" t="str">
        <f>_xlfn.TEXTJOIN(",",TRUE,NfsExports[[#This Row],[FMO Export Override]:[FMO Export Service IPs]])</f>
        <v>10.98.73.58</v>
      </c>
      <c r="R58" s="31" t="str">
        <f>NfsExports[[#This Row],[FMO Mount Path Estimated]]&amp;" "&amp;NfsExports[[#This Row],[Required Quota (GB)]]&amp;"GB"</f>
        <v>/apps/pcehr 45GB</v>
      </c>
      <c r="S58" s="31" t="s">
        <v>3366</v>
      </c>
      <c r="T58" s="31" t="s">
        <v>4723</v>
      </c>
      <c r="U58" s="32" t="s">
        <v>3394</v>
      </c>
      <c r="V58">
        <v>12.8</v>
      </c>
      <c r="W58" s="31">
        <f>MAX(0,NfsExports[[#This Row],[Prospective throughput]]-(NfsExports[[#This Row],[Configured Quota (GB)]]*0.064))</f>
        <v>6.4</v>
      </c>
    </row>
    <row r="59" spans="1:23" x14ac:dyDescent="0.35">
      <c r="A59" s="138" t="s">
        <v>3199</v>
      </c>
      <c r="B59" s="138" t="s">
        <v>3216</v>
      </c>
      <c r="C59" s="67" t="s">
        <v>3395</v>
      </c>
      <c r="D59" s="65" t="s">
        <v>3396</v>
      </c>
      <c r="E59" s="31" t="str">
        <f>SUBSTITUTE(NfsExports[[#This Row],[FMO Volume Name]],"_","-")</f>
        <v>vmpfbpf2hdr12-apps-pcehr</v>
      </c>
      <c r="F59" s="66" t="s">
        <v>3248</v>
      </c>
      <c r="G59" s="67">
        <v>45</v>
      </c>
      <c r="H59" s="31">
        <f>MAX(NfsExports[[#This Row],[Required Quota (GB)]],100)</f>
        <v>100</v>
      </c>
      <c r="I59">
        <v>12.8</v>
      </c>
      <c r="K59" s="66" t="s">
        <v>3249</v>
      </c>
      <c r="M5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10.98.73.59</v>
      </c>
      <c r="N59" t="str" cm="1">
        <f t="array" ref="N59">_xlfn.TEXTJOIN(",",TRUE,IF(NfsExports[[#This Row],[FMO Volume Name]]=NfsExportsVNets[FMO Volume Name],NfsExportsVNets[FMO Vnet Subnet],""))</f>
        <v/>
      </c>
      <c r="O59" t="str" cm="1">
        <f t="array" ref="O59">_xlfn.TEXTJOIN(",",TRUE,IF(NfsExports[[#This Row],[FMO Volume Name]]=NfsExportsSubnets[FMO Volume Name],NfsExportsSubnets[FMO Subnet CIDR],""))</f>
        <v/>
      </c>
      <c r="P59" t="str" cm="1">
        <f t="array" ref="P59">IFERROR(_xlfn.TEXTJOIN(",",TRUE,_xlfn._xlws.FILTER(NfsExportsServices[FMO VM Name Summary],NfsExports[[#This Row],[FMO Volume Name]]=NfsExportsServices[FMO Volume Name])),"")</f>
        <v/>
      </c>
      <c r="Q59" s="31" t="str">
        <f>_xlfn.TEXTJOIN(",",TRUE,NfsExports[[#This Row],[FMO Export Override]:[FMO Export Service IPs]])</f>
        <v>10.98.73.59</v>
      </c>
      <c r="R59" s="31" t="str">
        <f>NfsExports[[#This Row],[FMO Mount Path Estimated]]&amp;" "&amp;NfsExports[[#This Row],[Required Quota (GB)]]&amp;"GB"</f>
        <v>/apps/pcehr 45GB</v>
      </c>
      <c r="S59" s="31" t="s">
        <v>3366</v>
      </c>
      <c r="T59" s="31" t="s">
        <v>4723</v>
      </c>
      <c r="U59" s="32" t="s">
        <v>3397</v>
      </c>
      <c r="V59">
        <v>12.8</v>
      </c>
      <c r="W59" s="31">
        <f>MAX(0,NfsExports[[#This Row],[Prospective throughput]]-(NfsExports[[#This Row],[Configured Quota (GB)]]*0.064))</f>
        <v>6.4</v>
      </c>
    </row>
    <row r="60" spans="1:23" x14ac:dyDescent="0.35">
      <c r="A60" s="138" t="s">
        <v>3199</v>
      </c>
      <c r="B60" s="138" t="s">
        <v>3216</v>
      </c>
      <c r="C60" s="67" t="s">
        <v>3398</v>
      </c>
      <c r="D60" s="66" t="s">
        <v>3399</v>
      </c>
      <c r="E60" s="31" t="str">
        <f>SUBSTITUTE(NfsExports[[#This Row],[FMO Volume Name]],"_","-")</f>
        <v>vmpfbpf2hdr13-apps-pcehr</v>
      </c>
      <c r="F60" s="66" t="s">
        <v>3248</v>
      </c>
      <c r="G60" s="67">
        <v>45</v>
      </c>
      <c r="H60" s="31">
        <f>MAX(NfsExports[[#This Row],[Required Quota (GB)]],100)</f>
        <v>100</v>
      </c>
      <c r="I60">
        <v>12.8</v>
      </c>
      <c r="K60" s="66" t="s">
        <v>3249</v>
      </c>
      <c r="M6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10.98.73.60</v>
      </c>
      <c r="N60" t="str" cm="1">
        <f t="array" ref="N60">_xlfn.TEXTJOIN(",",TRUE,IF(NfsExports[[#This Row],[FMO Volume Name]]=NfsExportsVNets[FMO Volume Name],NfsExportsVNets[FMO Vnet Subnet],""))</f>
        <v/>
      </c>
      <c r="O60" t="str" cm="1">
        <f t="array" ref="O60">_xlfn.TEXTJOIN(",",TRUE,IF(NfsExports[[#This Row],[FMO Volume Name]]=NfsExportsSubnets[FMO Volume Name],NfsExportsSubnets[FMO Subnet CIDR],""))</f>
        <v/>
      </c>
      <c r="P60" t="str" cm="1">
        <f t="array" ref="P60">IFERROR(_xlfn.TEXTJOIN(",",TRUE,_xlfn._xlws.FILTER(NfsExportsServices[FMO VM Name Summary],NfsExports[[#This Row],[FMO Volume Name]]=NfsExportsServices[FMO Volume Name])),"")</f>
        <v/>
      </c>
      <c r="Q60" s="31" t="str">
        <f>_xlfn.TEXTJOIN(",",TRUE,NfsExports[[#This Row],[FMO Export Override]:[FMO Export Service IPs]])</f>
        <v>10.98.73.60</v>
      </c>
      <c r="R60" s="31" t="str">
        <f>NfsExports[[#This Row],[FMO Mount Path Estimated]]&amp;" "&amp;NfsExports[[#This Row],[Required Quota (GB)]]&amp;"GB"</f>
        <v>/apps/pcehr 45GB</v>
      </c>
      <c r="S60" s="31" t="s">
        <v>3366</v>
      </c>
      <c r="T60" s="31" t="s">
        <v>4723</v>
      </c>
      <c r="U60" s="32" t="s">
        <v>3400</v>
      </c>
      <c r="V60">
        <v>12.8</v>
      </c>
      <c r="W60" s="31">
        <f>MAX(0,NfsExports[[#This Row],[Prospective throughput]]-(NfsExports[[#This Row],[Configured Quota (GB)]]*0.064))</f>
        <v>6.4</v>
      </c>
    </row>
    <row r="61" spans="1:23" x14ac:dyDescent="0.35">
      <c r="A61" s="138" t="s">
        <v>3199</v>
      </c>
      <c r="B61" s="138" t="s">
        <v>3216</v>
      </c>
      <c r="C61" s="67" t="s">
        <v>3401</v>
      </c>
      <c r="D61" s="65" t="s">
        <v>3402</v>
      </c>
      <c r="E61" s="31" t="str">
        <f>SUBSTITUTE(NfsExports[[#This Row],[FMO Volume Name]],"_","-")</f>
        <v>vmpfbpf2hdr14-apps-pcehr</v>
      </c>
      <c r="F61" s="66" t="s">
        <v>3248</v>
      </c>
      <c r="G61" s="67">
        <v>45</v>
      </c>
      <c r="H61" s="31">
        <f>MAX(NfsExports[[#This Row],[Required Quota (GB)]],100)</f>
        <v>100</v>
      </c>
      <c r="I61">
        <v>12.8</v>
      </c>
      <c r="K61" s="66" t="s">
        <v>3249</v>
      </c>
      <c r="M6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10.98.73.61</v>
      </c>
      <c r="N61" t="str" cm="1">
        <f t="array" ref="N61">_xlfn.TEXTJOIN(",",TRUE,IF(NfsExports[[#This Row],[FMO Volume Name]]=NfsExportsVNets[FMO Volume Name],NfsExportsVNets[FMO Vnet Subnet],""))</f>
        <v/>
      </c>
      <c r="O61" t="str" cm="1">
        <f t="array" ref="O61">_xlfn.TEXTJOIN(",",TRUE,IF(NfsExports[[#This Row],[FMO Volume Name]]=NfsExportsSubnets[FMO Volume Name],NfsExportsSubnets[FMO Subnet CIDR],""))</f>
        <v/>
      </c>
      <c r="P61" t="str" cm="1">
        <f t="array" ref="P61">IFERROR(_xlfn.TEXTJOIN(",",TRUE,_xlfn._xlws.FILTER(NfsExportsServices[FMO VM Name Summary],NfsExports[[#This Row],[FMO Volume Name]]=NfsExportsServices[FMO Volume Name])),"")</f>
        <v/>
      </c>
      <c r="Q61" s="31" t="str">
        <f>_xlfn.TEXTJOIN(",",TRUE,NfsExports[[#This Row],[FMO Export Override]:[FMO Export Service IPs]])</f>
        <v>10.98.73.61</v>
      </c>
      <c r="R61" s="31" t="str">
        <f>NfsExports[[#This Row],[FMO Mount Path Estimated]]&amp;" "&amp;NfsExports[[#This Row],[Required Quota (GB)]]&amp;"GB"</f>
        <v>/apps/pcehr 45GB</v>
      </c>
      <c r="S61" s="31" t="s">
        <v>3366</v>
      </c>
      <c r="T61" s="31" t="s">
        <v>4723</v>
      </c>
      <c r="U61" s="32" t="s">
        <v>3403</v>
      </c>
      <c r="V61">
        <v>12.8</v>
      </c>
      <c r="W61" s="31">
        <f>MAX(0,NfsExports[[#This Row],[Prospective throughput]]-(NfsExports[[#This Row],[Configured Quota (GB)]]*0.064))</f>
        <v>6.4</v>
      </c>
    </row>
    <row r="62" spans="1:23" x14ac:dyDescent="0.35">
      <c r="A62" s="138" t="s">
        <v>3199</v>
      </c>
      <c r="B62" s="138" t="s">
        <v>3216</v>
      </c>
      <c r="C62" s="67" t="s">
        <v>3404</v>
      </c>
      <c r="D62" s="66" t="s">
        <v>3405</v>
      </c>
      <c r="E62" s="31" t="str">
        <f>SUBSTITUTE(NfsExports[[#This Row],[FMO Volume Name]],"_","-")</f>
        <v>vmpfbpf2hdr15-apps-pcehr</v>
      </c>
      <c r="F62" s="66" t="s">
        <v>3248</v>
      </c>
      <c r="G62" s="67">
        <v>45</v>
      </c>
      <c r="H62" s="31">
        <f>MAX(NfsExports[[#This Row],[Required Quota (GB)]],100)</f>
        <v>100</v>
      </c>
      <c r="I62">
        <v>12.8</v>
      </c>
      <c r="K62" s="66" t="s">
        <v>3249</v>
      </c>
      <c r="M6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10.98.73.62</v>
      </c>
      <c r="N62" t="str" cm="1">
        <f t="array" ref="N62">_xlfn.TEXTJOIN(",",TRUE,IF(NfsExports[[#This Row],[FMO Volume Name]]=NfsExportsVNets[FMO Volume Name],NfsExportsVNets[FMO Vnet Subnet],""))</f>
        <v/>
      </c>
      <c r="O62" t="str" cm="1">
        <f t="array" ref="O62">_xlfn.TEXTJOIN(",",TRUE,IF(NfsExports[[#This Row],[FMO Volume Name]]=NfsExportsSubnets[FMO Volume Name],NfsExportsSubnets[FMO Subnet CIDR],""))</f>
        <v/>
      </c>
      <c r="P62" t="str" cm="1">
        <f t="array" ref="P62">IFERROR(_xlfn.TEXTJOIN(",",TRUE,_xlfn._xlws.FILTER(NfsExportsServices[FMO VM Name Summary],NfsExports[[#This Row],[FMO Volume Name]]=NfsExportsServices[FMO Volume Name])),"")</f>
        <v/>
      </c>
      <c r="Q62" s="31" t="str">
        <f>_xlfn.TEXTJOIN(",",TRUE,NfsExports[[#This Row],[FMO Export Override]:[FMO Export Service IPs]])</f>
        <v>10.98.73.62</v>
      </c>
      <c r="R62" s="31" t="str">
        <f>NfsExports[[#This Row],[FMO Mount Path Estimated]]&amp;" "&amp;NfsExports[[#This Row],[Required Quota (GB)]]&amp;"GB"</f>
        <v>/apps/pcehr 45GB</v>
      </c>
      <c r="S62" s="31" t="s">
        <v>3366</v>
      </c>
      <c r="T62" s="31" t="s">
        <v>4723</v>
      </c>
      <c r="U62" s="32" t="s">
        <v>3406</v>
      </c>
      <c r="V62">
        <v>12.8</v>
      </c>
      <c r="W62" s="31">
        <f>MAX(0,NfsExports[[#This Row],[Prospective throughput]]-(NfsExports[[#This Row],[Configured Quota (GB)]]*0.064))</f>
        <v>6.4</v>
      </c>
    </row>
    <row r="63" spans="1:23" x14ac:dyDescent="0.35">
      <c r="A63" s="138" t="s">
        <v>3199</v>
      </c>
      <c r="B63" s="138" t="s">
        <v>3216</v>
      </c>
      <c r="C63" s="67" t="s">
        <v>3407</v>
      </c>
      <c r="D63" s="65" t="s">
        <v>3408</v>
      </c>
      <c r="E63" s="31" t="str">
        <f>SUBSTITUTE(NfsExports[[#This Row],[FMO Volume Name]],"_","-")</f>
        <v>vmpfbpf2hdr16-apps-pcehr</v>
      </c>
      <c r="F63" s="66" t="s">
        <v>3248</v>
      </c>
      <c r="G63" s="67">
        <v>45</v>
      </c>
      <c r="H63" s="31">
        <f>MAX(NfsExports[[#This Row],[Required Quota (GB)]],100)</f>
        <v>100</v>
      </c>
      <c r="I63">
        <v>12.8</v>
      </c>
      <c r="K63" s="66" t="s">
        <v>3249</v>
      </c>
      <c r="M6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10.98.73.63</v>
      </c>
      <c r="N63" t="str" cm="1">
        <f t="array" ref="N63">_xlfn.TEXTJOIN(",",TRUE,IF(NfsExports[[#This Row],[FMO Volume Name]]=NfsExportsVNets[FMO Volume Name],NfsExportsVNets[FMO Vnet Subnet],""))</f>
        <v/>
      </c>
      <c r="O63" t="str" cm="1">
        <f t="array" ref="O63">_xlfn.TEXTJOIN(",",TRUE,IF(NfsExports[[#This Row],[FMO Volume Name]]=NfsExportsSubnets[FMO Volume Name],NfsExportsSubnets[FMO Subnet CIDR],""))</f>
        <v/>
      </c>
      <c r="P63" t="str" cm="1">
        <f t="array" ref="P63">IFERROR(_xlfn.TEXTJOIN(",",TRUE,_xlfn._xlws.FILTER(NfsExportsServices[FMO VM Name Summary],NfsExports[[#This Row],[FMO Volume Name]]=NfsExportsServices[FMO Volume Name])),"")</f>
        <v/>
      </c>
      <c r="Q63" s="31" t="str">
        <f>_xlfn.TEXTJOIN(",",TRUE,NfsExports[[#This Row],[FMO Export Override]:[FMO Export Service IPs]])</f>
        <v>10.98.73.63</v>
      </c>
      <c r="R63" s="31" t="str">
        <f>NfsExports[[#This Row],[FMO Mount Path Estimated]]&amp;" "&amp;NfsExports[[#This Row],[Required Quota (GB)]]&amp;"GB"</f>
        <v>/apps/pcehr 45GB</v>
      </c>
      <c r="S63" s="31" t="s">
        <v>3366</v>
      </c>
      <c r="T63" s="31" t="s">
        <v>4723</v>
      </c>
      <c r="U63" s="32" t="s">
        <v>3409</v>
      </c>
      <c r="V63">
        <v>12.8</v>
      </c>
      <c r="W63" s="31">
        <f>MAX(0,NfsExports[[#This Row],[Prospective throughput]]-(NfsExports[[#This Row],[Configured Quota (GB)]]*0.064))</f>
        <v>6.4</v>
      </c>
    </row>
    <row r="64" spans="1:23" x14ac:dyDescent="0.35">
      <c r="A64" s="138" t="s">
        <v>3199</v>
      </c>
      <c r="B64" s="138" t="s">
        <v>3216</v>
      </c>
      <c r="C64" s="67" t="s">
        <v>3410</v>
      </c>
      <c r="D64" s="66" t="s">
        <v>3411</v>
      </c>
      <c r="E64" s="31" t="str">
        <f>SUBSTITUTE(NfsExports[[#This Row],[FMO Volume Name]],"_","-")</f>
        <v>vmpfbpf2hdr17-apps-pcehr</v>
      </c>
      <c r="F64" s="66" t="s">
        <v>3248</v>
      </c>
      <c r="G64" s="67">
        <v>45</v>
      </c>
      <c r="H64" s="31">
        <f>MAX(NfsExports[[#This Row],[Required Quota (GB)]],100)</f>
        <v>100</v>
      </c>
      <c r="I64">
        <v>12.8</v>
      </c>
      <c r="K64" s="66" t="s">
        <v>3249</v>
      </c>
      <c r="M6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10.98.73.64</v>
      </c>
      <c r="N64" t="str" cm="1">
        <f t="array" ref="N64">_xlfn.TEXTJOIN(",",TRUE,IF(NfsExports[[#This Row],[FMO Volume Name]]=NfsExportsVNets[FMO Volume Name],NfsExportsVNets[FMO Vnet Subnet],""))</f>
        <v/>
      </c>
      <c r="O64" t="str" cm="1">
        <f t="array" ref="O64">_xlfn.TEXTJOIN(",",TRUE,IF(NfsExports[[#This Row],[FMO Volume Name]]=NfsExportsSubnets[FMO Volume Name],NfsExportsSubnets[FMO Subnet CIDR],""))</f>
        <v/>
      </c>
      <c r="P64" t="str" cm="1">
        <f t="array" ref="P64">IFERROR(_xlfn.TEXTJOIN(",",TRUE,_xlfn._xlws.FILTER(NfsExportsServices[FMO VM Name Summary],NfsExports[[#This Row],[FMO Volume Name]]=NfsExportsServices[FMO Volume Name])),"")</f>
        <v/>
      </c>
      <c r="Q64" s="31" t="str">
        <f>_xlfn.TEXTJOIN(",",TRUE,NfsExports[[#This Row],[FMO Export Override]:[FMO Export Service IPs]])</f>
        <v>10.98.73.64</v>
      </c>
      <c r="R64" s="31" t="str">
        <f>NfsExports[[#This Row],[FMO Mount Path Estimated]]&amp;" "&amp;NfsExports[[#This Row],[Required Quota (GB)]]&amp;"GB"</f>
        <v>/apps/pcehr 45GB</v>
      </c>
      <c r="S64" s="31" t="s">
        <v>3366</v>
      </c>
      <c r="T64" s="31" t="s">
        <v>4723</v>
      </c>
      <c r="U64" s="32" t="s">
        <v>3412</v>
      </c>
      <c r="V64">
        <v>12.8</v>
      </c>
      <c r="W64" s="31">
        <f>MAX(0,NfsExports[[#This Row],[Prospective throughput]]-(NfsExports[[#This Row],[Configured Quota (GB)]]*0.064))</f>
        <v>6.4</v>
      </c>
    </row>
    <row r="65" spans="1:23" x14ac:dyDescent="0.35">
      <c r="A65" s="138" t="s">
        <v>3199</v>
      </c>
      <c r="B65" s="138" t="s">
        <v>3216</v>
      </c>
      <c r="C65" s="67" t="s">
        <v>3413</v>
      </c>
      <c r="D65" s="65" t="s">
        <v>3414</v>
      </c>
      <c r="E65" s="31" t="str">
        <f>SUBSTITUTE(NfsExports[[#This Row],[FMO Volume Name]],"_","-")</f>
        <v>vmpfbpf2hdr18-apps-pcehr</v>
      </c>
      <c r="F65" s="66" t="s">
        <v>3248</v>
      </c>
      <c r="G65" s="67">
        <v>45</v>
      </c>
      <c r="H65" s="31">
        <f>MAX(NfsExports[[#This Row],[Required Quota (GB)]],100)</f>
        <v>100</v>
      </c>
      <c r="I65">
        <v>12.8</v>
      </c>
      <c r="K65" s="66" t="s">
        <v>3249</v>
      </c>
      <c r="M6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10.98.73.65</v>
      </c>
      <c r="N65" t="str" cm="1">
        <f t="array" ref="N65">_xlfn.TEXTJOIN(",",TRUE,IF(NfsExports[[#This Row],[FMO Volume Name]]=NfsExportsVNets[FMO Volume Name],NfsExportsVNets[FMO Vnet Subnet],""))</f>
        <v/>
      </c>
      <c r="O65" t="str" cm="1">
        <f t="array" ref="O65">_xlfn.TEXTJOIN(",",TRUE,IF(NfsExports[[#This Row],[FMO Volume Name]]=NfsExportsSubnets[FMO Volume Name],NfsExportsSubnets[FMO Subnet CIDR],""))</f>
        <v/>
      </c>
      <c r="P65" t="str" cm="1">
        <f t="array" ref="P65">IFERROR(_xlfn.TEXTJOIN(",",TRUE,_xlfn._xlws.FILTER(NfsExportsServices[FMO VM Name Summary],NfsExports[[#This Row],[FMO Volume Name]]=NfsExportsServices[FMO Volume Name])),"")</f>
        <v/>
      </c>
      <c r="Q65" s="31" t="str">
        <f>_xlfn.TEXTJOIN(",",TRUE,NfsExports[[#This Row],[FMO Export Override]:[FMO Export Service IPs]])</f>
        <v>10.98.73.65</v>
      </c>
      <c r="R65" s="31" t="str">
        <f>NfsExports[[#This Row],[FMO Mount Path Estimated]]&amp;" "&amp;NfsExports[[#This Row],[Required Quota (GB)]]&amp;"GB"</f>
        <v>/apps/pcehr 45GB</v>
      </c>
      <c r="S65" s="31" t="s">
        <v>3366</v>
      </c>
      <c r="T65" s="31" t="s">
        <v>4723</v>
      </c>
      <c r="U65" s="32" t="s">
        <v>3415</v>
      </c>
      <c r="V65">
        <v>12.8</v>
      </c>
      <c r="W65" s="31">
        <f>MAX(0,NfsExports[[#This Row],[Prospective throughput]]-(NfsExports[[#This Row],[Configured Quota (GB)]]*0.064))</f>
        <v>6.4</v>
      </c>
    </row>
    <row r="66" spans="1:23" x14ac:dyDescent="0.35">
      <c r="A66" s="138" t="s">
        <v>3199</v>
      </c>
      <c r="B66" s="138" t="s">
        <v>3216</v>
      </c>
      <c r="C66" s="67" t="s">
        <v>3416</v>
      </c>
      <c r="D66" s="66" t="s">
        <v>3417</v>
      </c>
      <c r="E66" s="31" t="str">
        <f>SUBSTITUTE(NfsExports[[#This Row],[FMO Volume Name]],"_","-")</f>
        <v>vmpfbpf2hdr19-apps-pcehr</v>
      </c>
      <c r="F66" s="66" t="s">
        <v>3248</v>
      </c>
      <c r="G66" s="67">
        <v>45</v>
      </c>
      <c r="H66" s="31">
        <f>MAX(NfsExports[[#This Row],[Required Quota (GB)]],100)</f>
        <v>100</v>
      </c>
      <c r="I66">
        <v>12.8</v>
      </c>
      <c r="K66" s="66" t="s">
        <v>3249</v>
      </c>
      <c r="M6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10.98.73.66</v>
      </c>
      <c r="N66" t="str" cm="1">
        <f t="array" ref="N66">_xlfn.TEXTJOIN(",",TRUE,IF(NfsExports[[#This Row],[FMO Volume Name]]=NfsExportsVNets[FMO Volume Name],NfsExportsVNets[FMO Vnet Subnet],""))</f>
        <v/>
      </c>
      <c r="O66" t="str" cm="1">
        <f t="array" ref="O66">_xlfn.TEXTJOIN(",",TRUE,IF(NfsExports[[#This Row],[FMO Volume Name]]=NfsExportsSubnets[FMO Volume Name],NfsExportsSubnets[FMO Subnet CIDR],""))</f>
        <v/>
      </c>
      <c r="P66" t="str" cm="1">
        <f t="array" ref="P66">IFERROR(_xlfn.TEXTJOIN(",",TRUE,_xlfn._xlws.FILTER(NfsExportsServices[FMO VM Name Summary],NfsExports[[#This Row],[FMO Volume Name]]=NfsExportsServices[FMO Volume Name])),"")</f>
        <v/>
      </c>
      <c r="Q66" s="31" t="str">
        <f>_xlfn.TEXTJOIN(",",TRUE,NfsExports[[#This Row],[FMO Export Override]:[FMO Export Service IPs]])</f>
        <v>10.98.73.66</v>
      </c>
      <c r="R66" s="31" t="str">
        <f>NfsExports[[#This Row],[FMO Mount Path Estimated]]&amp;" "&amp;NfsExports[[#This Row],[Required Quota (GB)]]&amp;"GB"</f>
        <v>/apps/pcehr 45GB</v>
      </c>
      <c r="S66" s="31" t="s">
        <v>3366</v>
      </c>
      <c r="T66" s="31" t="s">
        <v>4723</v>
      </c>
      <c r="U66" s="32" t="s">
        <v>3418</v>
      </c>
      <c r="V66">
        <v>12.8</v>
      </c>
      <c r="W66" s="31">
        <f>MAX(0,NfsExports[[#This Row],[Prospective throughput]]-(NfsExports[[#This Row],[Configured Quota (GB)]]*0.064))</f>
        <v>6.4</v>
      </c>
    </row>
    <row r="67" spans="1:23" x14ac:dyDescent="0.35">
      <c r="A67" s="138" t="s">
        <v>3199</v>
      </c>
      <c r="B67" s="138" t="s">
        <v>3216</v>
      </c>
      <c r="C67" s="67" t="s">
        <v>3419</v>
      </c>
      <c r="D67" s="65" t="s">
        <v>3420</v>
      </c>
      <c r="E67" s="31" t="str">
        <f>SUBSTITUTE(NfsExports[[#This Row],[FMO Volume Name]],"_","-")</f>
        <v>vmpfbpf2hdr20-apps-pcehr</v>
      </c>
      <c r="F67" s="66" t="s">
        <v>3248</v>
      </c>
      <c r="G67" s="67">
        <v>45</v>
      </c>
      <c r="H67" s="31">
        <f>MAX(NfsExports[[#This Row],[Required Quota (GB)]],100)</f>
        <v>100</v>
      </c>
      <c r="I67">
        <v>12.8</v>
      </c>
      <c r="K67" s="66" t="s">
        <v>3249</v>
      </c>
      <c r="M6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10.98.73.67</v>
      </c>
      <c r="N67" t="str" cm="1">
        <f t="array" ref="N67">_xlfn.TEXTJOIN(",",TRUE,IF(NfsExports[[#This Row],[FMO Volume Name]]=NfsExportsVNets[FMO Volume Name],NfsExportsVNets[FMO Vnet Subnet],""))</f>
        <v/>
      </c>
      <c r="O67" t="str" cm="1">
        <f t="array" ref="O67">_xlfn.TEXTJOIN(",",TRUE,IF(NfsExports[[#This Row],[FMO Volume Name]]=NfsExportsSubnets[FMO Volume Name],NfsExportsSubnets[FMO Subnet CIDR],""))</f>
        <v/>
      </c>
      <c r="P67" t="str" cm="1">
        <f t="array" ref="P67">IFERROR(_xlfn.TEXTJOIN(",",TRUE,_xlfn._xlws.FILTER(NfsExportsServices[FMO VM Name Summary],NfsExports[[#This Row],[FMO Volume Name]]=NfsExportsServices[FMO Volume Name])),"")</f>
        <v/>
      </c>
      <c r="Q67" s="31" t="str">
        <f>_xlfn.TEXTJOIN(",",TRUE,NfsExports[[#This Row],[FMO Export Override]:[FMO Export Service IPs]])</f>
        <v>10.98.73.67</v>
      </c>
      <c r="R67" s="31" t="str">
        <f>NfsExports[[#This Row],[FMO Mount Path Estimated]]&amp;" "&amp;NfsExports[[#This Row],[Required Quota (GB)]]&amp;"GB"</f>
        <v>/apps/pcehr 45GB</v>
      </c>
      <c r="S67" s="31" t="s">
        <v>3366</v>
      </c>
      <c r="T67" s="31" t="s">
        <v>4723</v>
      </c>
      <c r="U67" s="32" t="s">
        <v>3421</v>
      </c>
      <c r="V67">
        <v>12.8</v>
      </c>
      <c r="W67" s="31">
        <f>MAX(0,NfsExports[[#This Row],[Prospective throughput]]-(NfsExports[[#This Row],[Configured Quota (GB)]]*0.064))</f>
        <v>6.4</v>
      </c>
    </row>
    <row r="68" spans="1:23" x14ac:dyDescent="0.35">
      <c r="A68" s="138" t="s">
        <v>3199</v>
      </c>
      <c r="B68" s="138" t="s">
        <v>3216</v>
      </c>
      <c r="C68" s="67" t="s">
        <v>3422</v>
      </c>
      <c r="D68" s="66" t="s">
        <v>3423</v>
      </c>
      <c r="E68" s="31" t="str">
        <f>SUBSTITUTE(NfsExports[[#This Row],[FMO Volume Name]],"_","-")</f>
        <v>vmpfbpf2hdr21-apps-pcehr</v>
      </c>
      <c r="F68" s="66" t="s">
        <v>3248</v>
      </c>
      <c r="G68" s="67">
        <v>45</v>
      </c>
      <c r="H68" s="31">
        <f>MAX(NfsExports[[#This Row],[Required Quota (GB)]],100)</f>
        <v>100</v>
      </c>
      <c r="I68">
        <v>12.8</v>
      </c>
      <c r="K68" s="66" t="s">
        <v>3249</v>
      </c>
      <c r="M6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10.98.73.68</v>
      </c>
      <c r="N68" t="str" cm="1">
        <f t="array" ref="N68">_xlfn.TEXTJOIN(",",TRUE,IF(NfsExports[[#This Row],[FMO Volume Name]]=NfsExportsVNets[FMO Volume Name],NfsExportsVNets[FMO Vnet Subnet],""))</f>
        <v/>
      </c>
      <c r="O68" t="str" cm="1">
        <f t="array" ref="O68">_xlfn.TEXTJOIN(",",TRUE,IF(NfsExports[[#This Row],[FMO Volume Name]]=NfsExportsSubnets[FMO Volume Name],NfsExportsSubnets[FMO Subnet CIDR],""))</f>
        <v/>
      </c>
      <c r="P68" t="str" cm="1">
        <f t="array" ref="P68">IFERROR(_xlfn.TEXTJOIN(",",TRUE,_xlfn._xlws.FILTER(NfsExportsServices[FMO VM Name Summary],NfsExports[[#This Row],[FMO Volume Name]]=NfsExportsServices[FMO Volume Name])),"")</f>
        <v/>
      </c>
      <c r="Q68" s="31" t="str">
        <f>_xlfn.TEXTJOIN(",",TRUE,NfsExports[[#This Row],[FMO Export Override]:[FMO Export Service IPs]])</f>
        <v>10.98.73.68</v>
      </c>
      <c r="R68" s="31" t="str">
        <f>NfsExports[[#This Row],[FMO Mount Path Estimated]]&amp;" "&amp;NfsExports[[#This Row],[Required Quota (GB)]]&amp;"GB"</f>
        <v>/apps/pcehr 45GB</v>
      </c>
      <c r="S68" s="31" t="s">
        <v>3366</v>
      </c>
      <c r="T68" s="31" t="s">
        <v>4723</v>
      </c>
      <c r="U68" s="32" t="s">
        <v>3424</v>
      </c>
      <c r="V68">
        <v>12.8</v>
      </c>
      <c r="W68" s="31">
        <f>MAX(0,NfsExports[[#This Row],[Prospective throughput]]-(NfsExports[[#This Row],[Configured Quota (GB)]]*0.064))</f>
        <v>6.4</v>
      </c>
    </row>
    <row r="69" spans="1:23" x14ac:dyDescent="0.35">
      <c r="A69" s="138" t="s">
        <v>3199</v>
      </c>
      <c r="B69" s="138" t="s">
        <v>3216</v>
      </c>
      <c r="C69" s="67" t="s">
        <v>3425</v>
      </c>
      <c r="D69" s="65" t="s">
        <v>3426</v>
      </c>
      <c r="E69" s="31" t="str">
        <f>SUBSTITUTE(NfsExports[[#This Row],[FMO Volume Name]],"_","-")</f>
        <v>vmpfbpf2hdr22-apps-pcehr</v>
      </c>
      <c r="F69" s="66" t="s">
        <v>3248</v>
      </c>
      <c r="G69" s="67">
        <v>45</v>
      </c>
      <c r="H69" s="31">
        <f>MAX(NfsExports[[#This Row],[Required Quota (GB)]],100)</f>
        <v>100</v>
      </c>
      <c r="I69">
        <v>12.8</v>
      </c>
      <c r="K69" s="66" t="s">
        <v>3249</v>
      </c>
      <c r="M6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10.98.73.69</v>
      </c>
      <c r="N69" t="str" cm="1">
        <f t="array" ref="N69">_xlfn.TEXTJOIN(",",TRUE,IF(NfsExports[[#This Row],[FMO Volume Name]]=NfsExportsVNets[FMO Volume Name],NfsExportsVNets[FMO Vnet Subnet],""))</f>
        <v/>
      </c>
      <c r="O69" t="str" cm="1">
        <f t="array" ref="O69">_xlfn.TEXTJOIN(",",TRUE,IF(NfsExports[[#This Row],[FMO Volume Name]]=NfsExportsSubnets[FMO Volume Name],NfsExportsSubnets[FMO Subnet CIDR],""))</f>
        <v/>
      </c>
      <c r="P69" t="str" cm="1">
        <f t="array" ref="P69">IFERROR(_xlfn.TEXTJOIN(",",TRUE,_xlfn._xlws.FILTER(NfsExportsServices[FMO VM Name Summary],NfsExports[[#This Row],[FMO Volume Name]]=NfsExportsServices[FMO Volume Name])),"")</f>
        <v/>
      </c>
      <c r="Q69" s="31" t="str">
        <f>_xlfn.TEXTJOIN(",",TRUE,NfsExports[[#This Row],[FMO Export Override]:[FMO Export Service IPs]])</f>
        <v>10.98.73.69</v>
      </c>
      <c r="R69" s="31" t="str">
        <f>NfsExports[[#This Row],[FMO Mount Path Estimated]]&amp;" "&amp;NfsExports[[#This Row],[Required Quota (GB)]]&amp;"GB"</f>
        <v>/apps/pcehr 45GB</v>
      </c>
      <c r="S69" s="31" t="s">
        <v>3366</v>
      </c>
      <c r="T69" s="31" t="s">
        <v>4723</v>
      </c>
      <c r="U69" s="32" t="s">
        <v>3427</v>
      </c>
      <c r="V69">
        <v>12.8</v>
      </c>
      <c r="W69" s="31">
        <f>MAX(0,NfsExports[[#This Row],[Prospective throughput]]-(NfsExports[[#This Row],[Configured Quota (GB)]]*0.064))</f>
        <v>6.4</v>
      </c>
    </row>
    <row r="70" spans="1:23" x14ac:dyDescent="0.35">
      <c r="A70" s="138" t="s">
        <v>3199</v>
      </c>
      <c r="B70" s="138" t="s">
        <v>3216</v>
      </c>
      <c r="C70" s="67" t="s">
        <v>3428</v>
      </c>
      <c r="D70" s="66" t="s">
        <v>3429</v>
      </c>
      <c r="E70" s="31" t="str">
        <f>SUBSTITUTE(NfsExports[[#This Row],[FMO Volume Name]],"_","-")</f>
        <v>vmpfbpf2hmr01-apps-pcehr</v>
      </c>
      <c r="F70" s="66" t="s">
        <v>3248</v>
      </c>
      <c r="G70" s="67">
        <v>50</v>
      </c>
      <c r="H70" s="31">
        <f>MAX(NfsExports[[#This Row],[Required Quota (GB)]],100)</f>
        <v>100</v>
      </c>
      <c r="I70">
        <v>12.8</v>
      </c>
      <c r="K70" s="66" t="s">
        <v>3249</v>
      </c>
      <c r="M7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10.98.73.84</v>
      </c>
      <c r="N70" t="str" cm="1">
        <f t="array" ref="N70">_xlfn.TEXTJOIN(",",TRUE,IF(NfsExports[[#This Row],[FMO Volume Name]]=NfsExportsVNets[FMO Volume Name],NfsExportsVNets[FMO Vnet Subnet],""))</f>
        <v/>
      </c>
      <c r="O70" t="str" cm="1">
        <f t="array" ref="O70">_xlfn.TEXTJOIN(",",TRUE,IF(NfsExports[[#This Row],[FMO Volume Name]]=NfsExportsSubnets[FMO Volume Name],NfsExportsSubnets[FMO Subnet CIDR],""))</f>
        <v/>
      </c>
      <c r="P70" t="str" cm="1">
        <f t="array" ref="P70">IFERROR(_xlfn.TEXTJOIN(",",TRUE,_xlfn._xlws.FILTER(NfsExportsServices[FMO VM Name Summary],NfsExports[[#This Row],[FMO Volume Name]]=NfsExportsServices[FMO Volume Name])),"")</f>
        <v/>
      </c>
      <c r="Q70" s="31" t="str">
        <f>_xlfn.TEXTJOIN(",",TRUE,NfsExports[[#This Row],[FMO Export Override]:[FMO Export Service IPs]])</f>
        <v>10.98.73.84</v>
      </c>
      <c r="R70" s="31" t="str">
        <f>NfsExports[[#This Row],[FMO Mount Path Estimated]]&amp;" "&amp;NfsExports[[#This Row],[Required Quota (GB)]]&amp;"GB"</f>
        <v>/apps/pcehr 50GB</v>
      </c>
      <c r="S70" s="31" t="s">
        <v>3250</v>
      </c>
      <c r="T70" s="31" t="s">
        <v>4723</v>
      </c>
      <c r="U70" s="32" t="s">
        <v>3430</v>
      </c>
      <c r="V70">
        <v>12.8</v>
      </c>
      <c r="W70" s="31">
        <f>MAX(0,NfsExports[[#This Row],[Prospective throughput]]-(NfsExports[[#This Row],[Configured Quota (GB)]]*0.064))</f>
        <v>6.4</v>
      </c>
    </row>
    <row r="71" spans="1:23" x14ac:dyDescent="0.35">
      <c r="A71" s="138" t="s">
        <v>3199</v>
      </c>
      <c r="B71" s="138" t="s">
        <v>3216</v>
      </c>
      <c r="C71" s="67" t="s">
        <v>3431</v>
      </c>
      <c r="D71" s="65" t="s">
        <v>3432</v>
      </c>
      <c r="E71" s="31" t="str">
        <f>SUBSTITUTE(NfsExports[[#This Row],[FMO Volume Name]],"_","-")</f>
        <v>vmpfbpf2hmr02-apps-pcehr</v>
      </c>
      <c r="F71" s="66" t="s">
        <v>3248</v>
      </c>
      <c r="G71" s="67">
        <v>50</v>
      </c>
      <c r="H71" s="31">
        <f>MAX(NfsExports[[#This Row],[Required Quota (GB)]],100)</f>
        <v>100</v>
      </c>
      <c r="I71">
        <v>12.8</v>
      </c>
      <c r="K71" s="66" t="s">
        <v>3249</v>
      </c>
      <c r="M7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10.98.73.85</v>
      </c>
      <c r="N71" t="str" cm="1">
        <f t="array" ref="N71">_xlfn.TEXTJOIN(",",TRUE,IF(NfsExports[[#This Row],[FMO Volume Name]]=NfsExportsVNets[FMO Volume Name],NfsExportsVNets[FMO Vnet Subnet],""))</f>
        <v/>
      </c>
      <c r="O71" t="str" cm="1">
        <f t="array" ref="O71">_xlfn.TEXTJOIN(",",TRUE,IF(NfsExports[[#This Row],[FMO Volume Name]]=NfsExportsSubnets[FMO Volume Name],NfsExportsSubnets[FMO Subnet CIDR],""))</f>
        <v/>
      </c>
      <c r="P71" t="str" cm="1">
        <f t="array" ref="P71">IFERROR(_xlfn.TEXTJOIN(",",TRUE,_xlfn._xlws.FILTER(NfsExportsServices[FMO VM Name Summary],NfsExports[[#This Row],[FMO Volume Name]]=NfsExportsServices[FMO Volume Name])),"")</f>
        <v/>
      </c>
      <c r="Q71" s="31" t="str">
        <f>_xlfn.TEXTJOIN(",",TRUE,NfsExports[[#This Row],[FMO Export Override]:[FMO Export Service IPs]])</f>
        <v>10.98.73.85</v>
      </c>
      <c r="R71" s="31" t="str">
        <f>NfsExports[[#This Row],[FMO Mount Path Estimated]]&amp;" "&amp;NfsExports[[#This Row],[Required Quota (GB)]]&amp;"GB"</f>
        <v>/apps/pcehr 50GB</v>
      </c>
      <c r="S71" s="31" t="s">
        <v>3250</v>
      </c>
      <c r="T71" s="31" t="s">
        <v>4723</v>
      </c>
      <c r="U71" s="32" t="s">
        <v>3433</v>
      </c>
      <c r="V71">
        <v>12.8</v>
      </c>
      <c r="W71" s="31">
        <f>MAX(0,NfsExports[[#This Row],[Prospective throughput]]-(NfsExports[[#This Row],[Configured Quota (GB)]]*0.064))</f>
        <v>6.4</v>
      </c>
    </row>
    <row r="72" spans="1:23" x14ac:dyDescent="0.35">
      <c r="A72" s="138" t="s">
        <v>3199</v>
      </c>
      <c r="B72" s="138" t="s">
        <v>3216</v>
      </c>
      <c r="C72" s="67" t="s">
        <v>3434</v>
      </c>
      <c r="D72" s="66" t="s">
        <v>3435</v>
      </c>
      <c r="E72" s="31" t="str">
        <f>SUBSTITUTE(NfsExports[[#This Row],[FMO Volume Name]],"_","-")</f>
        <v>vmpfbpf2hmr03-apps-pcehr</v>
      </c>
      <c r="F72" s="66" t="s">
        <v>3248</v>
      </c>
      <c r="G72" s="67">
        <v>50</v>
      </c>
      <c r="H72" s="31">
        <f>MAX(NfsExports[[#This Row],[Required Quota (GB)]],100)</f>
        <v>100</v>
      </c>
      <c r="I72">
        <v>12.8</v>
      </c>
      <c r="K72" s="66" t="s">
        <v>3249</v>
      </c>
      <c r="M7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10.98.73.86</v>
      </c>
      <c r="N72" t="str" cm="1">
        <f t="array" ref="N72">_xlfn.TEXTJOIN(",",TRUE,IF(NfsExports[[#This Row],[FMO Volume Name]]=NfsExportsVNets[FMO Volume Name],NfsExportsVNets[FMO Vnet Subnet],""))</f>
        <v/>
      </c>
      <c r="O72" t="str" cm="1">
        <f t="array" ref="O72">_xlfn.TEXTJOIN(",",TRUE,IF(NfsExports[[#This Row],[FMO Volume Name]]=NfsExportsSubnets[FMO Volume Name],NfsExportsSubnets[FMO Subnet CIDR],""))</f>
        <v/>
      </c>
      <c r="P72" t="str" cm="1">
        <f t="array" ref="P72">IFERROR(_xlfn.TEXTJOIN(",",TRUE,_xlfn._xlws.FILTER(NfsExportsServices[FMO VM Name Summary],NfsExports[[#This Row],[FMO Volume Name]]=NfsExportsServices[FMO Volume Name])),"")</f>
        <v/>
      </c>
      <c r="Q72" s="31" t="str">
        <f>_xlfn.TEXTJOIN(",",TRUE,NfsExports[[#This Row],[FMO Export Override]:[FMO Export Service IPs]])</f>
        <v>10.98.73.86</v>
      </c>
      <c r="R72" s="31" t="str">
        <f>NfsExports[[#This Row],[FMO Mount Path Estimated]]&amp;" "&amp;NfsExports[[#This Row],[Required Quota (GB)]]&amp;"GB"</f>
        <v>/apps/pcehr 50GB</v>
      </c>
      <c r="S72" s="31" t="s">
        <v>3250</v>
      </c>
      <c r="T72" s="31" t="s">
        <v>4723</v>
      </c>
      <c r="U72" s="32" t="s">
        <v>3436</v>
      </c>
      <c r="V72">
        <v>12.8</v>
      </c>
      <c r="W72" s="31">
        <f>MAX(0,NfsExports[[#This Row],[Prospective throughput]]-(NfsExports[[#This Row],[Configured Quota (GB)]]*0.064))</f>
        <v>6.4</v>
      </c>
    </row>
    <row r="73" spans="1:23" x14ac:dyDescent="0.35">
      <c r="A73" s="138" t="s">
        <v>3199</v>
      </c>
      <c r="B73" s="138" t="s">
        <v>3216</v>
      </c>
      <c r="C73" s="67" t="s">
        <v>3437</v>
      </c>
      <c r="D73" s="65" t="s">
        <v>3438</v>
      </c>
      <c r="E73" s="31" t="str">
        <f>SUBSTITUTE(NfsExports[[#This Row],[FMO Volume Name]],"_","-")</f>
        <v>vmpfbpf2hmr04-apps-pcehr</v>
      </c>
      <c r="F73" s="66" t="s">
        <v>3248</v>
      </c>
      <c r="G73" s="67">
        <v>50</v>
      </c>
      <c r="H73" s="31">
        <f>MAX(NfsExports[[#This Row],[Required Quota (GB)]],100)</f>
        <v>100</v>
      </c>
      <c r="I73">
        <v>12.8</v>
      </c>
      <c r="K73" s="66" t="s">
        <v>3249</v>
      </c>
      <c r="M7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10.98.73.87</v>
      </c>
      <c r="N73" t="str" cm="1">
        <f t="array" ref="N73">_xlfn.TEXTJOIN(",",TRUE,IF(NfsExports[[#This Row],[FMO Volume Name]]=NfsExportsVNets[FMO Volume Name],NfsExportsVNets[FMO Vnet Subnet],""))</f>
        <v/>
      </c>
      <c r="O73" t="str" cm="1">
        <f t="array" ref="O73">_xlfn.TEXTJOIN(",",TRUE,IF(NfsExports[[#This Row],[FMO Volume Name]]=NfsExportsSubnets[FMO Volume Name],NfsExportsSubnets[FMO Subnet CIDR],""))</f>
        <v/>
      </c>
      <c r="P73" t="str" cm="1">
        <f t="array" ref="P73">IFERROR(_xlfn.TEXTJOIN(",",TRUE,_xlfn._xlws.FILTER(NfsExportsServices[FMO VM Name Summary],NfsExports[[#This Row],[FMO Volume Name]]=NfsExportsServices[FMO Volume Name])),"")</f>
        <v/>
      </c>
      <c r="Q73" s="31" t="str">
        <f>_xlfn.TEXTJOIN(",",TRUE,NfsExports[[#This Row],[FMO Export Override]:[FMO Export Service IPs]])</f>
        <v>10.98.73.87</v>
      </c>
      <c r="R73" s="31" t="str">
        <f>NfsExports[[#This Row],[FMO Mount Path Estimated]]&amp;" "&amp;NfsExports[[#This Row],[Required Quota (GB)]]&amp;"GB"</f>
        <v>/apps/pcehr 50GB</v>
      </c>
      <c r="S73" s="31" t="s">
        <v>3250</v>
      </c>
      <c r="T73" s="31" t="s">
        <v>4723</v>
      </c>
      <c r="U73" s="32" t="s">
        <v>3439</v>
      </c>
      <c r="V73">
        <v>12.8</v>
      </c>
      <c r="W73" s="31">
        <f>MAX(0,NfsExports[[#This Row],[Prospective throughput]]-(NfsExports[[#This Row],[Configured Quota (GB)]]*0.064))</f>
        <v>6.4</v>
      </c>
    </row>
    <row r="74" spans="1:23" x14ac:dyDescent="0.35">
      <c r="A74" s="138" t="s">
        <v>3199</v>
      </c>
      <c r="B74" s="138" t="s">
        <v>3216</v>
      </c>
      <c r="C74" s="67" t="s">
        <v>3440</v>
      </c>
      <c r="D74" s="66" t="s">
        <v>3441</v>
      </c>
      <c r="E74" s="31" t="str">
        <f>SUBSTITUTE(NfsExports[[#This Row],[FMO Volume Name]],"_","-")</f>
        <v>vmpfbpf2hmr05-apps-pcehr</v>
      </c>
      <c r="F74" s="66" t="s">
        <v>3248</v>
      </c>
      <c r="G74" s="67">
        <v>50</v>
      </c>
      <c r="H74" s="31">
        <f>MAX(NfsExports[[#This Row],[Required Quota (GB)]],100)</f>
        <v>100</v>
      </c>
      <c r="I74">
        <v>12.8</v>
      </c>
      <c r="K74" s="66" t="s">
        <v>3249</v>
      </c>
      <c r="M7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10.98.73.88</v>
      </c>
      <c r="N74" t="str" cm="1">
        <f t="array" ref="N74">_xlfn.TEXTJOIN(",",TRUE,IF(NfsExports[[#This Row],[FMO Volume Name]]=NfsExportsVNets[FMO Volume Name],NfsExportsVNets[FMO Vnet Subnet],""))</f>
        <v/>
      </c>
      <c r="O74" t="str" cm="1">
        <f t="array" ref="O74">_xlfn.TEXTJOIN(",",TRUE,IF(NfsExports[[#This Row],[FMO Volume Name]]=NfsExportsSubnets[FMO Volume Name],NfsExportsSubnets[FMO Subnet CIDR],""))</f>
        <v/>
      </c>
      <c r="P74" t="str" cm="1">
        <f t="array" ref="P74">IFERROR(_xlfn.TEXTJOIN(",",TRUE,_xlfn._xlws.FILTER(NfsExportsServices[FMO VM Name Summary],NfsExports[[#This Row],[FMO Volume Name]]=NfsExportsServices[FMO Volume Name])),"")</f>
        <v/>
      </c>
      <c r="Q74" s="31" t="str">
        <f>_xlfn.TEXTJOIN(",",TRUE,NfsExports[[#This Row],[FMO Export Override]:[FMO Export Service IPs]])</f>
        <v>10.98.73.88</v>
      </c>
      <c r="R74" s="31" t="str">
        <f>NfsExports[[#This Row],[FMO Mount Path Estimated]]&amp;" "&amp;NfsExports[[#This Row],[Required Quota (GB)]]&amp;"GB"</f>
        <v>/apps/pcehr 50GB</v>
      </c>
      <c r="S74" s="31" t="s">
        <v>3250</v>
      </c>
      <c r="T74" s="31" t="s">
        <v>4723</v>
      </c>
      <c r="U74" s="32" t="s">
        <v>3442</v>
      </c>
      <c r="V74">
        <v>12.8</v>
      </c>
      <c r="W74" s="31">
        <f>MAX(0,NfsExports[[#This Row],[Prospective throughput]]-(NfsExports[[#This Row],[Configured Quota (GB)]]*0.064))</f>
        <v>6.4</v>
      </c>
    </row>
    <row r="75" spans="1:23" x14ac:dyDescent="0.35">
      <c r="A75" s="138" t="s">
        <v>3199</v>
      </c>
      <c r="B75" s="138" t="s">
        <v>3216</v>
      </c>
      <c r="C75" s="67" t="s">
        <v>3443</v>
      </c>
      <c r="D75" s="65" t="s">
        <v>3444</v>
      </c>
      <c r="E75" s="31" t="str">
        <f>SUBSTITUTE(NfsExports[[#This Row],[FMO Volume Name]],"_","-")</f>
        <v>vmpfbpf2hmr06-apps-pcehr</v>
      </c>
      <c r="F75" s="66" t="s">
        <v>3248</v>
      </c>
      <c r="G75" s="67">
        <v>50</v>
      </c>
      <c r="H75" s="31">
        <f>MAX(NfsExports[[#This Row],[Required Quota (GB)]],100)</f>
        <v>100</v>
      </c>
      <c r="I75">
        <v>12.8</v>
      </c>
      <c r="K75" s="66" t="s">
        <v>3249</v>
      </c>
      <c r="M7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10.98.73.89</v>
      </c>
      <c r="N75" t="str" cm="1">
        <f t="array" ref="N75">_xlfn.TEXTJOIN(",",TRUE,IF(NfsExports[[#This Row],[FMO Volume Name]]=NfsExportsVNets[FMO Volume Name],NfsExportsVNets[FMO Vnet Subnet],""))</f>
        <v/>
      </c>
      <c r="O75" t="str" cm="1">
        <f t="array" ref="O75">_xlfn.TEXTJOIN(",",TRUE,IF(NfsExports[[#This Row],[FMO Volume Name]]=NfsExportsSubnets[FMO Volume Name],NfsExportsSubnets[FMO Subnet CIDR],""))</f>
        <v/>
      </c>
      <c r="P75" t="str" cm="1">
        <f t="array" ref="P75">IFERROR(_xlfn.TEXTJOIN(",",TRUE,_xlfn._xlws.FILTER(NfsExportsServices[FMO VM Name Summary],NfsExports[[#This Row],[FMO Volume Name]]=NfsExportsServices[FMO Volume Name])),"")</f>
        <v/>
      </c>
      <c r="Q75" s="31" t="str">
        <f>_xlfn.TEXTJOIN(",",TRUE,NfsExports[[#This Row],[FMO Export Override]:[FMO Export Service IPs]])</f>
        <v>10.98.73.89</v>
      </c>
      <c r="R75" s="31" t="str">
        <f>NfsExports[[#This Row],[FMO Mount Path Estimated]]&amp;" "&amp;NfsExports[[#This Row],[Required Quota (GB)]]&amp;"GB"</f>
        <v>/apps/pcehr 50GB</v>
      </c>
      <c r="S75" s="31" t="s">
        <v>3250</v>
      </c>
      <c r="T75" s="31" t="s">
        <v>4723</v>
      </c>
      <c r="U75" s="32" t="s">
        <v>3445</v>
      </c>
      <c r="V75">
        <v>12.8</v>
      </c>
      <c r="W75" s="31">
        <f>MAX(0,NfsExports[[#This Row],[Prospective throughput]]-(NfsExports[[#This Row],[Configured Quota (GB)]]*0.064))</f>
        <v>6.4</v>
      </c>
    </row>
    <row r="76" spans="1:23" x14ac:dyDescent="0.35">
      <c r="A76" s="138" t="s">
        <v>3199</v>
      </c>
      <c r="B76" s="138" t="s">
        <v>3216</v>
      </c>
      <c r="C76" s="67" t="s">
        <v>3446</v>
      </c>
      <c r="D76" s="66" t="s">
        <v>3447</v>
      </c>
      <c r="E76" s="31" t="str">
        <f>SUBSTITUTE(NfsExports[[#This Row],[FMO Volume Name]],"_","-")</f>
        <v>vmpfbpf2hmr07-apps-pcehr</v>
      </c>
      <c r="F76" s="66" t="s">
        <v>3248</v>
      </c>
      <c r="G76" s="67">
        <v>50</v>
      </c>
      <c r="H76" s="31">
        <f>MAX(NfsExports[[#This Row],[Required Quota (GB)]],100)</f>
        <v>100</v>
      </c>
      <c r="I76">
        <v>12.8</v>
      </c>
      <c r="K76" s="66" t="s">
        <v>3249</v>
      </c>
      <c r="M7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10.98.73.90</v>
      </c>
      <c r="N76" t="str" cm="1">
        <f t="array" ref="N76">_xlfn.TEXTJOIN(",",TRUE,IF(NfsExports[[#This Row],[FMO Volume Name]]=NfsExportsVNets[FMO Volume Name],NfsExportsVNets[FMO Vnet Subnet],""))</f>
        <v/>
      </c>
      <c r="O76" t="str" cm="1">
        <f t="array" ref="O76">_xlfn.TEXTJOIN(",",TRUE,IF(NfsExports[[#This Row],[FMO Volume Name]]=NfsExportsSubnets[FMO Volume Name],NfsExportsSubnets[FMO Subnet CIDR],""))</f>
        <v/>
      </c>
      <c r="P76" t="str" cm="1">
        <f t="array" ref="P76">IFERROR(_xlfn.TEXTJOIN(",",TRUE,_xlfn._xlws.FILTER(NfsExportsServices[FMO VM Name Summary],NfsExports[[#This Row],[FMO Volume Name]]=NfsExportsServices[FMO Volume Name])),"")</f>
        <v/>
      </c>
      <c r="Q76" s="31" t="str">
        <f>_xlfn.TEXTJOIN(",",TRUE,NfsExports[[#This Row],[FMO Export Override]:[FMO Export Service IPs]])</f>
        <v>10.98.73.90</v>
      </c>
      <c r="R76" s="31" t="str">
        <f>NfsExports[[#This Row],[FMO Mount Path Estimated]]&amp;" "&amp;NfsExports[[#This Row],[Required Quota (GB)]]&amp;"GB"</f>
        <v>/apps/pcehr 50GB</v>
      </c>
      <c r="S76" s="31" t="s">
        <v>3250</v>
      </c>
      <c r="T76" s="31" t="s">
        <v>4723</v>
      </c>
      <c r="U76" s="32" t="s">
        <v>3448</v>
      </c>
      <c r="V76">
        <v>12.8</v>
      </c>
      <c r="W76" s="31">
        <f>MAX(0,NfsExports[[#This Row],[Prospective throughput]]-(NfsExports[[#This Row],[Configured Quota (GB)]]*0.064))</f>
        <v>6.4</v>
      </c>
    </row>
    <row r="77" spans="1:23" x14ac:dyDescent="0.35">
      <c r="A77" s="138" t="s">
        <v>3199</v>
      </c>
      <c r="B77" s="138" t="s">
        <v>3216</v>
      </c>
      <c r="C77" s="67" t="s">
        <v>3449</v>
      </c>
      <c r="D77" s="65" t="s">
        <v>3450</v>
      </c>
      <c r="E77" s="31" t="str">
        <f>SUBSTITUTE(NfsExports[[#This Row],[FMO Volume Name]],"_","-")</f>
        <v>vmpfbpf2hmr08-apps-pcehr</v>
      </c>
      <c r="F77" s="66" t="s">
        <v>3248</v>
      </c>
      <c r="G77" s="67">
        <v>50</v>
      </c>
      <c r="H77" s="31">
        <f>MAX(NfsExports[[#This Row],[Required Quota (GB)]],100)</f>
        <v>100</v>
      </c>
      <c r="I77">
        <v>12.8</v>
      </c>
      <c r="K77" s="66" t="s">
        <v>3249</v>
      </c>
      <c r="M7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10.98.73.91</v>
      </c>
      <c r="N77" t="str" cm="1">
        <f t="array" ref="N77">_xlfn.TEXTJOIN(",",TRUE,IF(NfsExports[[#This Row],[FMO Volume Name]]=NfsExportsVNets[FMO Volume Name],NfsExportsVNets[FMO Vnet Subnet],""))</f>
        <v/>
      </c>
      <c r="O77" t="str" cm="1">
        <f t="array" ref="O77">_xlfn.TEXTJOIN(",",TRUE,IF(NfsExports[[#This Row],[FMO Volume Name]]=NfsExportsSubnets[FMO Volume Name],NfsExportsSubnets[FMO Subnet CIDR],""))</f>
        <v/>
      </c>
      <c r="P77" t="str" cm="1">
        <f t="array" ref="P77">IFERROR(_xlfn.TEXTJOIN(",",TRUE,_xlfn._xlws.FILTER(NfsExportsServices[FMO VM Name Summary],NfsExports[[#This Row],[FMO Volume Name]]=NfsExportsServices[FMO Volume Name])),"")</f>
        <v/>
      </c>
      <c r="Q77" s="31" t="str">
        <f>_xlfn.TEXTJOIN(",",TRUE,NfsExports[[#This Row],[FMO Export Override]:[FMO Export Service IPs]])</f>
        <v>10.98.73.91</v>
      </c>
      <c r="R77" s="31" t="str">
        <f>NfsExports[[#This Row],[FMO Mount Path Estimated]]&amp;" "&amp;NfsExports[[#This Row],[Required Quota (GB)]]&amp;"GB"</f>
        <v>/apps/pcehr 50GB</v>
      </c>
      <c r="S77" s="31" t="s">
        <v>3250</v>
      </c>
      <c r="T77" s="31" t="s">
        <v>4723</v>
      </c>
      <c r="U77" s="32" t="s">
        <v>3451</v>
      </c>
      <c r="V77">
        <v>12.8</v>
      </c>
      <c r="W77" s="31">
        <f>MAX(0,NfsExports[[#This Row],[Prospective throughput]]-(NfsExports[[#This Row],[Configured Quota (GB)]]*0.064))</f>
        <v>6.4</v>
      </c>
    </row>
    <row r="78" spans="1:23" x14ac:dyDescent="0.35">
      <c r="A78" s="138" t="s">
        <v>3199</v>
      </c>
      <c r="B78" s="138" t="s">
        <v>3216</v>
      </c>
      <c r="C78" s="67" t="s">
        <v>3452</v>
      </c>
      <c r="D78" s="66" t="s">
        <v>3453</v>
      </c>
      <c r="E78" s="31" t="str">
        <f>SUBSTITUTE(NfsExports[[#This Row],[FMO Volume Name]],"_","-")</f>
        <v>vmpfbpf2hmr09-apps-pcehr</v>
      </c>
      <c r="F78" s="66" t="s">
        <v>3248</v>
      </c>
      <c r="G78" s="67">
        <v>50</v>
      </c>
      <c r="H78" s="31">
        <f>MAX(NfsExports[[#This Row],[Required Quota (GB)]],100)</f>
        <v>100</v>
      </c>
      <c r="I78">
        <v>12.8</v>
      </c>
      <c r="K78" s="66" t="s">
        <v>3249</v>
      </c>
      <c r="M7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10.98.73.92</v>
      </c>
      <c r="N78" t="str" cm="1">
        <f t="array" ref="N78">_xlfn.TEXTJOIN(",",TRUE,IF(NfsExports[[#This Row],[FMO Volume Name]]=NfsExportsVNets[FMO Volume Name],NfsExportsVNets[FMO Vnet Subnet],""))</f>
        <v/>
      </c>
      <c r="O78" t="str" cm="1">
        <f t="array" ref="O78">_xlfn.TEXTJOIN(",",TRUE,IF(NfsExports[[#This Row],[FMO Volume Name]]=NfsExportsSubnets[FMO Volume Name],NfsExportsSubnets[FMO Subnet CIDR],""))</f>
        <v/>
      </c>
      <c r="P78" t="str" cm="1">
        <f t="array" ref="P78">IFERROR(_xlfn.TEXTJOIN(",",TRUE,_xlfn._xlws.FILTER(NfsExportsServices[FMO VM Name Summary],NfsExports[[#This Row],[FMO Volume Name]]=NfsExportsServices[FMO Volume Name])),"")</f>
        <v/>
      </c>
      <c r="Q78" s="31" t="str">
        <f>_xlfn.TEXTJOIN(",",TRUE,NfsExports[[#This Row],[FMO Export Override]:[FMO Export Service IPs]])</f>
        <v>10.98.73.92</v>
      </c>
      <c r="R78" s="31" t="str">
        <f>NfsExports[[#This Row],[FMO Mount Path Estimated]]&amp;" "&amp;NfsExports[[#This Row],[Required Quota (GB)]]&amp;"GB"</f>
        <v>/apps/pcehr 50GB</v>
      </c>
      <c r="S78" s="31" t="s">
        <v>3250</v>
      </c>
      <c r="T78" s="31" t="s">
        <v>4723</v>
      </c>
      <c r="U78" s="32" t="s">
        <v>3454</v>
      </c>
      <c r="V78">
        <v>12.8</v>
      </c>
      <c r="W78" s="31">
        <f>MAX(0,NfsExports[[#This Row],[Prospective throughput]]-(NfsExports[[#This Row],[Configured Quota (GB)]]*0.064))</f>
        <v>6.4</v>
      </c>
    </row>
    <row r="79" spans="1:23" x14ac:dyDescent="0.35">
      <c r="A79" s="138" t="s">
        <v>3199</v>
      </c>
      <c r="B79" s="138" t="s">
        <v>3216</v>
      </c>
      <c r="C79" s="67" t="s">
        <v>3455</v>
      </c>
      <c r="D79" s="65" t="s">
        <v>3456</v>
      </c>
      <c r="E79" s="31" t="str">
        <f>SUBSTITUTE(NfsExports[[#This Row],[FMO Volume Name]],"_","-")</f>
        <v>vmpfbpf2hmr10-apps-pcehr</v>
      </c>
      <c r="F79" s="66" t="s">
        <v>3248</v>
      </c>
      <c r="G79" s="67">
        <v>50</v>
      </c>
      <c r="H79" s="31">
        <f>MAX(NfsExports[[#This Row],[Required Quota (GB)]],100)</f>
        <v>100</v>
      </c>
      <c r="I79">
        <v>12.8</v>
      </c>
      <c r="K79" s="66" t="s">
        <v>3249</v>
      </c>
      <c r="M7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10.98.73.93</v>
      </c>
      <c r="N79" t="str" cm="1">
        <f t="array" ref="N79">_xlfn.TEXTJOIN(",",TRUE,IF(NfsExports[[#This Row],[FMO Volume Name]]=NfsExportsVNets[FMO Volume Name],NfsExportsVNets[FMO Vnet Subnet],""))</f>
        <v/>
      </c>
      <c r="O79" t="str" cm="1">
        <f t="array" ref="O79">_xlfn.TEXTJOIN(",",TRUE,IF(NfsExports[[#This Row],[FMO Volume Name]]=NfsExportsSubnets[FMO Volume Name],NfsExportsSubnets[FMO Subnet CIDR],""))</f>
        <v/>
      </c>
      <c r="P79" t="str" cm="1">
        <f t="array" ref="P79">IFERROR(_xlfn.TEXTJOIN(",",TRUE,_xlfn._xlws.FILTER(NfsExportsServices[FMO VM Name Summary],NfsExports[[#This Row],[FMO Volume Name]]=NfsExportsServices[FMO Volume Name])),"")</f>
        <v/>
      </c>
      <c r="Q79" s="31" t="str">
        <f>_xlfn.TEXTJOIN(",",TRUE,NfsExports[[#This Row],[FMO Export Override]:[FMO Export Service IPs]])</f>
        <v>10.98.73.93</v>
      </c>
      <c r="R79" s="31" t="str">
        <f>NfsExports[[#This Row],[FMO Mount Path Estimated]]&amp;" "&amp;NfsExports[[#This Row],[Required Quota (GB)]]&amp;"GB"</f>
        <v>/apps/pcehr 50GB</v>
      </c>
      <c r="S79" s="31" t="s">
        <v>3250</v>
      </c>
      <c r="T79" s="31" t="s">
        <v>4723</v>
      </c>
      <c r="U79" s="32" t="s">
        <v>3457</v>
      </c>
      <c r="V79">
        <v>12.8</v>
      </c>
      <c r="W79" s="31">
        <f>MAX(0,NfsExports[[#This Row],[Prospective throughput]]-(NfsExports[[#This Row],[Configured Quota (GB)]]*0.064))</f>
        <v>6.4</v>
      </c>
    </row>
    <row r="80" spans="1:23" x14ac:dyDescent="0.35">
      <c r="A80" s="138" t="s">
        <v>3199</v>
      </c>
      <c r="B80" s="138" t="s">
        <v>3216</v>
      </c>
      <c r="C80" s="67" t="s">
        <v>3458</v>
      </c>
      <c r="D80" s="66" t="s">
        <v>3459</v>
      </c>
      <c r="E80" s="31" t="str">
        <f>SUBSTITUTE(NfsExports[[#This Row],[FMO Volume Name]],"_","-")</f>
        <v>vmpfbpf2oag01-apps-pcehr</v>
      </c>
      <c r="F80" s="66" t="s">
        <v>3248</v>
      </c>
      <c r="G80" s="67">
        <v>40</v>
      </c>
      <c r="H80" s="31">
        <f>MAX(NfsExports[[#This Row],[Required Quota (GB)]],100)</f>
        <v>100</v>
      </c>
      <c r="I80">
        <v>24</v>
      </c>
      <c r="K80" s="66" t="s">
        <v>3249</v>
      </c>
      <c r="M8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10.98.72.52</v>
      </c>
      <c r="N80" t="str" cm="1">
        <f t="array" ref="N80">_xlfn.TEXTJOIN(",",TRUE,IF(NfsExports[[#This Row],[FMO Volume Name]]=NfsExportsVNets[FMO Volume Name],NfsExportsVNets[FMO Vnet Subnet],""))</f>
        <v/>
      </c>
      <c r="O80" t="str" cm="1">
        <f t="array" ref="O80">_xlfn.TEXTJOIN(",",TRUE,IF(NfsExports[[#This Row],[FMO Volume Name]]=NfsExportsSubnets[FMO Volume Name],NfsExportsSubnets[FMO Subnet CIDR],""))</f>
        <v/>
      </c>
      <c r="P80" t="str" cm="1">
        <f t="array" ref="P80">IFERROR(_xlfn.TEXTJOIN(",",TRUE,_xlfn._xlws.FILTER(NfsExportsServices[FMO VM Name Summary],NfsExports[[#This Row],[FMO Volume Name]]=NfsExportsServices[FMO Volume Name])),"")</f>
        <v/>
      </c>
      <c r="Q80" s="31" t="str">
        <f>_xlfn.TEXTJOIN(",",TRUE,NfsExports[[#This Row],[FMO Export Override]:[FMO Export Service IPs]])</f>
        <v>10.98.72.52</v>
      </c>
      <c r="R80" s="31" t="str">
        <f>NfsExports[[#This Row],[FMO Mount Path Estimated]]&amp;" "&amp;NfsExports[[#This Row],[Required Quota (GB)]]&amp;"GB"</f>
        <v>/apps/pcehr 40GB</v>
      </c>
      <c r="S80" s="31" t="s">
        <v>3349</v>
      </c>
      <c r="T80" s="31" t="s">
        <v>4723</v>
      </c>
      <c r="U80" s="32" t="s">
        <v>3460</v>
      </c>
      <c r="V80">
        <v>24</v>
      </c>
      <c r="W80" s="31">
        <f>MAX(0,NfsExports[[#This Row],[Prospective throughput]]-(NfsExports[[#This Row],[Configured Quota (GB)]]*0.064))</f>
        <v>17.600000000000001</v>
      </c>
    </row>
    <row r="81" spans="1:23" x14ac:dyDescent="0.35">
      <c r="A81" s="138" t="s">
        <v>3199</v>
      </c>
      <c r="B81" s="138" t="s">
        <v>3216</v>
      </c>
      <c r="C81" s="67" t="s">
        <v>3461</v>
      </c>
      <c r="D81" s="66" t="s">
        <v>3462</v>
      </c>
      <c r="E81" s="31" t="str">
        <f>SUBSTITUTE(NfsExports[[#This Row],[FMO Volume Name]],"_","-")</f>
        <v>vmpfbpf2oag02-apps-pcehr</v>
      </c>
      <c r="F81" s="66" t="s">
        <v>3248</v>
      </c>
      <c r="G81" s="67">
        <v>40</v>
      </c>
      <c r="H81" s="31">
        <f>MAX(NfsExports[[#This Row],[Required Quota (GB)]],100)</f>
        <v>100</v>
      </c>
      <c r="I81">
        <v>24</v>
      </c>
      <c r="K81" s="66" t="s">
        <v>3249</v>
      </c>
      <c r="M8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10.98.72.53</v>
      </c>
      <c r="N81" t="str" cm="1">
        <f t="array" ref="N81">_xlfn.TEXTJOIN(",",TRUE,IF(NfsExports[[#This Row],[FMO Volume Name]]=NfsExportsVNets[FMO Volume Name],NfsExportsVNets[FMO Vnet Subnet],""))</f>
        <v/>
      </c>
      <c r="O81" t="str" cm="1">
        <f t="array" ref="O81">_xlfn.TEXTJOIN(",",TRUE,IF(NfsExports[[#This Row],[FMO Volume Name]]=NfsExportsSubnets[FMO Volume Name],NfsExportsSubnets[FMO Subnet CIDR],""))</f>
        <v/>
      </c>
      <c r="P81" t="str" cm="1">
        <f t="array" ref="P81">IFERROR(_xlfn.TEXTJOIN(",",TRUE,_xlfn._xlws.FILTER(NfsExportsServices[FMO VM Name Summary],NfsExports[[#This Row],[FMO Volume Name]]=NfsExportsServices[FMO Volume Name])),"")</f>
        <v/>
      </c>
      <c r="Q81" s="31" t="str">
        <f>_xlfn.TEXTJOIN(",",TRUE,NfsExports[[#This Row],[FMO Export Override]:[FMO Export Service IPs]])</f>
        <v>10.98.72.53</v>
      </c>
      <c r="R81" s="31" t="str">
        <f>NfsExports[[#This Row],[FMO Mount Path Estimated]]&amp;" "&amp;NfsExports[[#This Row],[Required Quota (GB)]]&amp;"GB"</f>
        <v>/apps/pcehr 40GB</v>
      </c>
      <c r="S81" s="31" t="s">
        <v>3349</v>
      </c>
      <c r="T81" s="31" t="s">
        <v>4723</v>
      </c>
      <c r="U81" s="32" t="s">
        <v>3463</v>
      </c>
      <c r="V81">
        <v>24</v>
      </c>
      <c r="W81" s="31">
        <f>MAX(0,NfsExports[[#This Row],[Prospective throughput]]-(NfsExports[[#This Row],[Configured Quota (GB)]]*0.064))</f>
        <v>17.600000000000001</v>
      </c>
    </row>
    <row r="82" spans="1:23" x14ac:dyDescent="0.35">
      <c r="A82" s="138" t="s">
        <v>3199</v>
      </c>
      <c r="B82" s="138" t="s">
        <v>3216</v>
      </c>
      <c r="C82" s="67" t="s">
        <v>3464</v>
      </c>
      <c r="D82" s="66" t="s">
        <v>3465</v>
      </c>
      <c r="E82" s="31" t="str">
        <f>SUBSTITUTE(NfsExports[[#This Row],[FMO Volume Name]],"_","-")</f>
        <v>vmpfbpf2oag03-apps-pcehr</v>
      </c>
      <c r="F82" s="66" t="s">
        <v>3248</v>
      </c>
      <c r="G82" s="67">
        <v>40</v>
      </c>
      <c r="H82" s="31">
        <f>MAX(NfsExports[[#This Row],[Required Quota (GB)]],100)</f>
        <v>100</v>
      </c>
      <c r="I82">
        <v>24</v>
      </c>
      <c r="K82" s="66" t="s">
        <v>3249</v>
      </c>
      <c r="M8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10.98.72.54</v>
      </c>
      <c r="N82" t="str" cm="1">
        <f t="array" ref="N82">_xlfn.TEXTJOIN(",",TRUE,IF(NfsExports[[#This Row],[FMO Volume Name]]=NfsExportsVNets[FMO Volume Name],NfsExportsVNets[FMO Vnet Subnet],""))</f>
        <v/>
      </c>
      <c r="O82" t="str" cm="1">
        <f t="array" ref="O82">_xlfn.TEXTJOIN(",",TRUE,IF(NfsExports[[#This Row],[FMO Volume Name]]=NfsExportsSubnets[FMO Volume Name],NfsExportsSubnets[FMO Subnet CIDR],""))</f>
        <v/>
      </c>
      <c r="P82" t="str" cm="1">
        <f t="array" ref="P82">IFERROR(_xlfn.TEXTJOIN(",",TRUE,_xlfn._xlws.FILTER(NfsExportsServices[FMO VM Name Summary],NfsExports[[#This Row],[FMO Volume Name]]=NfsExportsServices[FMO Volume Name])),"")</f>
        <v/>
      </c>
      <c r="Q82" s="31" t="str">
        <f>_xlfn.TEXTJOIN(",",TRUE,NfsExports[[#This Row],[FMO Export Override]:[FMO Export Service IPs]])</f>
        <v>10.98.72.54</v>
      </c>
      <c r="R82" s="31" t="str">
        <f>NfsExports[[#This Row],[FMO Mount Path Estimated]]&amp;" "&amp;NfsExports[[#This Row],[Required Quota (GB)]]&amp;"GB"</f>
        <v>/apps/pcehr 40GB</v>
      </c>
      <c r="S82" s="31" t="s">
        <v>3349</v>
      </c>
      <c r="T82" s="31" t="s">
        <v>4723</v>
      </c>
      <c r="U82" s="32" t="s">
        <v>3466</v>
      </c>
      <c r="V82">
        <v>24</v>
      </c>
      <c r="W82" s="31">
        <f>MAX(0,NfsExports[[#This Row],[Prospective throughput]]-(NfsExports[[#This Row],[Configured Quota (GB)]]*0.064))</f>
        <v>17.600000000000001</v>
      </c>
    </row>
    <row r="83" spans="1:23" x14ac:dyDescent="0.35">
      <c r="A83" s="138" t="s">
        <v>3199</v>
      </c>
      <c r="B83" s="138" t="s">
        <v>3216</v>
      </c>
      <c r="C83" s="67" t="s">
        <v>3467</v>
      </c>
      <c r="D83" s="66" t="s">
        <v>3468</v>
      </c>
      <c r="E83" s="31" t="str">
        <f>SUBSTITUTE(NfsExports[[#This Row],[FMO Volume Name]],"_","-")</f>
        <v>vmpfbpf2oag04-apps-pcehr</v>
      </c>
      <c r="F83" s="66" t="s">
        <v>3248</v>
      </c>
      <c r="G83" s="67">
        <v>40</v>
      </c>
      <c r="H83" s="31">
        <f>MAX(NfsExports[[#This Row],[Required Quota (GB)]],100)</f>
        <v>100</v>
      </c>
      <c r="I83">
        <v>24</v>
      </c>
      <c r="K83" s="66" t="s">
        <v>3249</v>
      </c>
      <c r="M8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10.98.72.55</v>
      </c>
      <c r="N83" t="str" cm="1">
        <f t="array" ref="N83">_xlfn.TEXTJOIN(",",TRUE,IF(NfsExports[[#This Row],[FMO Volume Name]]=NfsExportsVNets[FMO Volume Name],NfsExportsVNets[FMO Vnet Subnet],""))</f>
        <v/>
      </c>
      <c r="O83" t="str" cm="1">
        <f t="array" ref="O83">_xlfn.TEXTJOIN(",",TRUE,IF(NfsExports[[#This Row],[FMO Volume Name]]=NfsExportsSubnets[FMO Volume Name],NfsExportsSubnets[FMO Subnet CIDR],""))</f>
        <v/>
      </c>
      <c r="P83" t="str" cm="1">
        <f t="array" ref="P83">IFERROR(_xlfn.TEXTJOIN(",",TRUE,_xlfn._xlws.FILTER(NfsExportsServices[FMO VM Name Summary],NfsExports[[#This Row],[FMO Volume Name]]=NfsExportsServices[FMO Volume Name])),"")</f>
        <v/>
      </c>
      <c r="Q83" s="31" t="str">
        <f>_xlfn.TEXTJOIN(",",TRUE,NfsExports[[#This Row],[FMO Export Override]:[FMO Export Service IPs]])</f>
        <v>10.98.72.55</v>
      </c>
      <c r="R83" s="31" t="str">
        <f>NfsExports[[#This Row],[FMO Mount Path Estimated]]&amp;" "&amp;NfsExports[[#This Row],[Required Quota (GB)]]&amp;"GB"</f>
        <v>/apps/pcehr 40GB</v>
      </c>
      <c r="S83" s="31" t="s">
        <v>3349</v>
      </c>
      <c r="T83" s="31" t="s">
        <v>4723</v>
      </c>
      <c r="U83" s="32" t="s">
        <v>3469</v>
      </c>
      <c r="V83">
        <v>24</v>
      </c>
      <c r="W83" s="31">
        <f>MAX(0,NfsExports[[#This Row],[Prospective throughput]]-(NfsExports[[#This Row],[Configured Quota (GB)]]*0.064))</f>
        <v>17.600000000000001</v>
      </c>
    </row>
    <row r="84" spans="1:23" x14ac:dyDescent="0.35">
      <c r="A84" s="138" t="s">
        <v>3199</v>
      </c>
      <c r="B84" s="138" t="s">
        <v>3216</v>
      </c>
      <c r="C84" s="67" t="s">
        <v>3470</v>
      </c>
      <c r="D84" s="66" t="s">
        <v>3471</v>
      </c>
      <c r="E84" s="31" t="str">
        <f>SUBSTITUTE(NfsExports[[#This Row],[FMO Volume Name]],"_","-")</f>
        <v>vmpfbpf2oag05-apps-pcehr</v>
      </c>
      <c r="F84" s="66" t="s">
        <v>3248</v>
      </c>
      <c r="G84" s="67">
        <v>40</v>
      </c>
      <c r="H84" s="31">
        <f>MAX(NfsExports[[#This Row],[Required Quota (GB)]],100)</f>
        <v>100</v>
      </c>
      <c r="I84">
        <v>24</v>
      </c>
      <c r="K84" s="66" t="s">
        <v>3249</v>
      </c>
      <c r="M8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10.98.72.56</v>
      </c>
      <c r="N84" t="str" cm="1">
        <f t="array" ref="N84">_xlfn.TEXTJOIN(",",TRUE,IF(NfsExports[[#This Row],[FMO Volume Name]]=NfsExportsVNets[FMO Volume Name],NfsExportsVNets[FMO Vnet Subnet],""))</f>
        <v/>
      </c>
      <c r="O84" t="str" cm="1">
        <f t="array" ref="O84">_xlfn.TEXTJOIN(",",TRUE,IF(NfsExports[[#This Row],[FMO Volume Name]]=NfsExportsSubnets[FMO Volume Name],NfsExportsSubnets[FMO Subnet CIDR],""))</f>
        <v/>
      </c>
      <c r="P84" t="str" cm="1">
        <f t="array" ref="P84">IFERROR(_xlfn.TEXTJOIN(",",TRUE,_xlfn._xlws.FILTER(NfsExportsServices[FMO VM Name Summary],NfsExports[[#This Row],[FMO Volume Name]]=NfsExportsServices[FMO Volume Name])),"")</f>
        <v/>
      </c>
      <c r="Q84" s="31" t="str">
        <f>_xlfn.TEXTJOIN(",",TRUE,NfsExports[[#This Row],[FMO Export Override]:[FMO Export Service IPs]])</f>
        <v>10.98.72.56</v>
      </c>
      <c r="R84" s="31" t="str">
        <f>NfsExports[[#This Row],[FMO Mount Path Estimated]]&amp;" "&amp;NfsExports[[#This Row],[Required Quota (GB)]]&amp;"GB"</f>
        <v>/apps/pcehr 40GB</v>
      </c>
      <c r="S84" s="31" t="s">
        <v>3349</v>
      </c>
      <c r="T84" s="31" t="s">
        <v>4723</v>
      </c>
      <c r="U84" s="32" t="s">
        <v>3472</v>
      </c>
      <c r="V84">
        <v>24</v>
      </c>
      <c r="W84" s="31">
        <f>MAX(0,NfsExports[[#This Row],[Prospective throughput]]-(NfsExports[[#This Row],[Configured Quota (GB)]]*0.064))</f>
        <v>17.600000000000001</v>
      </c>
    </row>
    <row r="85" spans="1:23" x14ac:dyDescent="0.35">
      <c r="A85" s="138" t="s">
        <v>3199</v>
      </c>
      <c r="B85" s="138" t="s">
        <v>3216</v>
      </c>
      <c r="C85" s="67" t="s">
        <v>3473</v>
      </c>
      <c r="D85" s="66" t="s">
        <v>3474</v>
      </c>
      <c r="E85" s="31" t="str">
        <f>SUBSTITUTE(NfsExports[[#This Row],[FMO Volume Name]],"_","-")</f>
        <v>vmpfbpf2oag06-apps-pcehr</v>
      </c>
      <c r="F85" s="66" t="s">
        <v>3248</v>
      </c>
      <c r="G85" s="67">
        <v>40</v>
      </c>
      <c r="H85" s="31">
        <f>MAX(NfsExports[[#This Row],[Required Quota (GB)]],100)</f>
        <v>100</v>
      </c>
      <c r="I85">
        <v>24</v>
      </c>
      <c r="K85" s="66" t="s">
        <v>3249</v>
      </c>
      <c r="M8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10.98.72.57</v>
      </c>
      <c r="N85" t="str" cm="1">
        <f t="array" ref="N85">_xlfn.TEXTJOIN(",",TRUE,IF(NfsExports[[#This Row],[FMO Volume Name]]=NfsExportsVNets[FMO Volume Name],NfsExportsVNets[FMO Vnet Subnet],""))</f>
        <v/>
      </c>
      <c r="O85" t="str" cm="1">
        <f t="array" ref="O85">_xlfn.TEXTJOIN(",",TRUE,IF(NfsExports[[#This Row],[FMO Volume Name]]=NfsExportsSubnets[FMO Volume Name],NfsExportsSubnets[FMO Subnet CIDR],""))</f>
        <v/>
      </c>
      <c r="P85" t="str" cm="1">
        <f t="array" ref="P85">IFERROR(_xlfn.TEXTJOIN(",",TRUE,_xlfn._xlws.FILTER(NfsExportsServices[FMO VM Name Summary],NfsExports[[#This Row],[FMO Volume Name]]=NfsExportsServices[FMO Volume Name])),"")</f>
        <v/>
      </c>
      <c r="Q85" s="31" t="str">
        <f>_xlfn.TEXTJOIN(",",TRUE,NfsExports[[#This Row],[FMO Export Override]:[FMO Export Service IPs]])</f>
        <v>10.98.72.57</v>
      </c>
      <c r="R85" s="31" t="str">
        <f>NfsExports[[#This Row],[FMO Mount Path Estimated]]&amp;" "&amp;NfsExports[[#This Row],[Required Quota (GB)]]&amp;"GB"</f>
        <v>/apps/pcehr 40GB</v>
      </c>
      <c r="S85" s="31" t="s">
        <v>3349</v>
      </c>
      <c r="T85" s="31" t="s">
        <v>4723</v>
      </c>
      <c r="U85" s="32" t="s">
        <v>3475</v>
      </c>
      <c r="V85">
        <v>24</v>
      </c>
      <c r="W85" s="31">
        <f>MAX(0,NfsExports[[#This Row],[Prospective throughput]]-(NfsExports[[#This Row],[Configured Quota (GB)]]*0.064))</f>
        <v>17.600000000000001</v>
      </c>
    </row>
    <row r="86" spans="1:23" x14ac:dyDescent="0.35">
      <c r="A86" s="138" t="s">
        <v>3199</v>
      </c>
      <c r="B86" s="138" t="s">
        <v>3216</v>
      </c>
      <c r="C86" s="67" t="s">
        <v>3476</v>
      </c>
      <c r="D86" s="66" t="s">
        <v>3477</v>
      </c>
      <c r="E86" s="31" t="str">
        <f>SUBSTITUTE(NfsExports[[#This Row],[FMO Volume Name]],"_","-")</f>
        <v>vmpfbpf2oam01-apps-pcehr</v>
      </c>
      <c r="F86" s="66" t="s">
        <v>3248</v>
      </c>
      <c r="G86" s="67">
        <v>30</v>
      </c>
      <c r="H86" s="31">
        <f>MAX(NfsExports[[#This Row],[Required Quota (GB)]],100)</f>
        <v>100</v>
      </c>
      <c r="I86">
        <v>12</v>
      </c>
      <c r="K86" s="66" t="s">
        <v>3249</v>
      </c>
      <c r="M8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10.98.73.97</v>
      </c>
      <c r="N86" t="str" cm="1">
        <f t="array" ref="N86">_xlfn.TEXTJOIN(",",TRUE,IF(NfsExports[[#This Row],[FMO Volume Name]]=NfsExportsVNets[FMO Volume Name],NfsExportsVNets[FMO Vnet Subnet],""))</f>
        <v/>
      </c>
      <c r="O86" t="str" cm="1">
        <f t="array" ref="O86">_xlfn.TEXTJOIN(",",TRUE,IF(NfsExports[[#This Row],[FMO Volume Name]]=NfsExportsSubnets[FMO Volume Name],NfsExportsSubnets[FMO Subnet CIDR],""))</f>
        <v/>
      </c>
      <c r="P86" t="str" cm="1">
        <f t="array" ref="P86">IFERROR(_xlfn.TEXTJOIN(",",TRUE,_xlfn._xlws.FILTER(NfsExportsServices[FMO VM Name Summary],NfsExports[[#This Row],[FMO Volume Name]]=NfsExportsServices[FMO Volume Name])),"")</f>
        <v/>
      </c>
      <c r="Q86" s="31" t="str">
        <f>_xlfn.TEXTJOIN(",",TRUE,NfsExports[[#This Row],[FMO Export Override]:[FMO Export Service IPs]])</f>
        <v>10.98.73.97</v>
      </c>
      <c r="R86" s="31" t="str">
        <f>NfsExports[[#This Row],[FMO Mount Path Estimated]]&amp;" "&amp;NfsExports[[#This Row],[Required Quota (GB)]]&amp;"GB"</f>
        <v>/apps/pcehr 30GB</v>
      </c>
      <c r="S86" s="31" t="s">
        <v>3281</v>
      </c>
      <c r="T86" s="31" t="s">
        <v>4723</v>
      </c>
      <c r="U86" s="32" t="s">
        <v>3478</v>
      </c>
      <c r="V86">
        <v>12</v>
      </c>
      <c r="W86" s="31">
        <f>MAX(0,NfsExports[[#This Row],[Prospective throughput]]-(NfsExports[[#This Row],[Configured Quota (GB)]]*0.064))</f>
        <v>5.6</v>
      </c>
    </row>
    <row r="87" spans="1:23" x14ac:dyDescent="0.35">
      <c r="A87" s="138" t="s">
        <v>3199</v>
      </c>
      <c r="B87" s="138" t="s">
        <v>3216</v>
      </c>
      <c r="C87" s="67" t="s">
        <v>3479</v>
      </c>
      <c r="D87" s="66" t="s">
        <v>3480</v>
      </c>
      <c r="E87" s="31" t="str">
        <f>SUBSTITUTE(NfsExports[[#This Row],[FMO Volume Name]],"_","-")</f>
        <v>vmpfbpf2oam02-apps-pcehr</v>
      </c>
      <c r="F87" s="66" t="s">
        <v>3248</v>
      </c>
      <c r="G87" s="67">
        <v>30</v>
      </c>
      <c r="H87" s="31">
        <f>MAX(NfsExports[[#This Row],[Required Quota (GB)]],100)</f>
        <v>100</v>
      </c>
      <c r="I87">
        <v>12.8</v>
      </c>
      <c r="K87" s="66" t="s">
        <v>3249</v>
      </c>
      <c r="M8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10.98.73.98</v>
      </c>
      <c r="N87" t="str" cm="1">
        <f t="array" ref="N87">_xlfn.TEXTJOIN(",",TRUE,IF(NfsExports[[#This Row],[FMO Volume Name]]=NfsExportsVNets[FMO Volume Name],NfsExportsVNets[FMO Vnet Subnet],""))</f>
        <v/>
      </c>
      <c r="O87" t="str" cm="1">
        <f t="array" ref="O87">_xlfn.TEXTJOIN(",",TRUE,IF(NfsExports[[#This Row],[FMO Volume Name]]=NfsExportsSubnets[FMO Volume Name],NfsExportsSubnets[FMO Subnet CIDR],""))</f>
        <v/>
      </c>
      <c r="P87" t="str" cm="1">
        <f t="array" ref="P87">IFERROR(_xlfn.TEXTJOIN(",",TRUE,_xlfn._xlws.FILTER(NfsExportsServices[FMO VM Name Summary],NfsExports[[#This Row],[FMO Volume Name]]=NfsExportsServices[FMO Volume Name])),"")</f>
        <v/>
      </c>
      <c r="Q87" s="31" t="str">
        <f>_xlfn.TEXTJOIN(",",TRUE,NfsExports[[#This Row],[FMO Export Override]:[FMO Export Service IPs]])</f>
        <v>10.98.73.98</v>
      </c>
      <c r="R87" s="31" t="str">
        <f>NfsExports[[#This Row],[FMO Mount Path Estimated]]&amp;" "&amp;NfsExports[[#This Row],[Required Quota (GB)]]&amp;"GB"</f>
        <v>/apps/pcehr 30GB</v>
      </c>
      <c r="S87" s="31" t="s">
        <v>3250</v>
      </c>
      <c r="T87" s="31" t="s">
        <v>4723</v>
      </c>
      <c r="U87" s="32" t="s">
        <v>3481</v>
      </c>
      <c r="V87">
        <v>12.8</v>
      </c>
      <c r="W87" s="31">
        <f>MAX(0,NfsExports[[#This Row],[Prospective throughput]]-(NfsExports[[#This Row],[Configured Quota (GB)]]*0.064))</f>
        <v>6.4</v>
      </c>
    </row>
    <row r="88" spans="1:23" x14ac:dyDescent="0.35">
      <c r="A88" s="138" t="s">
        <v>3199</v>
      </c>
      <c r="B88" s="138" t="s">
        <v>3216</v>
      </c>
      <c r="C88" s="67" t="s">
        <v>3482</v>
      </c>
      <c r="D88" s="66" t="s">
        <v>3483</v>
      </c>
      <c r="E88" s="31" t="str">
        <f>SUBSTITUTE(NfsExports[[#This Row],[FMO Volume Name]],"_","-")</f>
        <v>vmpfbpf2oam03-apps-pcehr</v>
      </c>
      <c r="F88" s="66" t="s">
        <v>3248</v>
      </c>
      <c r="G88" s="67">
        <v>30</v>
      </c>
      <c r="H88" s="31">
        <f>MAX(NfsExports[[#This Row],[Required Quota (GB)]],100)</f>
        <v>100</v>
      </c>
      <c r="I88">
        <v>12.8</v>
      </c>
      <c r="K88" s="66" t="s">
        <v>3249</v>
      </c>
      <c r="M8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10.98.73.99</v>
      </c>
      <c r="N88" t="str" cm="1">
        <f t="array" ref="N88">_xlfn.TEXTJOIN(",",TRUE,IF(NfsExports[[#This Row],[FMO Volume Name]]=NfsExportsVNets[FMO Volume Name],NfsExportsVNets[FMO Vnet Subnet],""))</f>
        <v/>
      </c>
      <c r="O88" t="str" cm="1">
        <f t="array" ref="O88">_xlfn.TEXTJOIN(",",TRUE,IF(NfsExports[[#This Row],[FMO Volume Name]]=NfsExportsSubnets[FMO Volume Name],NfsExportsSubnets[FMO Subnet CIDR],""))</f>
        <v/>
      </c>
      <c r="P88" t="str" cm="1">
        <f t="array" ref="P88">IFERROR(_xlfn.TEXTJOIN(",",TRUE,_xlfn._xlws.FILTER(NfsExportsServices[FMO VM Name Summary],NfsExports[[#This Row],[FMO Volume Name]]=NfsExportsServices[FMO Volume Name])),"")</f>
        <v/>
      </c>
      <c r="Q88" s="31" t="str">
        <f>_xlfn.TEXTJOIN(",",TRUE,NfsExports[[#This Row],[FMO Export Override]:[FMO Export Service IPs]])</f>
        <v>10.98.73.99</v>
      </c>
      <c r="R88" s="31" t="str">
        <f>NfsExports[[#This Row],[FMO Mount Path Estimated]]&amp;" "&amp;NfsExports[[#This Row],[Required Quota (GB)]]&amp;"GB"</f>
        <v>/apps/pcehr 30GB</v>
      </c>
      <c r="S88" s="31" t="s">
        <v>3250</v>
      </c>
      <c r="T88" s="31" t="s">
        <v>4723</v>
      </c>
      <c r="U88" s="32" t="s">
        <v>3484</v>
      </c>
      <c r="V88">
        <v>12.8</v>
      </c>
      <c r="W88" s="31">
        <f>MAX(0,NfsExports[[#This Row],[Prospective throughput]]-(NfsExports[[#This Row],[Configured Quota (GB)]]*0.064))</f>
        <v>6.4</v>
      </c>
    </row>
    <row r="89" spans="1:23" x14ac:dyDescent="0.35">
      <c r="A89" s="138" t="s">
        <v>3199</v>
      </c>
      <c r="B89" s="138" t="s">
        <v>3216</v>
      </c>
      <c r="C89" s="67" t="s">
        <v>3485</v>
      </c>
      <c r="D89" s="66" t="s">
        <v>3486</v>
      </c>
      <c r="E89" s="31" t="str">
        <f>SUBSTITUTE(NfsExports[[#This Row],[FMO Volume Name]],"_","-")</f>
        <v>vmpfbpf2oam04-apps-pcehr</v>
      </c>
      <c r="F89" s="66" t="s">
        <v>3248</v>
      </c>
      <c r="G89" s="67">
        <v>30</v>
      </c>
      <c r="H89" s="31">
        <f>MAX(NfsExports[[#This Row],[Required Quota (GB)]],100)</f>
        <v>100</v>
      </c>
      <c r="I89">
        <v>12.8</v>
      </c>
      <c r="K89" s="66" t="s">
        <v>3249</v>
      </c>
      <c r="M8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10.98.73.100</v>
      </c>
      <c r="N89" t="str" cm="1">
        <f t="array" ref="N89">_xlfn.TEXTJOIN(",",TRUE,IF(NfsExports[[#This Row],[FMO Volume Name]]=NfsExportsVNets[FMO Volume Name],NfsExportsVNets[FMO Vnet Subnet],""))</f>
        <v/>
      </c>
      <c r="O89" t="str" cm="1">
        <f t="array" ref="O89">_xlfn.TEXTJOIN(",",TRUE,IF(NfsExports[[#This Row],[FMO Volume Name]]=NfsExportsSubnets[FMO Volume Name],NfsExportsSubnets[FMO Subnet CIDR],""))</f>
        <v/>
      </c>
      <c r="P89" t="str" cm="1">
        <f t="array" ref="P89">IFERROR(_xlfn.TEXTJOIN(",",TRUE,_xlfn._xlws.FILTER(NfsExportsServices[FMO VM Name Summary],NfsExports[[#This Row],[FMO Volume Name]]=NfsExportsServices[FMO Volume Name])),"")</f>
        <v/>
      </c>
      <c r="Q89" s="31" t="str">
        <f>_xlfn.TEXTJOIN(",",TRUE,NfsExports[[#This Row],[FMO Export Override]:[FMO Export Service IPs]])</f>
        <v>10.98.73.100</v>
      </c>
      <c r="R89" s="31" t="str">
        <f>NfsExports[[#This Row],[FMO Mount Path Estimated]]&amp;" "&amp;NfsExports[[#This Row],[Required Quota (GB)]]&amp;"GB"</f>
        <v>/apps/pcehr 30GB</v>
      </c>
      <c r="S89" s="31" t="s">
        <v>3250</v>
      </c>
      <c r="T89" s="31" t="s">
        <v>4723</v>
      </c>
      <c r="U89" s="32" t="s">
        <v>3487</v>
      </c>
      <c r="V89">
        <v>12.8</v>
      </c>
      <c r="W89" s="31">
        <f>MAX(0,NfsExports[[#This Row],[Prospective throughput]]-(NfsExports[[#This Row],[Configured Quota (GB)]]*0.064))</f>
        <v>6.4</v>
      </c>
    </row>
    <row r="90" spans="1:23" x14ac:dyDescent="0.35">
      <c r="A90" s="138" t="s">
        <v>3199</v>
      </c>
      <c r="B90" s="138" t="s">
        <v>3216</v>
      </c>
      <c r="C90" s="67" t="s">
        <v>3488</v>
      </c>
      <c r="D90" s="66" t="s">
        <v>3489</v>
      </c>
      <c r="E90" s="31" t="str">
        <f>SUBSTITUTE(NfsExports[[#This Row],[FMO Volume Name]],"_","-")</f>
        <v>vmpfbpf2oam05-apps-pcehr</v>
      </c>
      <c r="F90" s="66" t="s">
        <v>3248</v>
      </c>
      <c r="G90" s="67">
        <v>30</v>
      </c>
      <c r="H90" s="31">
        <f>MAX(NfsExports[[#This Row],[Required Quota (GB)]],100)</f>
        <v>100</v>
      </c>
      <c r="I90">
        <v>12.8</v>
      </c>
      <c r="K90" s="66" t="s">
        <v>3249</v>
      </c>
      <c r="M9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10.98.73.101</v>
      </c>
      <c r="N90" t="str" cm="1">
        <f t="array" ref="N90">_xlfn.TEXTJOIN(",",TRUE,IF(NfsExports[[#This Row],[FMO Volume Name]]=NfsExportsVNets[FMO Volume Name],NfsExportsVNets[FMO Vnet Subnet],""))</f>
        <v/>
      </c>
      <c r="O90" t="str" cm="1">
        <f t="array" ref="O90">_xlfn.TEXTJOIN(",",TRUE,IF(NfsExports[[#This Row],[FMO Volume Name]]=NfsExportsSubnets[FMO Volume Name],NfsExportsSubnets[FMO Subnet CIDR],""))</f>
        <v/>
      </c>
      <c r="P90" t="str" cm="1">
        <f t="array" ref="P90">IFERROR(_xlfn.TEXTJOIN(",",TRUE,_xlfn._xlws.FILTER(NfsExportsServices[FMO VM Name Summary],NfsExports[[#This Row],[FMO Volume Name]]=NfsExportsServices[FMO Volume Name])),"")</f>
        <v/>
      </c>
      <c r="Q90" s="31" t="str">
        <f>_xlfn.TEXTJOIN(",",TRUE,NfsExports[[#This Row],[FMO Export Override]:[FMO Export Service IPs]])</f>
        <v>10.98.73.101</v>
      </c>
      <c r="R90" s="31" t="str">
        <f>NfsExports[[#This Row],[FMO Mount Path Estimated]]&amp;" "&amp;NfsExports[[#This Row],[Required Quota (GB)]]&amp;"GB"</f>
        <v>/apps/pcehr 30GB</v>
      </c>
      <c r="S90" s="31" t="s">
        <v>3250</v>
      </c>
      <c r="T90" s="31" t="s">
        <v>4723</v>
      </c>
      <c r="U90" s="32" t="s">
        <v>3490</v>
      </c>
      <c r="V90">
        <v>12.8</v>
      </c>
      <c r="W90" s="31">
        <f>MAX(0,NfsExports[[#This Row],[Prospective throughput]]-(NfsExports[[#This Row],[Configured Quota (GB)]]*0.064))</f>
        <v>6.4</v>
      </c>
    </row>
    <row r="91" spans="1:23" x14ac:dyDescent="0.35">
      <c r="A91" s="138" t="s">
        <v>3199</v>
      </c>
      <c r="B91" s="138" t="s">
        <v>3216</v>
      </c>
      <c r="C91" s="67" t="s">
        <v>3491</v>
      </c>
      <c r="D91" s="66" t="s">
        <v>3492</v>
      </c>
      <c r="E91" s="31" t="str">
        <f>SUBSTITUTE(NfsExports[[#This Row],[FMO Volume Name]],"_","-")</f>
        <v>vmpfbpf2oam06-apps-pcehr</v>
      </c>
      <c r="F91" s="66" t="s">
        <v>3248</v>
      </c>
      <c r="G91" s="67">
        <v>30</v>
      </c>
      <c r="H91" s="31">
        <f>MAX(NfsExports[[#This Row],[Required Quota (GB)]],100)</f>
        <v>100</v>
      </c>
      <c r="I91">
        <v>12.8</v>
      </c>
      <c r="K91" s="66" t="s">
        <v>3249</v>
      </c>
      <c r="M9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10.98.73.102</v>
      </c>
      <c r="N91" t="str" cm="1">
        <f t="array" ref="N91">_xlfn.TEXTJOIN(",",TRUE,IF(NfsExports[[#This Row],[FMO Volume Name]]=NfsExportsVNets[FMO Volume Name],NfsExportsVNets[FMO Vnet Subnet],""))</f>
        <v/>
      </c>
      <c r="O91" t="str" cm="1">
        <f t="array" ref="O91">_xlfn.TEXTJOIN(",",TRUE,IF(NfsExports[[#This Row],[FMO Volume Name]]=NfsExportsSubnets[FMO Volume Name],NfsExportsSubnets[FMO Subnet CIDR],""))</f>
        <v/>
      </c>
      <c r="P91" t="str" cm="1">
        <f t="array" ref="P91">IFERROR(_xlfn.TEXTJOIN(",",TRUE,_xlfn._xlws.FILTER(NfsExportsServices[FMO VM Name Summary],NfsExports[[#This Row],[FMO Volume Name]]=NfsExportsServices[FMO Volume Name])),"")</f>
        <v/>
      </c>
      <c r="Q91" s="31" t="str">
        <f>_xlfn.TEXTJOIN(",",TRUE,NfsExports[[#This Row],[FMO Export Override]:[FMO Export Service IPs]])</f>
        <v>10.98.73.102</v>
      </c>
      <c r="R91" s="31" t="str">
        <f>NfsExports[[#This Row],[FMO Mount Path Estimated]]&amp;" "&amp;NfsExports[[#This Row],[Required Quota (GB)]]&amp;"GB"</f>
        <v>/apps/pcehr 30GB</v>
      </c>
      <c r="S91" s="31" t="s">
        <v>3250</v>
      </c>
      <c r="T91" s="31" t="s">
        <v>4723</v>
      </c>
      <c r="U91" s="32" t="s">
        <v>3493</v>
      </c>
      <c r="V91">
        <v>12.8</v>
      </c>
      <c r="W91" s="31">
        <f>MAX(0,NfsExports[[#This Row],[Prospective throughput]]-(NfsExports[[#This Row],[Configured Quota (GB)]]*0.064))</f>
        <v>6.4</v>
      </c>
    </row>
    <row r="92" spans="1:23" x14ac:dyDescent="0.35">
      <c r="A92" s="138" t="s">
        <v>3199</v>
      </c>
      <c r="B92" s="138" t="s">
        <v>3216</v>
      </c>
      <c r="C92" s="67" t="s">
        <v>3494</v>
      </c>
      <c r="D92" s="66" t="s">
        <v>3495</v>
      </c>
      <c r="E92" s="31" t="str">
        <f>SUBSTITUTE(NfsExports[[#This Row],[FMO Volume Name]],"_","-")</f>
        <v>vmpfbpf2ocr01-apps-pcehr</v>
      </c>
      <c r="F92" s="66" t="s">
        <v>3248</v>
      </c>
      <c r="G92" s="67">
        <v>40</v>
      </c>
      <c r="H92" s="31">
        <f>MAX(NfsExports[[#This Row],[Required Quota (GB)]],100)</f>
        <v>100</v>
      </c>
      <c r="I92">
        <v>24</v>
      </c>
      <c r="K92" s="66" t="s">
        <v>3249</v>
      </c>
      <c r="M9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10.98.72.58</v>
      </c>
      <c r="N92" t="str" cm="1">
        <f t="array" ref="N92">_xlfn.TEXTJOIN(",",TRUE,IF(NfsExports[[#This Row],[FMO Volume Name]]=NfsExportsVNets[FMO Volume Name],NfsExportsVNets[FMO Vnet Subnet],""))</f>
        <v/>
      </c>
      <c r="O92" t="str" cm="1">
        <f t="array" ref="O92">_xlfn.TEXTJOIN(",",TRUE,IF(NfsExports[[#This Row],[FMO Volume Name]]=NfsExportsSubnets[FMO Volume Name],NfsExportsSubnets[FMO Subnet CIDR],""))</f>
        <v/>
      </c>
      <c r="P92" t="str" cm="1">
        <f t="array" ref="P92">IFERROR(_xlfn.TEXTJOIN(",",TRUE,_xlfn._xlws.FILTER(NfsExportsServices[FMO VM Name Summary],NfsExports[[#This Row],[FMO Volume Name]]=NfsExportsServices[FMO Volume Name])),"")</f>
        <v/>
      </c>
      <c r="Q92" s="31" t="str">
        <f>_xlfn.TEXTJOIN(",",TRUE,NfsExports[[#This Row],[FMO Export Override]:[FMO Export Service IPs]])</f>
        <v>10.98.72.58</v>
      </c>
      <c r="R92" s="31" t="str">
        <f>NfsExports[[#This Row],[FMO Mount Path Estimated]]&amp;" "&amp;NfsExports[[#This Row],[Required Quota (GB)]]&amp;"GB"</f>
        <v>/apps/pcehr 40GB</v>
      </c>
      <c r="S92" s="31" t="s">
        <v>3349</v>
      </c>
      <c r="T92" s="31" t="s">
        <v>4723</v>
      </c>
      <c r="U92" s="32" t="s">
        <v>3496</v>
      </c>
      <c r="V92">
        <v>24</v>
      </c>
      <c r="W92" s="31">
        <f>MAX(0,NfsExports[[#This Row],[Prospective throughput]]-(NfsExports[[#This Row],[Configured Quota (GB)]]*0.064))</f>
        <v>17.600000000000001</v>
      </c>
    </row>
    <row r="93" spans="1:23" x14ac:dyDescent="0.35">
      <c r="A93" s="138" t="s">
        <v>3199</v>
      </c>
      <c r="B93" s="138" t="s">
        <v>3216</v>
      </c>
      <c r="C93" s="67" t="s">
        <v>3497</v>
      </c>
      <c r="D93" s="66" t="s">
        <v>3498</v>
      </c>
      <c r="E93" s="31" t="str">
        <f>SUBSTITUTE(NfsExports[[#This Row],[FMO Volume Name]],"_","-")</f>
        <v>vmpfbpf2ocr02-apps-pcehr</v>
      </c>
      <c r="F93" s="66" t="s">
        <v>3248</v>
      </c>
      <c r="G93" s="67">
        <v>40</v>
      </c>
      <c r="H93" s="31">
        <f>MAX(NfsExports[[#This Row],[Required Quota (GB)]],100)</f>
        <v>100</v>
      </c>
      <c r="I93">
        <v>24</v>
      </c>
      <c r="K93" s="66" t="s">
        <v>3249</v>
      </c>
      <c r="M9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10.98.72.59</v>
      </c>
      <c r="N93" t="str" cm="1">
        <f t="array" ref="N93">_xlfn.TEXTJOIN(",",TRUE,IF(NfsExports[[#This Row],[FMO Volume Name]]=NfsExportsVNets[FMO Volume Name],NfsExportsVNets[FMO Vnet Subnet],""))</f>
        <v/>
      </c>
      <c r="O93" t="str" cm="1">
        <f t="array" ref="O93">_xlfn.TEXTJOIN(",",TRUE,IF(NfsExports[[#This Row],[FMO Volume Name]]=NfsExportsSubnets[FMO Volume Name],NfsExportsSubnets[FMO Subnet CIDR],""))</f>
        <v/>
      </c>
      <c r="P93" t="str" cm="1">
        <f t="array" ref="P93">IFERROR(_xlfn.TEXTJOIN(",",TRUE,_xlfn._xlws.FILTER(NfsExportsServices[FMO VM Name Summary],NfsExports[[#This Row],[FMO Volume Name]]=NfsExportsServices[FMO Volume Name])),"")</f>
        <v/>
      </c>
      <c r="Q93" s="31" t="str">
        <f>_xlfn.TEXTJOIN(",",TRUE,NfsExports[[#This Row],[FMO Export Override]:[FMO Export Service IPs]])</f>
        <v>10.98.72.59</v>
      </c>
      <c r="R93" s="31" t="str">
        <f>NfsExports[[#This Row],[FMO Mount Path Estimated]]&amp;" "&amp;NfsExports[[#This Row],[Required Quota (GB)]]&amp;"GB"</f>
        <v>/apps/pcehr 40GB</v>
      </c>
      <c r="S93" s="31" t="s">
        <v>3349</v>
      </c>
      <c r="T93" s="31" t="s">
        <v>4723</v>
      </c>
      <c r="U93" s="32" t="s">
        <v>3499</v>
      </c>
      <c r="V93">
        <v>24</v>
      </c>
      <c r="W93" s="31">
        <f>MAX(0,NfsExports[[#This Row],[Prospective throughput]]-(NfsExports[[#This Row],[Configured Quota (GB)]]*0.064))</f>
        <v>17.600000000000001</v>
      </c>
    </row>
    <row r="94" spans="1:23" x14ac:dyDescent="0.35">
      <c r="A94" s="138" t="s">
        <v>3199</v>
      </c>
      <c r="B94" s="138" t="s">
        <v>3216</v>
      </c>
      <c r="C94" s="67" t="s">
        <v>3500</v>
      </c>
      <c r="D94" s="66" t="s">
        <v>3501</v>
      </c>
      <c r="E94" s="31" t="str">
        <f>SUBSTITUTE(NfsExports[[#This Row],[FMO Volume Name]],"_","-")</f>
        <v>vmpfbpf2ocr03-apps-pcehr</v>
      </c>
      <c r="F94" s="66" t="s">
        <v>3248</v>
      </c>
      <c r="G94" s="67">
        <v>40</v>
      </c>
      <c r="H94" s="31">
        <f>MAX(NfsExports[[#This Row],[Required Quota (GB)]],100)</f>
        <v>100</v>
      </c>
      <c r="I94">
        <v>12.8</v>
      </c>
      <c r="K94" s="66" t="s">
        <v>3249</v>
      </c>
      <c r="M9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10.98.72.60</v>
      </c>
      <c r="N94" t="str" cm="1">
        <f t="array" ref="N94">_xlfn.TEXTJOIN(",",TRUE,IF(NfsExports[[#This Row],[FMO Volume Name]]=NfsExportsVNets[FMO Volume Name],NfsExportsVNets[FMO Vnet Subnet],""))</f>
        <v/>
      </c>
      <c r="O94" t="str" cm="1">
        <f t="array" ref="O94">_xlfn.TEXTJOIN(",",TRUE,IF(NfsExports[[#This Row],[FMO Volume Name]]=NfsExportsSubnets[FMO Volume Name],NfsExportsSubnets[FMO Subnet CIDR],""))</f>
        <v/>
      </c>
      <c r="P94" t="str" cm="1">
        <f t="array" ref="P94">IFERROR(_xlfn.TEXTJOIN(",",TRUE,_xlfn._xlws.FILTER(NfsExportsServices[FMO VM Name Summary],NfsExports[[#This Row],[FMO Volume Name]]=NfsExportsServices[FMO Volume Name])),"")</f>
        <v/>
      </c>
      <c r="Q94" s="31" t="str">
        <f>_xlfn.TEXTJOIN(",",TRUE,NfsExports[[#This Row],[FMO Export Override]:[FMO Export Service IPs]])</f>
        <v>10.98.72.60</v>
      </c>
      <c r="R94" s="31" t="str">
        <f>NfsExports[[#This Row],[FMO Mount Path Estimated]]&amp;" "&amp;NfsExports[[#This Row],[Required Quota (GB)]]&amp;"GB"</f>
        <v>/apps/pcehr 40GB</v>
      </c>
      <c r="S94" s="31" t="s">
        <v>3250</v>
      </c>
      <c r="T94" s="31" t="s">
        <v>4723</v>
      </c>
      <c r="U94" s="32" t="s">
        <v>3502</v>
      </c>
      <c r="V94">
        <v>12.8</v>
      </c>
      <c r="W94" s="31">
        <f>MAX(0,NfsExports[[#This Row],[Prospective throughput]]-(NfsExports[[#This Row],[Configured Quota (GB)]]*0.064))</f>
        <v>6.4</v>
      </c>
    </row>
    <row r="95" spans="1:23" x14ac:dyDescent="0.35">
      <c r="A95" s="138" t="s">
        <v>3199</v>
      </c>
      <c r="B95" s="138" t="s">
        <v>3216</v>
      </c>
      <c r="C95" s="67" t="s">
        <v>3503</v>
      </c>
      <c r="D95" s="66" t="s">
        <v>3504</v>
      </c>
      <c r="E95" s="31" t="str">
        <f>SUBSTITUTE(NfsExports[[#This Row],[FMO Volume Name]],"_","-")</f>
        <v>vmpfbpf2ocr04-apps-pcehr</v>
      </c>
      <c r="F95" s="66" t="s">
        <v>3248</v>
      </c>
      <c r="G95" s="67">
        <v>40</v>
      </c>
      <c r="H95" s="31">
        <f>MAX(NfsExports[[#This Row],[Required Quota (GB)]],100)</f>
        <v>100</v>
      </c>
      <c r="I95">
        <v>12.8</v>
      </c>
      <c r="K95" s="66" t="s">
        <v>3249</v>
      </c>
      <c r="M9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10.98.72.61</v>
      </c>
      <c r="N95" t="str" cm="1">
        <f t="array" ref="N95">_xlfn.TEXTJOIN(",",TRUE,IF(NfsExports[[#This Row],[FMO Volume Name]]=NfsExportsVNets[FMO Volume Name],NfsExportsVNets[FMO Vnet Subnet],""))</f>
        <v/>
      </c>
      <c r="O95" t="str" cm="1">
        <f t="array" ref="O95">_xlfn.TEXTJOIN(",",TRUE,IF(NfsExports[[#This Row],[FMO Volume Name]]=NfsExportsSubnets[FMO Volume Name],NfsExportsSubnets[FMO Subnet CIDR],""))</f>
        <v/>
      </c>
      <c r="P95" t="str" cm="1">
        <f t="array" ref="P95">IFERROR(_xlfn.TEXTJOIN(",",TRUE,_xlfn._xlws.FILTER(NfsExportsServices[FMO VM Name Summary],NfsExports[[#This Row],[FMO Volume Name]]=NfsExportsServices[FMO Volume Name])),"")</f>
        <v/>
      </c>
      <c r="Q95" s="31" t="str">
        <f>_xlfn.TEXTJOIN(",",TRUE,NfsExports[[#This Row],[FMO Export Override]:[FMO Export Service IPs]])</f>
        <v>10.98.72.61</v>
      </c>
      <c r="R95" s="31" t="str">
        <f>NfsExports[[#This Row],[FMO Mount Path Estimated]]&amp;" "&amp;NfsExports[[#This Row],[Required Quota (GB)]]&amp;"GB"</f>
        <v>/apps/pcehr 40GB</v>
      </c>
      <c r="S95" s="31" t="s">
        <v>3250</v>
      </c>
      <c r="T95" s="31" t="s">
        <v>4723</v>
      </c>
      <c r="U95" s="32" t="s">
        <v>3505</v>
      </c>
      <c r="V95">
        <v>12.8</v>
      </c>
      <c r="W95" s="31">
        <f>MAX(0,NfsExports[[#This Row],[Prospective throughput]]-(NfsExports[[#This Row],[Configured Quota (GB)]]*0.064))</f>
        <v>6.4</v>
      </c>
    </row>
    <row r="96" spans="1:23" x14ac:dyDescent="0.35">
      <c r="A96" s="138" t="s">
        <v>3199</v>
      </c>
      <c r="B96" s="138" t="s">
        <v>3216</v>
      </c>
      <c r="C96" s="67" t="s">
        <v>3506</v>
      </c>
      <c r="D96" s="66" t="s">
        <v>3507</v>
      </c>
      <c r="E96" s="31" t="str">
        <f>SUBSTITUTE(NfsExports[[#This Row],[FMO Volume Name]],"_","-")</f>
        <v>vmpfbpf2ocr05-apps-pcehr</v>
      </c>
      <c r="F96" s="66" t="s">
        <v>3248</v>
      </c>
      <c r="G96" s="67">
        <v>40</v>
      </c>
      <c r="H96" s="31">
        <f>MAX(NfsExports[[#This Row],[Required Quota (GB)]],100)</f>
        <v>100</v>
      </c>
      <c r="I96">
        <v>12.8</v>
      </c>
      <c r="K96" s="66" t="s">
        <v>3249</v>
      </c>
      <c r="M9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10.98.72.62</v>
      </c>
      <c r="N96" t="str" cm="1">
        <f t="array" ref="N96">_xlfn.TEXTJOIN(",",TRUE,IF(NfsExports[[#This Row],[FMO Volume Name]]=NfsExportsVNets[FMO Volume Name],NfsExportsVNets[FMO Vnet Subnet],""))</f>
        <v/>
      </c>
      <c r="O96" t="str" cm="1">
        <f t="array" ref="O96">_xlfn.TEXTJOIN(",",TRUE,IF(NfsExports[[#This Row],[FMO Volume Name]]=NfsExportsSubnets[FMO Volume Name],NfsExportsSubnets[FMO Subnet CIDR],""))</f>
        <v/>
      </c>
      <c r="P96" t="str" cm="1">
        <f t="array" ref="P96">IFERROR(_xlfn.TEXTJOIN(",",TRUE,_xlfn._xlws.FILTER(NfsExportsServices[FMO VM Name Summary],NfsExports[[#This Row],[FMO Volume Name]]=NfsExportsServices[FMO Volume Name])),"")</f>
        <v/>
      </c>
      <c r="Q96" s="31" t="str">
        <f>_xlfn.TEXTJOIN(",",TRUE,NfsExports[[#This Row],[FMO Export Override]:[FMO Export Service IPs]])</f>
        <v>10.98.72.62</v>
      </c>
      <c r="R96" s="31" t="str">
        <f>NfsExports[[#This Row],[FMO Mount Path Estimated]]&amp;" "&amp;NfsExports[[#This Row],[Required Quota (GB)]]&amp;"GB"</f>
        <v>/apps/pcehr 40GB</v>
      </c>
      <c r="S96" s="31" t="s">
        <v>3250</v>
      </c>
      <c r="T96" s="31" t="s">
        <v>4723</v>
      </c>
      <c r="U96" s="32" t="s">
        <v>3508</v>
      </c>
      <c r="V96">
        <v>12.8</v>
      </c>
      <c r="W96" s="31">
        <f>MAX(0,NfsExports[[#This Row],[Prospective throughput]]-(NfsExports[[#This Row],[Configured Quota (GB)]]*0.064))</f>
        <v>6.4</v>
      </c>
    </row>
    <row r="97" spans="1:23" x14ac:dyDescent="0.35">
      <c r="A97" s="138" t="s">
        <v>3199</v>
      </c>
      <c r="B97" s="138" t="s">
        <v>3216</v>
      </c>
      <c r="C97" s="67" t="s">
        <v>3509</v>
      </c>
      <c r="D97" s="66" t="s">
        <v>3510</v>
      </c>
      <c r="E97" s="31" t="str">
        <f>SUBSTITUTE(NfsExports[[#This Row],[FMO Volume Name]],"_","-")</f>
        <v>vmpfbpf2ocr06-apps-pcehr</v>
      </c>
      <c r="F97" s="66" t="s">
        <v>3248</v>
      </c>
      <c r="G97" s="67">
        <v>40</v>
      </c>
      <c r="H97" s="31">
        <f>MAX(NfsExports[[#This Row],[Required Quota (GB)]],100)</f>
        <v>100</v>
      </c>
      <c r="I97">
        <v>12.8</v>
      </c>
      <c r="K97" s="66" t="s">
        <v>3249</v>
      </c>
      <c r="M9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10.98.72.63</v>
      </c>
      <c r="N97" t="str" cm="1">
        <f t="array" ref="N97">_xlfn.TEXTJOIN(",",TRUE,IF(NfsExports[[#This Row],[FMO Volume Name]]=NfsExportsVNets[FMO Volume Name],NfsExportsVNets[FMO Vnet Subnet],""))</f>
        <v/>
      </c>
      <c r="O97" t="str" cm="1">
        <f t="array" ref="O97">_xlfn.TEXTJOIN(",",TRUE,IF(NfsExports[[#This Row],[FMO Volume Name]]=NfsExportsSubnets[FMO Volume Name],NfsExportsSubnets[FMO Subnet CIDR],""))</f>
        <v/>
      </c>
      <c r="P97" t="str" cm="1">
        <f t="array" ref="P97">IFERROR(_xlfn.TEXTJOIN(",",TRUE,_xlfn._xlws.FILTER(NfsExportsServices[FMO VM Name Summary],NfsExports[[#This Row],[FMO Volume Name]]=NfsExportsServices[FMO Volume Name])),"")</f>
        <v/>
      </c>
      <c r="Q97" s="31" t="str">
        <f>_xlfn.TEXTJOIN(",",TRUE,NfsExports[[#This Row],[FMO Export Override]:[FMO Export Service IPs]])</f>
        <v>10.98.72.63</v>
      </c>
      <c r="R97" s="31" t="str">
        <f>NfsExports[[#This Row],[FMO Mount Path Estimated]]&amp;" "&amp;NfsExports[[#This Row],[Required Quota (GB)]]&amp;"GB"</f>
        <v>/apps/pcehr 40GB</v>
      </c>
      <c r="S97" s="31" t="s">
        <v>3250</v>
      </c>
      <c r="T97" s="31" t="s">
        <v>4723</v>
      </c>
      <c r="U97" s="32" t="s">
        <v>3511</v>
      </c>
      <c r="V97">
        <v>12.8</v>
      </c>
      <c r="W97" s="31">
        <f>MAX(0,NfsExports[[#This Row],[Prospective throughput]]-(NfsExports[[#This Row],[Configured Quota (GB)]]*0.064))</f>
        <v>6.4</v>
      </c>
    </row>
    <row r="98" spans="1:23" x14ac:dyDescent="0.35">
      <c r="A98" s="138" t="s">
        <v>3199</v>
      </c>
      <c r="B98" s="138" t="s">
        <v>3216</v>
      </c>
      <c r="C98" s="67" t="s">
        <v>3512</v>
      </c>
      <c r="D98" s="66" t="s">
        <v>3513</v>
      </c>
      <c r="E98" s="31" t="str">
        <f>SUBSTITUTE(NfsExports[[#This Row],[FMO Volume Name]],"_","-")</f>
        <v>vmpfbpf2oes01-apps-pcehr</v>
      </c>
      <c r="F98" s="66" t="s">
        <v>3248</v>
      </c>
      <c r="G98" s="67">
        <v>30</v>
      </c>
      <c r="H98" s="31">
        <f>MAX(NfsExports[[#This Row],[Required Quota (GB)]],100)</f>
        <v>100</v>
      </c>
      <c r="I98">
        <v>12.8</v>
      </c>
      <c r="K98" s="66" t="s">
        <v>3249</v>
      </c>
      <c r="M9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10.98.73.105</v>
      </c>
      <c r="N98" t="str" cm="1">
        <f t="array" ref="N98">_xlfn.TEXTJOIN(",",TRUE,IF(NfsExports[[#This Row],[FMO Volume Name]]=NfsExportsVNets[FMO Volume Name],NfsExportsVNets[FMO Vnet Subnet],""))</f>
        <v/>
      </c>
      <c r="O98" t="str" cm="1">
        <f t="array" ref="O98">_xlfn.TEXTJOIN(",",TRUE,IF(NfsExports[[#This Row],[FMO Volume Name]]=NfsExportsSubnets[FMO Volume Name],NfsExportsSubnets[FMO Subnet CIDR],""))</f>
        <v/>
      </c>
      <c r="P98" t="str" cm="1">
        <f t="array" ref="P98">IFERROR(_xlfn.TEXTJOIN(",",TRUE,_xlfn._xlws.FILTER(NfsExportsServices[FMO VM Name Summary],NfsExports[[#This Row],[FMO Volume Name]]=NfsExportsServices[FMO Volume Name])),"")</f>
        <v/>
      </c>
      <c r="Q98" s="31" t="str">
        <f>_xlfn.TEXTJOIN(",",TRUE,NfsExports[[#This Row],[FMO Export Override]:[FMO Export Service IPs]])</f>
        <v>10.98.73.105</v>
      </c>
      <c r="R98" s="31" t="str">
        <f>NfsExports[[#This Row],[FMO Mount Path Estimated]]&amp;" "&amp;NfsExports[[#This Row],[Required Quota (GB)]]&amp;"GB"</f>
        <v>/apps/pcehr 30GB</v>
      </c>
      <c r="S98" s="31" t="s">
        <v>3514</v>
      </c>
      <c r="T98" s="31" t="s">
        <v>4723</v>
      </c>
      <c r="U98" s="32" t="s">
        <v>3515</v>
      </c>
      <c r="V98">
        <v>12.8</v>
      </c>
      <c r="W98" s="31">
        <f>MAX(0,NfsExports[[#This Row],[Prospective throughput]]-(NfsExports[[#This Row],[Configured Quota (GB)]]*0.064))</f>
        <v>6.4</v>
      </c>
    </row>
    <row r="99" spans="1:23" x14ac:dyDescent="0.35">
      <c r="A99" s="138" t="s">
        <v>3199</v>
      </c>
      <c r="B99" s="138" t="s">
        <v>3216</v>
      </c>
      <c r="C99" s="67" t="s">
        <v>3516</v>
      </c>
      <c r="D99" s="65" t="s">
        <v>3517</v>
      </c>
      <c r="E99" s="31" t="str">
        <f>SUBSTITUTE(NfsExports[[#This Row],[FMO Volume Name]],"_","-")</f>
        <v>vmpfbpf2oes02-apps-pcehr</v>
      </c>
      <c r="F99" s="66" t="s">
        <v>3248</v>
      </c>
      <c r="G99" s="67">
        <v>30</v>
      </c>
      <c r="H99" s="31">
        <f>MAX(NfsExports[[#This Row],[Required Quota (GB)]],100)</f>
        <v>100</v>
      </c>
      <c r="I99">
        <v>12.8</v>
      </c>
      <c r="K99" s="66" t="s">
        <v>3249</v>
      </c>
      <c r="M9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10.98.73.106</v>
      </c>
      <c r="N99" t="str" cm="1">
        <f t="array" ref="N99">_xlfn.TEXTJOIN(",",TRUE,IF(NfsExports[[#This Row],[FMO Volume Name]]=NfsExportsVNets[FMO Volume Name],NfsExportsVNets[FMO Vnet Subnet],""))</f>
        <v/>
      </c>
      <c r="O99" t="str" cm="1">
        <f t="array" ref="O99">_xlfn.TEXTJOIN(",",TRUE,IF(NfsExports[[#This Row],[FMO Volume Name]]=NfsExportsSubnets[FMO Volume Name],NfsExportsSubnets[FMO Subnet CIDR],""))</f>
        <v/>
      </c>
      <c r="P99" t="str" cm="1">
        <f t="array" ref="P99">IFERROR(_xlfn.TEXTJOIN(",",TRUE,_xlfn._xlws.FILTER(NfsExportsServices[FMO VM Name Summary],NfsExports[[#This Row],[FMO Volume Name]]=NfsExportsServices[FMO Volume Name])),"")</f>
        <v/>
      </c>
      <c r="Q99" s="31" t="str">
        <f>_xlfn.TEXTJOIN(",",TRUE,NfsExports[[#This Row],[FMO Export Override]:[FMO Export Service IPs]])</f>
        <v>10.98.73.106</v>
      </c>
      <c r="R99" s="31" t="str">
        <f>NfsExports[[#This Row],[FMO Mount Path Estimated]]&amp;" "&amp;NfsExports[[#This Row],[Required Quota (GB)]]&amp;"GB"</f>
        <v>/apps/pcehr 30GB</v>
      </c>
      <c r="S99" s="31" t="s">
        <v>3514</v>
      </c>
      <c r="T99" s="31" t="s">
        <v>4723</v>
      </c>
      <c r="U99" s="32" t="s">
        <v>3518</v>
      </c>
      <c r="V99">
        <v>12.8</v>
      </c>
      <c r="W99" s="31">
        <f>MAX(0,NfsExports[[#This Row],[Prospective throughput]]-(NfsExports[[#This Row],[Configured Quota (GB)]]*0.064))</f>
        <v>6.4</v>
      </c>
    </row>
    <row r="100" spans="1:23" x14ac:dyDescent="0.35">
      <c r="A100" s="138" t="s">
        <v>3199</v>
      </c>
      <c r="B100" s="138" t="s">
        <v>3216</v>
      </c>
      <c r="C100" s="67" t="s">
        <v>3519</v>
      </c>
      <c r="D100" s="66" t="s">
        <v>3520</v>
      </c>
      <c r="E100" s="31" t="str">
        <f>SUBSTITUTE(NfsExports[[#This Row],[FMO Volume Name]],"_","-")</f>
        <v>vmpfbpf2oes03-apps-pcehr</v>
      </c>
      <c r="F100" s="66" t="s">
        <v>3248</v>
      </c>
      <c r="G100" s="67">
        <v>30</v>
      </c>
      <c r="H100" s="31">
        <f>MAX(NfsExports[[#This Row],[Required Quota (GB)]],100)</f>
        <v>100</v>
      </c>
      <c r="I100">
        <v>12.8</v>
      </c>
      <c r="K100" s="66" t="s">
        <v>3249</v>
      </c>
      <c r="M10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10.98.73.107</v>
      </c>
      <c r="N100" t="str" cm="1">
        <f t="array" ref="N100">_xlfn.TEXTJOIN(",",TRUE,IF(NfsExports[[#This Row],[FMO Volume Name]]=NfsExportsVNets[FMO Volume Name],NfsExportsVNets[FMO Vnet Subnet],""))</f>
        <v/>
      </c>
      <c r="O100" t="str" cm="1">
        <f t="array" ref="O100">_xlfn.TEXTJOIN(",",TRUE,IF(NfsExports[[#This Row],[FMO Volume Name]]=NfsExportsSubnets[FMO Volume Name],NfsExportsSubnets[FMO Subnet CIDR],""))</f>
        <v/>
      </c>
      <c r="P100" t="str" cm="1">
        <f t="array" ref="P100">IFERROR(_xlfn.TEXTJOIN(",",TRUE,_xlfn._xlws.FILTER(NfsExportsServices[FMO VM Name Summary],NfsExports[[#This Row],[FMO Volume Name]]=NfsExportsServices[FMO Volume Name])),"")</f>
        <v/>
      </c>
      <c r="Q100" s="31" t="str">
        <f>_xlfn.TEXTJOIN(",",TRUE,NfsExports[[#This Row],[FMO Export Override]:[FMO Export Service IPs]])</f>
        <v>10.98.73.107</v>
      </c>
      <c r="R100" s="31" t="str">
        <f>NfsExports[[#This Row],[FMO Mount Path Estimated]]&amp;" "&amp;NfsExports[[#This Row],[Required Quota (GB)]]&amp;"GB"</f>
        <v>/apps/pcehr 30GB</v>
      </c>
      <c r="S100" s="31" t="s">
        <v>3514</v>
      </c>
      <c r="T100" s="31" t="s">
        <v>4723</v>
      </c>
      <c r="U100" s="32" t="s">
        <v>3521</v>
      </c>
      <c r="V100">
        <v>12.8</v>
      </c>
      <c r="W100" s="31">
        <f>MAX(0,NfsExports[[#This Row],[Prospective throughput]]-(NfsExports[[#This Row],[Configured Quota (GB)]]*0.064))</f>
        <v>6.4</v>
      </c>
    </row>
    <row r="101" spans="1:23" x14ac:dyDescent="0.35">
      <c r="A101" s="138" t="s">
        <v>3199</v>
      </c>
      <c r="B101" s="138" t="s">
        <v>3216</v>
      </c>
      <c r="C101" s="67" t="s">
        <v>3522</v>
      </c>
      <c r="D101" s="65" t="s">
        <v>3523</v>
      </c>
      <c r="E101" s="31" t="str">
        <f>SUBSTITUTE(NfsExports[[#This Row],[FMO Volume Name]],"_","-")</f>
        <v>vmpfbpf2oes04-apps-pcehr</v>
      </c>
      <c r="F101" s="66" t="s">
        <v>3248</v>
      </c>
      <c r="G101" s="67">
        <v>30</v>
      </c>
      <c r="H101" s="31">
        <f>MAX(NfsExports[[#This Row],[Required Quota (GB)]],100)</f>
        <v>100</v>
      </c>
      <c r="I101">
        <v>12.8</v>
      </c>
      <c r="K101" s="66" t="s">
        <v>3249</v>
      </c>
      <c r="M10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10.98.73.108</v>
      </c>
      <c r="N101" t="str" cm="1">
        <f t="array" ref="N101">_xlfn.TEXTJOIN(",",TRUE,IF(NfsExports[[#This Row],[FMO Volume Name]]=NfsExportsVNets[FMO Volume Name],NfsExportsVNets[FMO Vnet Subnet],""))</f>
        <v/>
      </c>
      <c r="O101" t="str" cm="1">
        <f t="array" ref="O101">_xlfn.TEXTJOIN(",",TRUE,IF(NfsExports[[#This Row],[FMO Volume Name]]=NfsExportsSubnets[FMO Volume Name],NfsExportsSubnets[FMO Subnet CIDR],""))</f>
        <v/>
      </c>
      <c r="P101" t="str" cm="1">
        <f t="array" ref="P101">IFERROR(_xlfn.TEXTJOIN(",",TRUE,_xlfn._xlws.FILTER(NfsExportsServices[FMO VM Name Summary],NfsExports[[#This Row],[FMO Volume Name]]=NfsExportsServices[FMO Volume Name])),"")</f>
        <v/>
      </c>
      <c r="Q101" s="31" t="str">
        <f>_xlfn.TEXTJOIN(",",TRUE,NfsExports[[#This Row],[FMO Export Override]:[FMO Export Service IPs]])</f>
        <v>10.98.73.108</v>
      </c>
      <c r="R101" s="31" t="str">
        <f>NfsExports[[#This Row],[FMO Mount Path Estimated]]&amp;" "&amp;NfsExports[[#This Row],[Required Quota (GB)]]&amp;"GB"</f>
        <v>/apps/pcehr 30GB</v>
      </c>
      <c r="S101" s="31" t="s">
        <v>3514</v>
      </c>
      <c r="T101" s="31" t="s">
        <v>4723</v>
      </c>
      <c r="U101" s="32" t="s">
        <v>3524</v>
      </c>
      <c r="V101">
        <v>12.8</v>
      </c>
      <c r="W101" s="31">
        <f>MAX(0,NfsExports[[#This Row],[Prospective throughput]]-(NfsExports[[#This Row],[Configured Quota (GB)]]*0.064))</f>
        <v>6.4</v>
      </c>
    </row>
    <row r="102" spans="1:23" x14ac:dyDescent="0.35">
      <c r="A102" s="138" t="s">
        <v>3199</v>
      </c>
      <c r="B102" s="138" t="s">
        <v>3216</v>
      </c>
      <c r="C102" s="67" t="s">
        <v>3525</v>
      </c>
      <c r="D102" s="66" t="s">
        <v>3526</v>
      </c>
      <c r="E102" s="31" t="str">
        <f>SUBSTITUTE(NfsExports[[#This Row],[FMO Volume Name]],"_","-")</f>
        <v>vmpfbpf2oes05-apps-pcehr</v>
      </c>
      <c r="F102" s="66" t="s">
        <v>3248</v>
      </c>
      <c r="G102" s="67">
        <v>30</v>
      </c>
      <c r="H102" s="31">
        <f>MAX(NfsExports[[#This Row],[Required Quota (GB)]],100)</f>
        <v>100</v>
      </c>
      <c r="I102">
        <v>12.8</v>
      </c>
      <c r="K102" s="66" t="s">
        <v>3249</v>
      </c>
      <c r="M10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10.98.73.109</v>
      </c>
      <c r="N102" t="str" cm="1">
        <f t="array" ref="N102">_xlfn.TEXTJOIN(",",TRUE,IF(NfsExports[[#This Row],[FMO Volume Name]]=NfsExportsVNets[FMO Volume Name],NfsExportsVNets[FMO Vnet Subnet],""))</f>
        <v/>
      </c>
      <c r="O102" t="str" cm="1">
        <f t="array" ref="O102">_xlfn.TEXTJOIN(",",TRUE,IF(NfsExports[[#This Row],[FMO Volume Name]]=NfsExportsSubnets[FMO Volume Name],NfsExportsSubnets[FMO Subnet CIDR],""))</f>
        <v/>
      </c>
      <c r="P102" t="str" cm="1">
        <f t="array" ref="P102">IFERROR(_xlfn.TEXTJOIN(",",TRUE,_xlfn._xlws.FILTER(NfsExportsServices[FMO VM Name Summary],NfsExports[[#This Row],[FMO Volume Name]]=NfsExportsServices[FMO Volume Name])),"")</f>
        <v/>
      </c>
      <c r="Q102" s="31" t="str">
        <f>_xlfn.TEXTJOIN(",",TRUE,NfsExports[[#This Row],[FMO Export Override]:[FMO Export Service IPs]])</f>
        <v>10.98.73.109</v>
      </c>
      <c r="R102" s="31" t="str">
        <f>NfsExports[[#This Row],[FMO Mount Path Estimated]]&amp;" "&amp;NfsExports[[#This Row],[Required Quota (GB)]]&amp;"GB"</f>
        <v>/apps/pcehr 30GB</v>
      </c>
      <c r="S102" s="31" t="s">
        <v>3514</v>
      </c>
      <c r="T102" s="31" t="s">
        <v>4723</v>
      </c>
      <c r="U102" s="32" t="s">
        <v>3527</v>
      </c>
      <c r="V102">
        <v>12.8</v>
      </c>
      <c r="W102" s="31">
        <f>MAX(0,NfsExports[[#This Row],[Prospective throughput]]-(NfsExports[[#This Row],[Configured Quota (GB)]]*0.064))</f>
        <v>6.4</v>
      </c>
    </row>
    <row r="103" spans="1:23" x14ac:dyDescent="0.35">
      <c r="A103" s="138" t="s">
        <v>3199</v>
      </c>
      <c r="B103" s="138" t="s">
        <v>3216</v>
      </c>
      <c r="C103" s="67" t="s">
        <v>3528</v>
      </c>
      <c r="D103" s="65" t="s">
        <v>3529</v>
      </c>
      <c r="E103" s="31" t="str">
        <f>SUBSTITUTE(NfsExports[[#This Row],[FMO Volume Name]],"_","-")</f>
        <v>vmpfbpf2oes06-apps-pcehr</v>
      </c>
      <c r="F103" s="66" t="s">
        <v>3248</v>
      </c>
      <c r="G103" s="67">
        <v>30</v>
      </c>
      <c r="H103" s="31">
        <f>MAX(NfsExports[[#This Row],[Required Quota (GB)]],100)</f>
        <v>100</v>
      </c>
      <c r="I103">
        <v>12.8</v>
      </c>
      <c r="K103" s="66" t="s">
        <v>3249</v>
      </c>
      <c r="M10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10.98.73.110</v>
      </c>
      <c r="N103" t="str" cm="1">
        <f t="array" ref="N103">_xlfn.TEXTJOIN(",",TRUE,IF(NfsExports[[#This Row],[FMO Volume Name]]=NfsExportsVNets[FMO Volume Name],NfsExportsVNets[FMO Vnet Subnet],""))</f>
        <v/>
      </c>
      <c r="O103" t="str" cm="1">
        <f t="array" ref="O103">_xlfn.TEXTJOIN(",",TRUE,IF(NfsExports[[#This Row],[FMO Volume Name]]=NfsExportsSubnets[FMO Volume Name],NfsExportsSubnets[FMO Subnet CIDR],""))</f>
        <v/>
      </c>
      <c r="P103" t="str" cm="1">
        <f t="array" ref="P103">IFERROR(_xlfn.TEXTJOIN(",",TRUE,_xlfn._xlws.FILTER(NfsExportsServices[FMO VM Name Summary],NfsExports[[#This Row],[FMO Volume Name]]=NfsExportsServices[FMO Volume Name])),"")</f>
        <v/>
      </c>
      <c r="Q103" s="31" t="str">
        <f>_xlfn.TEXTJOIN(",",TRUE,NfsExports[[#This Row],[FMO Export Override]:[FMO Export Service IPs]])</f>
        <v>10.98.73.110</v>
      </c>
      <c r="R103" s="31" t="str">
        <f>NfsExports[[#This Row],[FMO Mount Path Estimated]]&amp;" "&amp;NfsExports[[#This Row],[Required Quota (GB)]]&amp;"GB"</f>
        <v>/apps/pcehr 30GB</v>
      </c>
      <c r="S103" s="31" t="s">
        <v>3514</v>
      </c>
      <c r="T103" s="31" t="s">
        <v>4723</v>
      </c>
      <c r="U103" s="32" t="s">
        <v>3530</v>
      </c>
      <c r="V103">
        <v>12.8</v>
      </c>
      <c r="W103" s="31">
        <f>MAX(0,NfsExports[[#This Row],[Prospective throughput]]-(NfsExports[[#This Row],[Configured Quota (GB)]]*0.064))</f>
        <v>6.4</v>
      </c>
    </row>
    <row r="104" spans="1:23" x14ac:dyDescent="0.35">
      <c r="A104" s="138" t="s">
        <v>3199</v>
      </c>
      <c r="B104" s="138" t="s">
        <v>3216</v>
      </c>
      <c r="C104" s="67" t="s">
        <v>3531</v>
      </c>
      <c r="D104" s="66" t="s">
        <v>3532</v>
      </c>
      <c r="E104" s="31" t="str">
        <f>SUBSTITUTE(NfsExports[[#This Row],[FMO Volume Name]],"_","-")</f>
        <v>vmpfbpf2oes07-apps-pcehr</v>
      </c>
      <c r="F104" s="66" t="s">
        <v>3248</v>
      </c>
      <c r="G104" s="67">
        <v>30</v>
      </c>
      <c r="H104" s="31">
        <f>MAX(NfsExports[[#This Row],[Required Quota (GB)]],100)</f>
        <v>100</v>
      </c>
      <c r="I104">
        <v>12.8</v>
      </c>
      <c r="K104" s="66" t="s">
        <v>3249</v>
      </c>
      <c r="M10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10.98.73.111</v>
      </c>
      <c r="N104" t="str" cm="1">
        <f t="array" ref="N104">_xlfn.TEXTJOIN(",",TRUE,IF(NfsExports[[#This Row],[FMO Volume Name]]=NfsExportsVNets[FMO Volume Name],NfsExportsVNets[FMO Vnet Subnet],""))</f>
        <v/>
      </c>
      <c r="O104" t="str" cm="1">
        <f t="array" ref="O104">_xlfn.TEXTJOIN(",",TRUE,IF(NfsExports[[#This Row],[FMO Volume Name]]=NfsExportsSubnets[FMO Volume Name],NfsExportsSubnets[FMO Subnet CIDR],""))</f>
        <v/>
      </c>
      <c r="P104" t="str" cm="1">
        <f t="array" ref="P104">IFERROR(_xlfn.TEXTJOIN(",",TRUE,_xlfn._xlws.FILTER(NfsExportsServices[FMO VM Name Summary],NfsExports[[#This Row],[FMO Volume Name]]=NfsExportsServices[FMO Volume Name])),"")</f>
        <v/>
      </c>
      <c r="Q104" s="31" t="str">
        <f>_xlfn.TEXTJOIN(",",TRUE,NfsExports[[#This Row],[FMO Export Override]:[FMO Export Service IPs]])</f>
        <v>10.98.73.111</v>
      </c>
      <c r="R104" s="31" t="str">
        <f>NfsExports[[#This Row],[FMO Mount Path Estimated]]&amp;" "&amp;NfsExports[[#This Row],[Required Quota (GB)]]&amp;"GB"</f>
        <v>/apps/pcehr 30GB</v>
      </c>
      <c r="S104" s="31" t="s">
        <v>3514</v>
      </c>
      <c r="T104" s="31" t="s">
        <v>4723</v>
      </c>
      <c r="U104" s="32" t="s">
        <v>3533</v>
      </c>
      <c r="V104">
        <v>12.8</v>
      </c>
      <c r="W104" s="31">
        <f>MAX(0,NfsExports[[#This Row],[Prospective throughput]]-(NfsExports[[#This Row],[Configured Quota (GB)]]*0.064))</f>
        <v>6.4</v>
      </c>
    </row>
    <row r="105" spans="1:23" x14ac:dyDescent="0.35">
      <c r="A105" s="138" t="s">
        <v>3199</v>
      </c>
      <c r="B105" s="138" t="s">
        <v>3216</v>
      </c>
      <c r="C105" s="67" t="s">
        <v>3534</v>
      </c>
      <c r="D105" s="65" t="s">
        <v>3535</v>
      </c>
      <c r="E105" s="31" t="str">
        <f>SUBSTITUTE(NfsExports[[#This Row],[FMO Volume Name]],"_","-")</f>
        <v>vmpfbpf2oes08-apps-pcehr</v>
      </c>
      <c r="F105" s="66" t="s">
        <v>3248</v>
      </c>
      <c r="G105" s="67">
        <v>30</v>
      </c>
      <c r="H105" s="31">
        <f>MAX(NfsExports[[#This Row],[Required Quota (GB)]],100)</f>
        <v>100</v>
      </c>
      <c r="I105">
        <v>12.8</v>
      </c>
      <c r="K105" s="66" t="s">
        <v>3249</v>
      </c>
      <c r="M10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10.98.73.112</v>
      </c>
      <c r="N105" t="str" cm="1">
        <f t="array" ref="N105">_xlfn.TEXTJOIN(",",TRUE,IF(NfsExports[[#This Row],[FMO Volume Name]]=NfsExportsVNets[FMO Volume Name],NfsExportsVNets[FMO Vnet Subnet],""))</f>
        <v/>
      </c>
      <c r="O105" t="str" cm="1">
        <f t="array" ref="O105">_xlfn.TEXTJOIN(",",TRUE,IF(NfsExports[[#This Row],[FMO Volume Name]]=NfsExportsSubnets[FMO Volume Name],NfsExportsSubnets[FMO Subnet CIDR],""))</f>
        <v/>
      </c>
      <c r="P105" t="str" cm="1">
        <f t="array" ref="P105">IFERROR(_xlfn.TEXTJOIN(",",TRUE,_xlfn._xlws.FILTER(NfsExportsServices[FMO VM Name Summary],NfsExports[[#This Row],[FMO Volume Name]]=NfsExportsServices[FMO Volume Name])),"")</f>
        <v/>
      </c>
      <c r="Q105" s="31" t="str">
        <f>_xlfn.TEXTJOIN(",",TRUE,NfsExports[[#This Row],[FMO Export Override]:[FMO Export Service IPs]])</f>
        <v>10.98.73.112</v>
      </c>
      <c r="R105" s="31" t="str">
        <f>NfsExports[[#This Row],[FMO Mount Path Estimated]]&amp;" "&amp;NfsExports[[#This Row],[Required Quota (GB)]]&amp;"GB"</f>
        <v>/apps/pcehr 30GB</v>
      </c>
      <c r="S105" s="31" t="s">
        <v>3514</v>
      </c>
      <c r="T105" s="31" t="s">
        <v>4723</v>
      </c>
      <c r="U105" s="32" t="s">
        <v>3536</v>
      </c>
      <c r="V105">
        <v>12.8</v>
      </c>
      <c r="W105" s="31">
        <f>MAX(0,NfsExports[[#This Row],[Prospective throughput]]-(NfsExports[[#This Row],[Configured Quota (GB)]]*0.064))</f>
        <v>6.4</v>
      </c>
    </row>
    <row r="106" spans="1:23" x14ac:dyDescent="0.35">
      <c r="A106" s="138" t="s">
        <v>3199</v>
      </c>
      <c r="B106" s="138" t="s">
        <v>3216</v>
      </c>
      <c r="C106" s="67" t="s">
        <v>3537</v>
      </c>
      <c r="D106" s="66" t="s">
        <v>3538</v>
      </c>
      <c r="E106" s="31" t="str">
        <f>SUBSTITUTE(NfsExports[[#This Row],[FMO Volume Name]],"_","-")</f>
        <v>vmpfbpf2oes09-apps-pcehr</v>
      </c>
      <c r="F106" s="66" t="s">
        <v>3248</v>
      </c>
      <c r="G106" s="67">
        <v>30</v>
      </c>
      <c r="H106" s="31">
        <f>MAX(NfsExports[[#This Row],[Required Quota (GB)]],100)</f>
        <v>100</v>
      </c>
      <c r="I106">
        <v>12.8</v>
      </c>
      <c r="K106" s="66" t="s">
        <v>3249</v>
      </c>
      <c r="M10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10.98.73.113</v>
      </c>
      <c r="N106" t="str" cm="1">
        <f t="array" ref="N106">_xlfn.TEXTJOIN(",",TRUE,IF(NfsExports[[#This Row],[FMO Volume Name]]=NfsExportsVNets[FMO Volume Name],NfsExportsVNets[FMO Vnet Subnet],""))</f>
        <v/>
      </c>
      <c r="O106" t="str" cm="1">
        <f t="array" ref="O106">_xlfn.TEXTJOIN(",",TRUE,IF(NfsExports[[#This Row],[FMO Volume Name]]=NfsExportsSubnets[FMO Volume Name],NfsExportsSubnets[FMO Subnet CIDR],""))</f>
        <v/>
      </c>
      <c r="P106" t="str" cm="1">
        <f t="array" ref="P106">IFERROR(_xlfn.TEXTJOIN(",",TRUE,_xlfn._xlws.FILTER(NfsExportsServices[FMO VM Name Summary],NfsExports[[#This Row],[FMO Volume Name]]=NfsExportsServices[FMO Volume Name])),"")</f>
        <v/>
      </c>
      <c r="Q106" s="31" t="str">
        <f>_xlfn.TEXTJOIN(",",TRUE,NfsExports[[#This Row],[FMO Export Override]:[FMO Export Service IPs]])</f>
        <v>10.98.73.113</v>
      </c>
      <c r="R106" s="31" t="str">
        <f>NfsExports[[#This Row],[FMO Mount Path Estimated]]&amp;" "&amp;NfsExports[[#This Row],[Required Quota (GB)]]&amp;"GB"</f>
        <v>/apps/pcehr 30GB</v>
      </c>
      <c r="S106" s="31" t="s">
        <v>3514</v>
      </c>
      <c r="T106" s="31" t="s">
        <v>4723</v>
      </c>
      <c r="U106" s="32" t="s">
        <v>3539</v>
      </c>
      <c r="V106">
        <v>12.8</v>
      </c>
      <c r="W106" s="31">
        <f>MAX(0,NfsExports[[#This Row],[Prospective throughput]]-(NfsExports[[#This Row],[Configured Quota (GB)]]*0.064))</f>
        <v>6.4</v>
      </c>
    </row>
    <row r="107" spans="1:23" x14ac:dyDescent="0.35">
      <c r="A107" s="138" t="s">
        <v>3199</v>
      </c>
      <c r="B107" s="138" t="s">
        <v>3216</v>
      </c>
      <c r="C107" s="67" t="s">
        <v>3540</v>
      </c>
      <c r="D107" s="65" t="s">
        <v>3541</v>
      </c>
      <c r="E107" s="31" t="str">
        <f>SUBSTITUTE(NfsExports[[#This Row],[FMO Volume Name]],"_","-")</f>
        <v>vmpfbpf2oha01-apps-pcehr</v>
      </c>
      <c r="F107" s="66" t="s">
        <v>3248</v>
      </c>
      <c r="G107" s="67">
        <v>30</v>
      </c>
      <c r="H107" s="31">
        <f>MAX(NfsExports[[#This Row],[Required Quota (GB)]],100)</f>
        <v>100</v>
      </c>
      <c r="I107">
        <v>12.8</v>
      </c>
      <c r="K107" s="66" t="s">
        <v>3249</v>
      </c>
      <c r="M10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10.98.72.64</v>
      </c>
      <c r="N107" t="str" cm="1">
        <f t="array" ref="N107">_xlfn.TEXTJOIN(",",TRUE,IF(NfsExports[[#This Row],[FMO Volume Name]]=NfsExportsVNets[FMO Volume Name],NfsExportsVNets[FMO Vnet Subnet],""))</f>
        <v/>
      </c>
      <c r="O107" t="str" cm="1">
        <f t="array" ref="O107">_xlfn.TEXTJOIN(",",TRUE,IF(NfsExports[[#This Row],[FMO Volume Name]]=NfsExportsSubnets[FMO Volume Name],NfsExportsSubnets[FMO Subnet CIDR],""))</f>
        <v/>
      </c>
      <c r="P107" t="str" cm="1">
        <f t="array" ref="P107">IFERROR(_xlfn.TEXTJOIN(",",TRUE,_xlfn._xlws.FILTER(NfsExportsServices[FMO VM Name Summary],NfsExports[[#This Row],[FMO Volume Name]]=NfsExportsServices[FMO Volume Name])),"")</f>
        <v/>
      </c>
      <c r="Q107" s="31" t="str">
        <f>_xlfn.TEXTJOIN(",",TRUE,NfsExports[[#This Row],[FMO Export Override]:[FMO Export Service IPs]])</f>
        <v>10.98.72.64</v>
      </c>
      <c r="R107" s="31" t="str">
        <f>NfsExports[[#This Row],[FMO Mount Path Estimated]]&amp;" "&amp;NfsExports[[#This Row],[Required Quota (GB)]]&amp;"GB"</f>
        <v>/apps/pcehr 30GB</v>
      </c>
      <c r="S107" s="31" t="s">
        <v>3250</v>
      </c>
      <c r="T107" s="31" t="s">
        <v>4723</v>
      </c>
      <c r="U107" s="32" t="s">
        <v>3542</v>
      </c>
      <c r="V107">
        <v>12.8</v>
      </c>
      <c r="W107" s="31">
        <f>MAX(0,NfsExports[[#This Row],[Prospective throughput]]-(NfsExports[[#This Row],[Configured Quota (GB)]]*0.064))</f>
        <v>6.4</v>
      </c>
    </row>
    <row r="108" spans="1:23" x14ac:dyDescent="0.35">
      <c r="A108" s="138" t="s">
        <v>3199</v>
      </c>
      <c r="B108" s="138" t="s">
        <v>3216</v>
      </c>
      <c r="C108" s="67" t="s">
        <v>3543</v>
      </c>
      <c r="D108" s="66" t="s">
        <v>3544</v>
      </c>
      <c r="E108" s="31" t="str">
        <f>SUBSTITUTE(NfsExports[[#This Row],[FMO Volume Name]],"_","-")</f>
        <v>vmpfbpf2oha02-apps-pcehr</v>
      </c>
      <c r="F108" s="66" t="s">
        <v>3248</v>
      </c>
      <c r="G108" s="67">
        <v>30</v>
      </c>
      <c r="H108" s="31">
        <f>MAX(NfsExports[[#This Row],[Required Quota (GB)]],100)</f>
        <v>100</v>
      </c>
      <c r="I108">
        <v>12.8</v>
      </c>
      <c r="K108" s="66" t="s">
        <v>3249</v>
      </c>
      <c r="M10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10.98.72.65</v>
      </c>
      <c r="N108" t="str" cm="1">
        <f t="array" ref="N108">_xlfn.TEXTJOIN(",",TRUE,IF(NfsExports[[#This Row],[FMO Volume Name]]=NfsExportsVNets[FMO Volume Name],NfsExportsVNets[FMO Vnet Subnet],""))</f>
        <v/>
      </c>
      <c r="O108" t="str" cm="1">
        <f t="array" ref="O108">_xlfn.TEXTJOIN(",",TRUE,IF(NfsExports[[#This Row],[FMO Volume Name]]=NfsExportsSubnets[FMO Volume Name],NfsExportsSubnets[FMO Subnet CIDR],""))</f>
        <v/>
      </c>
      <c r="P108" t="str" cm="1">
        <f t="array" ref="P108">IFERROR(_xlfn.TEXTJOIN(",",TRUE,_xlfn._xlws.FILTER(NfsExportsServices[FMO VM Name Summary],NfsExports[[#This Row],[FMO Volume Name]]=NfsExportsServices[FMO Volume Name])),"")</f>
        <v/>
      </c>
      <c r="Q108" s="31" t="str">
        <f>_xlfn.TEXTJOIN(",",TRUE,NfsExports[[#This Row],[FMO Export Override]:[FMO Export Service IPs]])</f>
        <v>10.98.72.65</v>
      </c>
      <c r="R108" s="31" t="str">
        <f>NfsExports[[#This Row],[FMO Mount Path Estimated]]&amp;" "&amp;NfsExports[[#This Row],[Required Quota (GB)]]&amp;"GB"</f>
        <v>/apps/pcehr 30GB</v>
      </c>
      <c r="S108" s="31" t="s">
        <v>3250</v>
      </c>
      <c r="T108" s="31" t="s">
        <v>4723</v>
      </c>
      <c r="U108" s="32" t="s">
        <v>3545</v>
      </c>
      <c r="V108">
        <v>12.8</v>
      </c>
      <c r="W108" s="31">
        <f>MAX(0,NfsExports[[#This Row],[Prospective throughput]]-(NfsExports[[#This Row],[Configured Quota (GB)]]*0.064))</f>
        <v>6.4</v>
      </c>
    </row>
    <row r="109" spans="1:23" x14ac:dyDescent="0.35">
      <c r="A109" s="138" t="s">
        <v>3199</v>
      </c>
      <c r="B109" s="138" t="s">
        <v>3216</v>
      </c>
      <c r="C109" s="67" t="s">
        <v>3546</v>
      </c>
      <c r="D109" s="65" t="s">
        <v>3547</v>
      </c>
      <c r="E109" s="31" t="str">
        <f>SUBSTITUTE(NfsExports[[#This Row],[FMO Volume Name]],"_","-")</f>
        <v>vmpfbpf2ohb01-apps-pcehr</v>
      </c>
      <c r="F109" s="66" t="s">
        <v>3248</v>
      </c>
      <c r="G109" s="67">
        <v>30</v>
      </c>
      <c r="H109" s="31">
        <f>MAX(NfsExports[[#This Row],[Required Quota (GB)]],100)</f>
        <v>100</v>
      </c>
      <c r="I109">
        <v>12.8</v>
      </c>
      <c r="K109" s="66" t="s">
        <v>3249</v>
      </c>
      <c r="M10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10.98.72.66</v>
      </c>
      <c r="N109" t="str" cm="1">
        <f t="array" ref="N109">_xlfn.TEXTJOIN(",",TRUE,IF(NfsExports[[#This Row],[FMO Volume Name]]=NfsExportsVNets[FMO Volume Name],NfsExportsVNets[FMO Vnet Subnet],""))</f>
        <v/>
      </c>
      <c r="O109" t="str" cm="1">
        <f t="array" ref="O109">_xlfn.TEXTJOIN(",",TRUE,IF(NfsExports[[#This Row],[FMO Volume Name]]=NfsExportsSubnets[FMO Volume Name],NfsExportsSubnets[FMO Subnet CIDR],""))</f>
        <v/>
      </c>
      <c r="P109" t="str" cm="1">
        <f t="array" ref="P109">IFERROR(_xlfn.TEXTJOIN(",",TRUE,_xlfn._xlws.FILTER(NfsExportsServices[FMO VM Name Summary],NfsExports[[#This Row],[FMO Volume Name]]=NfsExportsServices[FMO Volume Name])),"")</f>
        <v/>
      </c>
      <c r="Q109" s="31" t="str">
        <f>_xlfn.TEXTJOIN(",",TRUE,NfsExports[[#This Row],[FMO Export Override]:[FMO Export Service IPs]])</f>
        <v>10.98.72.66</v>
      </c>
      <c r="R109" s="31" t="str">
        <f>NfsExports[[#This Row],[FMO Mount Path Estimated]]&amp;" "&amp;NfsExports[[#This Row],[Required Quota (GB)]]&amp;"GB"</f>
        <v>/apps/pcehr 30GB</v>
      </c>
      <c r="S109" s="31" t="s">
        <v>3349</v>
      </c>
      <c r="T109" s="31" t="s">
        <v>4723</v>
      </c>
      <c r="U109" s="32" t="s">
        <v>3548</v>
      </c>
      <c r="V109">
        <v>12.8</v>
      </c>
      <c r="W109" s="31">
        <f>MAX(0,NfsExports[[#This Row],[Prospective throughput]]-(NfsExports[[#This Row],[Configured Quota (GB)]]*0.064))</f>
        <v>6.4</v>
      </c>
    </row>
    <row r="110" spans="1:23" x14ac:dyDescent="0.35">
      <c r="A110" s="138" t="s">
        <v>3199</v>
      </c>
      <c r="B110" s="138" t="s">
        <v>3216</v>
      </c>
      <c r="C110" s="67" t="s">
        <v>3549</v>
      </c>
      <c r="D110" s="66" t="s">
        <v>3550</v>
      </c>
      <c r="E110" s="31" t="str">
        <f>SUBSTITUTE(NfsExports[[#This Row],[FMO Volume Name]],"_","-")</f>
        <v>vmpfbpf2ohb02-apps-pcehr</v>
      </c>
      <c r="F110" s="66" t="s">
        <v>3248</v>
      </c>
      <c r="G110" s="67">
        <v>30</v>
      </c>
      <c r="H110" s="31">
        <f>MAX(NfsExports[[#This Row],[Required Quota (GB)]],100)</f>
        <v>100</v>
      </c>
      <c r="I110">
        <v>12.8</v>
      </c>
      <c r="K110" s="66" t="s">
        <v>3249</v>
      </c>
      <c r="M11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10.98.72.67</v>
      </c>
      <c r="N110" t="str" cm="1">
        <f t="array" ref="N110">_xlfn.TEXTJOIN(",",TRUE,IF(NfsExports[[#This Row],[FMO Volume Name]]=NfsExportsVNets[FMO Volume Name],NfsExportsVNets[FMO Vnet Subnet],""))</f>
        <v/>
      </c>
      <c r="O110" t="str" cm="1">
        <f t="array" ref="O110">_xlfn.TEXTJOIN(",",TRUE,IF(NfsExports[[#This Row],[FMO Volume Name]]=NfsExportsSubnets[FMO Volume Name],NfsExportsSubnets[FMO Subnet CIDR],""))</f>
        <v/>
      </c>
      <c r="P110" t="str" cm="1">
        <f t="array" ref="P110">IFERROR(_xlfn.TEXTJOIN(",",TRUE,_xlfn._xlws.FILTER(NfsExportsServices[FMO VM Name Summary],NfsExports[[#This Row],[FMO Volume Name]]=NfsExportsServices[FMO Volume Name])),"")</f>
        <v/>
      </c>
      <c r="Q110" s="31" t="str">
        <f>_xlfn.TEXTJOIN(",",TRUE,NfsExports[[#This Row],[FMO Export Override]:[FMO Export Service IPs]])</f>
        <v>10.98.72.67</v>
      </c>
      <c r="R110" s="31" t="str">
        <f>NfsExports[[#This Row],[FMO Mount Path Estimated]]&amp;" "&amp;NfsExports[[#This Row],[Required Quota (GB)]]&amp;"GB"</f>
        <v>/apps/pcehr 30GB</v>
      </c>
      <c r="S110" s="31" t="s">
        <v>3349</v>
      </c>
      <c r="T110" s="31" t="s">
        <v>4723</v>
      </c>
      <c r="U110" s="32" t="s">
        <v>3551</v>
      </c>
      <c r="V110">
        <v>12.8</v>
      </c>
      <c r="W110" s="31">
        <f>MAX(0,NfsExports[[#This Row],[Prospective throughput]]-(NfsExports[[#This Row],[Configured Quota (GB)]]*0.064))</f>
        <v>6.4</v>
      </c>
    </row>
    <row r="111" spans="1:23" x14ac:dyDescent="0.35">
      <c r="A111" s="138" t="s">
        <v>3199</v>
      </c>
      <c r="B111" s="138" t="s">
        <v>3216</v>
      </c>
      <c r="C111" s="67" t="s">
        <v>3552</v>
      </c>
      <c r="D111" s="65" t="s">
        <v>3553</v>
      </c>
      <c r="E111" s="31" t="str">
        <f>SUBSTITUTE(NfsExports[[#This Row],[FMO Volume Name]],"_","-")</f>
        <v>vmpfbpf2ohb03-apps-pcehr</v>
      </c>
      <c r="F111" s="66" t="s">
        <v>3248</v>
      </c>
      <c r="G111" s="67">
        <v>30</v>
      </c>
      <c r="H111" s="31">
        <f>MAX(NfsExports[[#This Row],[Required Quota (GB)]],100)</f>
        <v>100</v>
      </c>
      <c r="I111">
        <v>12.8</v>
      </c>
      <c r="K111" s="66" t="s">
        <v>3249</v>
      </c>
      <c r="M11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10.98.72.68</v>
      </c>
      <c r="N111" t="str" cm="1">
        <f t="array" ref="N111">_xlfn.TEXTJOIN(",",TRUE,IF(NfsExports[[#This Row],[FMO Volume Name]]=NfsExportsVNets[FMO Volume Name],NfsExportsVNets[FMO Vnet Subnet],""))</f>
        <v/>
      </c>
      <c r="O111" t="str" cm="1">
        <f t="array" ref="O111">_xlfn.TEXTJOIN(",",TRUE,IF(NfsExports[[#This Row],[FMO Volume Name]]=NfsExportsSubnets[FMO Volume Name],NfsExportsSubnets[FMO Subnet CIDR],""))</f>
        <v/>
      </c>
      <c r="P111" t="str" cm="1">
        <f t="array" ref="P111">IFERROR(_xlfn.TEXTJOIN(",",TRUE,_xlfn._xlws.FILTER(NfsExportsServices[FMO VM Name Summary],NfsExports[[#This Row],[FMO Volume Name]]=NfsExportsServices[FMO Volume Name])),"")</f>
        <v/>
      </c>
      <c r="Q111" s="31" t="str">
        <f>_xlfn.TEXTJOIN(",",TRUE,NfsExports[[#This Row],[FMO Export Override]:[FMO Export Service IPs]])</f>
        <v>10.98.72.68</v>
      </c>
      <c r="R111" s="31" t="str">
        <f>NfsExports[[#This Row],[FMO Mount Path Estimated]]&amp;" "&amp;NfsExports[[#This Row],[Required Quota (GB)]]&amp;"GB"</f>
        <v>/apps/pcehr 30GB</v>
      </c>
      <c r="S111" s="31" t="s">
        <v>3349</v>
      </c>
      <c r="T111" s="31" t="s">
        <v>4723</v>
      </c>
      <c r="U111" s="32" t="s">
        <v>3554</v>
      </c>
      <c r="V111">
        <v>12.8</v>
      </c>
      <c r="W111" s="31">
        <f>MAX(0,NfsExports[[#This Row],[Prospective throughput]]-(NfsExports[[#This Row],[Configured Quota (GB)]]*0.064))</f>
        <v>6.4</v>
      </c>
    </row>
    <row r="112" spans="1:23" x14ac:dyDescent="0.35">
      <c r="A112" s="138" t="s">
        <v>3199</v>
      </c>
      <c r="B112" s="138" t="s">
        <v>3216</v>
      </c>
      <c r="C112" s="67" t="s">
        <v>3555</v>
      </c>
      <c r="D112" s="66" t="s">
        <v>3556</v>
      </c>
      <c r="E112" s="31" t="str">
        <f>SUBSTITUTE(NfsExports[[#This Row],[FMO Volume Name]],"_","-")</f>
        <v>vmpfbpf2ohb04-apps-pcehr</v>
      </c>
      <c r="F112" s="66" t="s">
        <v>3248</v>
      </c>
      <c r="G112" s="67">
        <v>30</v>
      </c>
      <c r="H112" s="31">
        <f>MAX(NfsExports[[#This Row],[Required Quota (GB)]],100)</f>
        <v>100</v>
      </c>
      <c r="I112">
        <v>12.8</v>
      </c>
      <c r="K112" s="66" t="s">
        <v>3249</v>
      </c>
      <c r="M11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10.98.72.69</v>
      </c>
      <c r="N112" t="str" cm="1">
        <f t="array" ref="N112">_xlfn.TEXTJOIN(",",TRUE,IF(NfsExports[[#This Row],[FMO Volume Name]]=NfsExportsVNets[FMO Volume Name],NfsExportsVNets[FMO Vnet Subnet],""))</f>
        <v/>
      </c>
      <c r="O112" t="str" cm="1">
        <f t="array" ref="O112">_xlfn.TEXTJOIN(",",TRUE,IF(NfsExports[[#This Row],[FMO Volume Name]]=NfsExportsSubnets[FMO Volume Name],NfsExportsSubnets[FMO Subnet CIDR],""))</f>
        <v/>
      </c>
      <c r="P112" t="str" cm="1">
        <f t="array" ref="P112">IFERROR(_xlfn.TEXTJOIN(",",TRUE,_xlfn._xlws.FILTER(NfsExportsServices[FMO VM Name Summary],NfsExports[[#This Row],[FMO Volume Name]]=NfsExportsServices[FMO Volume Name])),"")</f>
        <v/>
      </c>
      <c r="Q112" s="31" t="str">
        <f>_xlfn.TEXTJOIN(",",TRUE,NfsExports[[#This Row],[FMO Export Override]:[FMO Export Service IPs]])</f>
        <v>10.98.72.69</v>
      </c>
      <c r="R112" s="31" t="str">
        <f>NfsExports[[#This Row],[FMO Mount Path Estimated]]&amp;" "&amp;NfsExports[[#This Row],[Required Quota (GB)]]&amp;"GB"</f>
        <v>/apps/pcehr 30GB</v>
      </c>
      <c r="S112" s="31" t="s">
        <v>3349</v>
      </c>
      <c r="T112" s="31" t="s">
        <v>4723</v>
      </c>
      <c r="U112" s="32" t="s">
        <v>3557</v>
      </c>
      <c r="V112">
        <v>12.8</v>
      </c>
      <c r="W112" s="31">
        <f>MAX(0,NfsExports[[#This Row],[Prospective throughput]]-(NfsExports[[#This Row],[Configured Quota (GB)]]*0.064))</f>
        <v>6.4</v>
      </c>
    </row>
    <row r="113" spans="1:23" x14ac:dyDescent="0.35">
      <c r="A113" s="138" t="s">
        <v>3199</v>
      </c>
      <c r="B113" s="138" t="s">
        <v>3216</v>
      </c>
      <c r="C113" s="67" t="s">
        <v>3558</v>
      </c>
      <c r="D113" s="65" t="s">
        <v>3559</v>
      </c>
      <c r="E113" s="31" t="str">
        <f>SUBSTITUTE(NfsExports[[#This Row],[FMO Volume Name]],"_","-")</f>
        <v>vmpfbpf2ohb05-apps-pcehr</v>
      </c>
      <c r="F113" s="66" t="s">
        <v>3248</v>
      </c>
      <c r="G113" s="67">
        <v>30</v>
      </c>
      <c r="H113" s="31">
        <f>MAX(NfsExports[[#This Row],[Required Quota (GB)]],100)</f>
        <v>100</v>
      </c>
      <c r="I113">
        <v>12.8</v>
      </c>
      <c r="K113" s="66" t="s">
        <v>3249</v>
      </c>
      <c r="M11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10.98.72.70</v>
      </c>
      <c r="N113" t="str" cm="1">
        <f t="array" ref="N113">_xlfn.TEXTJOIN(",",TRUE,IF(NfsExports[[#This Row],[FMO Volume Name]]=NfsExportsVNets[FMO Volume Name],NfsExportsVNets[FMO Vnet Subnet],""))</f>
        <v/>
      </c>
      <c r="O113" t="str" cm="1">
        <f t="array" ref="O113">_xlfn.TEXTJOIN(",",TRUE,IF(NfsExports[[#This Row],[FMO Volume Name]]=NfsExportsSubnets[FMO Volume Name],NfsExportsSubnets[FMO Subnet CIDR],""))</f>
        <v/>
      </c>
      <c r="P113" t="str" cm="1">
        <f t="array" ref="P113">IFERROR(_xlfn.TEXTJOIN(",",TRUE,_xlfn._xlws.FILTER(NfsExportsServices[FMO VM Name Summary],NfsExports[[#This Row],[FMO Volume Name]]=NfsExportsServices[FMO Volume Name])),"")</f>
        <v/>
      </c>
      <c r="Q113" s="31" t="str">
        <f>_xlfn.TEXTJOIN(",",TRUE,NfsExports[[#This Row],[FMO Export Override]:[FMO Export Service IPs]])</f>
        <v>10.98.72.70</v>
      </c>
      <c r="R113" s="31" t="str">
        <f>NfsExports[[#This Row],[FMO Mount Path Estimated]]&amp;" "&amp;NfsExports[[#This Row],[Required Quota (GB)]]&amp;"GB"</f>
        <v>/apps/pcehr 30GB</v>
      </c>
      <c r="S113" s="31" t="s">
        <v>3349</v>
      </c>
      <c r="T113" s="31" t="s">
        <v>4723</v>
      </c>
      <c r="U113" s="32" t="s">
        <v>3560</v>
      </c>
      <c r="V113">
        <v>12.8</v>
      </c>
      <c r="W113" s="31">
        <f>MAX(0,NfsExports[[#This Row],[Prospective throughput]]-(NfsExports[[#This Row],[Configured Quota (GB)]]*0.064))</f>
        <v>6.4</v>
      </c>
    </row>
    <row r="114" spans="1:23" x14ac:dyDescent="0.35">
      <c r="A114" s="138" t="s">
        <v>3199</v>
      </c>
      <c r="B114" s="138" t="s">
        <v>3216</v>
      </c>
      <c r="C114" s="67" t="s">
        <v>3561</v>
      </c>
      <c r="D114" s="66" t="s">
        <v>3562</v>
      </c>
      <c r="E114" s="31" t="str">
        <f>SUBSTITUTE(NfsExports[[#This Row],[FMO Volume Name]],"_","-")</f>
        <v>vmpfbpf2ohb06-apps-pcehr</v>
      </c>
      <c r="F114" s="66" t="s">
        <v>3248</v>
      </c>
      <c r="G114" s="67">
        <v>30</v>
      </c>
      <c r="H114" s="31">
        <f>MAX(NfsExports[[#This Row],[Required Quota (GB)]],100)</f>
        <v>100</v>
      </c>
      <c r="I114">
        <v>12.8</v>
      </c>
      <c r="K114" s="66" t="s">
        <v>3249</v>
      </c>
      <c r="M11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10.98.72.71</v>
      </c>
      <c r="N114" t="str" cm="1">
        <f t="array" ref="N114">_xlfn.TEXTJOIN(",",TRUE,IF(NfsExports[[#This Row],[FMO Volume Name]]=NfsExportsVNets[FMO Volume Name],NfsExportsVNets[FMO Vnet Subnet],""))</f>
        <v/>
      </c>
      <c r="O114" t="str" cm="1">
        <f t="array" ref="O114">_xlfn.TEXTJOIN(",",TRUE,IF(NfsExports[[#This Row],[FMO Volume Name]]=NfsExportsSubnets[FMO Volume Name],NfsExportsSubnets[FMO Subnet CIDR],""))</f>
        <v/>
      </c>
      <c r="P114" t="str" cm="1">
        <f t="array" ref="P114">IFERROR(_xlfn.TEXTJOIN(",",TRUE,_xlfn._xlws.FILTER(NfsExportsServices[FMO VM Name Summary],NfsExports[[#This Row],[FMO Volume Name]]=NfsExportsServices[FMO Volume Name])),"")</f>
        <v/>
      </c>
      <c r="Q114" s="31" t="str">
        <f>_xlfn.TEXTJOIN(",",TRUE,NfsExports[[#This Row],[FMO Export Override]:[FMO Export Service IPs]])</f>
        <v>10.98.72.71</v>
      </c>
      <c r="R114" s="31" t="str">
        <f>NfsExports[[#This Row],[FMO Mount Path Estimated]]&amp;" "&amp;NfsExports[[#This Row],[Required Quota (GB)]]&amp;"GB"</f>
        <v>/apps/pcehr 30GB</v>
      </c>
      <c r="S114" s="31" t="s">
        <v>3349</v>
      </c>
      <c r="T114" s="31" t="s">
        <v>4723</v>
      </c>
      <c r="U114" s="32" t="s">
        <v>3563</v>
      </c>
      <c r="V114">
        <v>12.8</v>
      </c>
      <c r="W114" s="31">
        <f>MAX(0,NfsExports[[#This Row],[Prospective throughput]]-(NfsExports[[#This Row],[Configured Quota (GB)]]*0.064))</f>
        <v>6.4</v>
      </c>
    </row>
    <row r="115" spans="1:23" x14ac:dyDescent="0.35">
      <c r="A115" s="138" t="s">
        <v>3199</v>
      </c>
      <c r="B115" s="138" t="s">
        <v>3216</v>
      </c>
      <c r="C115" s="67" t="s">
        <v>3564</v>
      </c>
      <c r="D115" s="65" t="s">
        <v>3565</v>
      </c>
      <c r="E115" s="31" t="str">
        <f>SUBSTITUTE(NfsExports[[#This Row],[FMO Volume Name]],"_","-")</f>
        <v>vmpfbpf2ohc01-apps-pcehr</v>
      </c>
      <c r="F115" s="66" t="s">
        <v>3248</v>
      </c>
      <c r="G115" s="67">
        <v>30</v>
      </c>
      <c r="H115" s="31">
        <f>MAX(NfsExports[[#This Row],[Required Quota (GB)]],100)</f>
        <v>100</v>
      </c>
      <c r="I115">
        <v>12.8</v>
      </c>
      <c r="K115" s="66" t="s">
        <v>3249</v>
      </c>
      <c r="M11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10.98.72.72</v>
      </c>
      <c r="N115" t="str" cm="1">
        <f t="array" ref="N115">_xlfn.TEXTJOIN(",",TRUE,IF(NfsExports[[#This Row],[FMO Volume Name]]=NfsExportsVNets[FMO Volume Name],NfsExportsVNets[FMO Vnet Subnet],""))</f>
        <v/>
      </c>
      <c r="O115" t="str" cm="1">
        <f t="array" ref="O115">_xlfn.TEXTJOIN(",",TRUE,IF(NfsExports[[#This Row],[FMO Volume Name]]=NfsExportsSubnets[FMO Volume Name],NfsExportsSubnets[FMO Subnet CIDR],""))</f>
        <v/>
      </c>
      <c r="P115" t="str" cm="1">
        <f t="array" ref="P115">IFERROR(_xlfn.TEXTJOIN(",",TRUE,_xlfn._xlws.FILTER(NfsExportsServices[FMO VM Name Summary],NfsExports[[#This Row],[FMO Volume Name]]=NfsExportsServices[FMO Volume Name])),"")</f>
        <v/>
      </c>
      <c r="Q115" s="31" t="str">
        <f>_xlfn.TEXTJOIN(",",TRUE,NfsExports[[#This Row],[FMO Export Override]:[FMO Export Service IPs]])</f>
        <v>10.98.72.72</v>
      </c>
      <c r="R115" s="31" t="str">
        <f>NfsExports[[#This Row],[FMO Mount Path Estimated]]&amp;" "&amp;NfsExports[[#This Row],[Required Quota (GB)]]&amp;"GB"</f>
        <v>/apps/pcehr 30GB</v>
      </c>
      <c r="S115" s="31" t="s">
        <v>3250</v>
      </c>
      <c r="T115" s="31" t="s">
        <v>4723</v>
      </c>
      <c r="U115" s="32" t="s">
        <v>3566</v>
      </c>
      <c r="V115">
        <v>12.8</v>
      </c>
      <c r="W115" s="31">
        <f>MAX(0,NfsExports[[#This Row],[Prospective throughput]]-(NfsExports[[#This Row],[Configured Quota (GB)]]*0.064))</f>
        <v>6.4</v>
      </c>
    </row>
    <row r="116" spans="1:23" x14ac:dyDescent="0.35">
      <c r="A116" s="138" t="s">
        <v>3199</v>
      </c>
      <c r="B116" s="138" t="s">
        <v>3216</v>
      </c>
      <c r="C116" s="67" t="s">
        <v>3567</v>
      </c>
      <c r="D116" s="66" t="s">
        <v>3568</v>
      </c>
      <c r="E116" s="31" t="str">
        <f>SUBSTITUTE(NfsExports[[#This Row],[FMO Volume Name]],"_","-")</f>
        <v>vmpfbpf2ohc02-apps-pcehr</v>
      </c>
      <c r="F116" s="66" t="s">
        <v>3248</v>
      </c>
      <c r="G116" s="67">
        <v>30</v>
      </c>
      <c r="H116" s="31">
        <f>MAX(NfsExports[[#This Row],[Required Quota (GB)]],100)</f>
        <v>100</v>
      </c>
      <c r="I116">
        <v>12.8</v>
      </c>
      <c r="K116" s="66" t="s">
        <v>3249</v>
      </c>
      <c r="M11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10.98.72.73</v>
      </c>
      <c r="N116" t="str" cm="1">
        <f t="array" ref="N116">_xlfn.TEXTJOIN(",",TRUE,IF(NfsExports[[#This Row],[FMO Volume Name]]=NfsExportsVNets[FMO Volume Name],NfsExportsVNets[FMO Vnet Subnet],""))</f>
        <v/>
      </c>
      <c r="O116" t="str" cm="1">
        <f t="array" ref="O116">_xlfn.TEXTJOIN(",",TRUE,IF(NfsExports[[#This Row],[FMO Volume Name]]=NfsExportsSubnets[FMO Volume Name],NfsExportsSubnets[FMO Subnet CIDR],""))</f>
        <v/>
      </c>
      <c r="P116" t="str" cm="1">
        <f t="array" ref="P116">IFERROR(_xlfn.TEXTJOIN(",",TRUE,_xlfn._xlws.FILTER(NfsExportsServices[FMO VM Name Summary],NfsExports[[#This Row],[FMO Volume Name]]=NfsExportsServices[FMO Volume Name])),"")</f>
        <v/>
      </c>
      <c r="Q116" s="31" t="str">
        <f>_xlfn.TEXTJOIN(",",TRUE,NfsExports[[#This Row],[FMO Export Override]:[FMO Export Service IPs]])</f>
        <v>10.98.72.73</v>
      </c>
      <c r="R116" s="31" t="str">
        <f>NfsExports[[#This Row],[FMO Mount Path Estimated]]&amp;" "&amp;NfsExports[[#This Row],[Required Quota (GB)]]&amp;"GB"</f>
        <v>/apps/pcehr 30GB</v>
      </c>
      <c r="S116" s="31" t="s">
        <v>3250</v>
      </c>
      <c r="T116" s="31" t="s">
        <v>4723</v>
      </c>
      <c r="U116" s="32" t="s">
        <v>3569</v>
      </c>
      <c r="V116">
        <v>12.8</v>
      </c>
      <c r="W116" s="31">
        <f>MAX(0,NfsExports[[#This Row],[Prospective throughput]]-(NfsExports[[#This Row],[Configured Quota (GB)]]*0.064))</f>
        <v>6.4</v>
      </c>
    </row>
    <row r="117" spans="1:23" x14ac:dyDescent="0.35">
      <c r="A117" s="138" t="s">
        <v>3199</v>
      </c>
      <c r="B117" s="138" t="s">
        <v>3216</v>
      </c>
      <c r="C117" s="67" t="s">
        <v>3570</v>
      </c>
      <c r="D117" s="65" t="s">
        <v>3571</v>
      </c>
      <c r="E117" s="31" t="str">
        <f>SUBSTITUTE(NfsExports[[#This Row],[FMO Volume Name]],"_","-")</f>
        <v>vmpfbpf2ohc03-apps-pcehr</v>
      </c>
      <c r="F117" s="66" t="s">
        <v>3248</v>
      </c>
      <c r="G117" s="67">
        <v>30</v>
      </c>
      <c r="H117" s="31">
        <f>MAX(NfsExports[[#This Row],[Required Quota (GB)]],100)</f>
        <v>100</v>
      </c>
      <c r="I117">
        <v>12.8</v>
      </c>
      <c r="K117" s="66" t="s">
        <v>3249</v>
      </c>
      <c r="M11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10.98.72.74</v>
      </c>
      <c r="N117" t="str" cm="1">
        <f t="array" ref="N117">_xlfn.TEXTJOIN(",",TRUE,IF(NfsExports[[#This Row],[FMO Volume Name]]=NfsExportsVNets[FMO Volume Name],NfsExportsVNets[FMO Vnet Subnet],""))</f>
        <v/>
      </c>
      <c r="O117" t="str" cm="1">
        <f t="array" ref="O117">_xlfn.TEXTJOIN(",",TRUE,IF(NfsExports[[#This Row],[FMO Volume Name]]=NfsExportsSubnets[FMO Volume Name],NfsExportsSubnets[FMO Subnet CIDR],""))</f>
        <v/>
      </c>
      <c r="P117" t="str" cm="1">
        <f t="array" ref="P117">IFERROR(_xlfn.TEXTJOIN(",",TRUE,_xlfn._xlws.FILTER(NfsExportsServices[FMO VM Name Summary],NfsExports[[#This Row],[FMO Volume Name]]=NfsExportsServices[FMO Volume Name])),"")</f>
        <v/>
      </c>
      <c r="Q117" s="31" t="str">
        <f>_xlfn.TEXTJOIN(",",TRUE,NfsExports[[#This Row],[FMO Export Override]:[FMO Export Service IPs]])</f>
        <v>10.98.72.74</v>
      </c>
      <c r="R117" s="31" t="str">
        <f>NfsExports[[#This Row],[FMO Mount Path Estimated]]&amp;" "&amp;NfsExports[[#This Row],[Required Quota (GB)]]&amp;"GB"</f>
        <v>/apps/pcehr 30GB</v>
      </c>
      <c r="S117" s="31" t="s">
        <v>3250</v>
      </c>
      <c r="T117" s="31" t="s">
        <v>4723</v>
      </c>
      <c r="U117" s="32" t="s">
        <v>3572</v>
      </c>
      <c r="V117">
        <v>12.8</v>
      </c>
      <c r="W117" s="31">
        <f>MAX(0,NfsExports[[#This Row],[Prospective throughput]]-(NfsExports[[#This Row],[Configured Quota (GB)]]*0.064))</f>
        <v>6.4</v>
      </c>
    </row>
    <row r="118" spans="1:23" x14ac:dyDescent="0.35">
      <c r="A118" s="138" t="s">
        <v>3199</v>
      </c>
      <c r="B118" s="138" t="s">
        <v>3216</v>
      </c>
      <c r="C118" s="67" t="s">
        <v>3573</v>
      </c>
      <c r="D118" s="66" t="s">
        <v>3574</v>
      </c>
      <c r="E118" s="31" t="str">
        <f>SUBSTITUTE(NfsExports[[#This Row],[FMO Volume Name]],"_","-")</f>
        <v>vmpfbpf2ohc04-apps-pcehr</v>
      </c>
      <c r="F118" s="66" t="s">
        <v>3248</v>
      </c>
      <c r="G118" s="67">
        <v>30</v>
      </c>
      <c r="H118" s="31">
        <f>MAX(NfsExports[[#This Row],[Required Quota (GB)]],100)</f>
        <v>100</v>
      </c>
      <c r="I118">
        <v>12.8</v>
      </c>
      <c r="K118" s="66" t="s">
        <v>3249</v>
      </c>
      <c r="M11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10.98.72.75</v>
      </c>
      <c r="N118" t="str" cm="1">
        <f t="array" ref="N118">_xlfn.TEXTJOIN(",",TRUE,IF(NfsExports[[#This Row],[FMO Volume Name]]=NfsExportsVNets[FMO Volume Name],NfsExportsVNets[FMO Vnet Subnet],""))</f>
        <v/>
      </c>
      <c r="O118" t="str" cm="1">
        <f t="array" ref="O118">_xlfn.TEXTJOIN(",",TRUE,IF(NfsExports[[#This Row],[FMO Volume Name]]=NfsExportsSubnets[FMO Volume Name],NfsExportsSubnets[FMO Subnet CIDR],""))</f>
        <v/>
      </c>
      <c r="P118" t="str" cm="1">
        <f t="array" ref="P118">IFERROR(_xlfn.TEXTJOIN(",",TRUE,_xlfn._xlws.FILTER(NfsExportsServices[FMO VM Name Summary],NfsExports[[#This Row],[FMO Volume Name]]=NfsExportsServices[FMO Volume Name])),"")</f>
        <v/>
      </c>
      <c r="Q118" s="31" t="str">
        <f>_xlfn.TEXTJOIN(",",TRUE,NfsExports[[#This Row],[FMO Export Override]:[FMO Export Service IPs]])</f>
        <v>10.98.72.75</v>
      </c>
      <c r="R118" s="31" t="str">
        <f>NfsExports[[#This Row],[FMO Mount Path Estimated]]&amp;" "&amp;NfsExports[[#This Row],[Required Quota (GB)]]&amp;"GB"</f>
        <v>/apps/pcehr 30GB</v>
      </c>
      <c r="S118" s="31" t="s">
        <v>3250</v>
      </c>
      <c r="T118" s="31" t="s">
        <v>4723</v>
      </c>
      <c r="U118" s="32" t="s">
        <v>3575</v>
      </c>
      <c r="V118">
        <v>12.8</v>
      </c>
      <c r="W118" s="31">
        <f>MAX(0,NfsExports[[#This Row],[Prospective throughput]]-(NfsExports[[#This Row],[Configured Quota (GB)]]*0.064))</f>
        <v>6.4</v>
      </c>
    </row>
    <row r="119" spans="1:23" x14ac:dyDescent="0.35">
      <c r="A119" s="138" t="s">
        <v>3199</v>
      </c>
      <c r="B119" s="138" t="s">
        <v>3216</v>
      </c>
      <c r="C119" s="67" t="s">
        <v>3576</v>
      </c>
      <c r="D119" s="65" t="s">
        <v>3577</v>
      </c>
      <c r="E119" s="31" t="str">
        <f>SUBSTITUTE(NfsExports[[#This Row],[FMO Volume Name]],"_","-")</f>
        <v>vmpfbpf2ohc05-apps-pcehr</v>
      </c>
      <c r="F119" s="66" t="s">
        <v>3248</v>
      </c>
      <c r="G119" s="67">
        <v>30</v>
      </c>
      <c r="H119" s="31">
        <f>MAX(NfsExports[[#This Row],[Required Quota (GB)]],100)</f>
        <v>100</v>
      </c>
      <c r="I119">
        <v>12.8</v>
      </c>
      <c r="K119" s="66" t="s">
        <v>3249</v>
      </c>
      <c r="M11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10.98.72.76</v>
      </c>
      <c r="N119" t="str" cm="1">
        <f t="array" ref="N119">_xlfn.TEXTJOIN(",",TRUE,IF(NfsExports[[#This Row],[FMO Volume Name]]=NfsExportsVNets[FMO Volume Name],NfsExportsVNets[FMO Vnet Subnet],""))</f>
        <v/>
      </c>
      <c r="O119" t="str" cm="1">
        <f t="array" ref="O119">_xlfn.TEXTJOIN(",",TRUE,IF(NfsExports[[#This Row],[FMO Volume Name]]=NfsExportsSubnets[FMO Volume Name],NfsExportsSubnets[FMO Subnet CIDR],""))</f>
        <v/>
      </c>
      <c r="P119" t="str" cm="1">
        <f t="array" ref="P119">IFERROR(_xlfn.TEXTJOIN(",",TRUE,_xlfn._xlws.FILTER(NfsExportsServices[FMO VM Name Summary],NfsExports[[#This Row],[FMO Volume Name]]=NfsExportsServices[FMO Volume Name])),"")</f>
        <v/>
      </c>
      <c r="Q119" s="31" t="str">
        <f>_xlfn.TEXTJOIN(",",TRUE,NfsExports[[#This Row],[FMO Export Override]:[FMO Export Service IPs]])</f>
        <v>10.98.72.76</v>
      </c>
      <c r="R119" s="31" t="str">
        <f>NfsExports[[#This Row],[FMO Mount Path Estimated]]&amp;" "&amp;NfsExports[[#This Row],[Required Quota (GB)]]&amp;"GB"</f>
        <v>/apps/pcehr 30GB</v>
      </c>
      <c r="S119" s="31" t="s">
        <v>3250</v>
      </c>
      <c r="T119" s="31" t="s">
        <v>4723</v>
      </c>
      <c r="U119" s="32" t="s">
        <v>3578</v>
      </c>
      <c r="V119">
        <v>12.8</v>
      </c>
      <c r="W119" s="31">
        <f>MAX(0,NfsExports[[#This Row],[Prospective throughput]]-(NfsExports[[#This Row],[Configured Quota (GB)]]*0.064))</f>
        <v>6.4</v>
      </c>
    </row>
    <row r="120" spans="1:23" x14ac:dyDescent="0.35">
      <c r="A120" s="138" t="s">
        <v>3199</v>
      </c>
      <c r="B120" s="138" t="s">
        <v>3216</v>
      </c>
      <c r="C120" s="67" t="s">
        <v>3579</v>
      </c>
      <c r="D120" s="66" t="s">
        <v>3580</v>
      </c>
      <c r="E120" s="31" t="str">
        <f>SUBSTITUTE(NfsExports[[#This Row],[FMO Volume Name]],"_","-")</f>
        <v>vmpfbpf2ohc06-apps-pcehr</v>
      </c>
      <c r="F120" s="66" t="s">
        <v>3248</v>
      </c>
      <c r="G120" s="67">
        <v>30</v>
      </c>
      <c r="H120" s="31">
        <f>MAX(NfsExports[[#This Row],[Required Quota (GB)]],100)</f>
        <v>100</v>
      </c>
      <c r="I120">
        <v>12.8</v>
      </c>
      <c r="K120" s="66" t="s">
        <v>3249</v>
      </c>
      <c r="M12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10.98.72.77</v>
      </c>
      <c r="N120" t="str" cm="1">
        <f t="array" ref="N120">_xlfn.TEXTJOIN(",",TRUE,IF(NfsExports[[#This Row],[FMO Volume Name]]=NfsExportsVNets[FMO Volume Name],NfsExportsVNets[FMO Vnet Subnet],""))</f>
        <v/>
      </c>
      <c r="O120" t="str" cm="1">
        <f t="array" ref="O120">_xlfn.TEXTJOIN(",",TRUE,IF(NfsExports[[#This Row],[FMO Volume Name]]=NfsExportsSubnets[FMO Volume Name],NfsExportsSubnets[FMO Subnet CIDR],""))</f>
        <v/>
      </c>
      <c r="P120" t="str" cm="1">
        <f t="array" ref="P120">IFERROR(_xlfn.TEXTJOIN(",",TRUE,_xlfn._xlws.FILTER(NfsExportsServices[FMO VM Name Summary],NfsExports[[#This Row],[FMO Volume Name]]=NfsExportsServices[FMO Volume Name])),"")</f>
        <v/>
      </c>
      <c r="Q120" s="31" t="str">
        <f>_xlfn.TEXTJOIN(",",TRUE,NfsExports[[#This Row],[FMO Export Override]:[FMO Export Service IPs]])</f>
        <v>10.98.72.77</v>
      </c>
      <c r="R120" s="31" t="str">
        <f>NfsExports[[#This Row],[FMO Mount Path Estimated]]&amp;" "&amp;NfsExports[[#This Row],[Required Quota (GB)]]&amp;"GB"</f>
        <v>/apps/pcehr 30GB</v>
      </c>
      <c r="S120" s="31" t="s">
        <v>3250</v>
      </c>
      <c r="T120" s="31" t="s">
        <v>4723</v>
      </c>
      <c r="U120" s="32" t="s">
        <v>3581</v>
      </c>
      <c r="V120">
        <v>12.8</v>
      </c>
      <c r="W120" s="31">
        <f>MAX(0,NfsExports[[#This Row],[Prospective throughput]]-(NfsExports[[#This Row],[Configured Quota (GB)]]*0.064))</f>
        <v>6.4</v>
      </c>
    </row>
    <row r="121" spans="1:23" x14ac:dyDescent="0.35">
      <c r="A121" s="138" t="s">
        <v>3199</v>
      </c>
      <c r="B121" s="138" t="s">
        <v>3216</v>
      </c>
      <c r="C121" s="67" t="s">
        <v>3582</v>
      </c>
      <c r="D121" s="65" t="s">
        <v>3583</v>
      </c>
      <c r="E121" s="31" t="str">
        <f>SUBSTITUTE(NfsExports[[#This Row],[FMO Volume Name]],"_","-")</f>
        <v>vmpfbpf2ohc07-apps-pcehr</v>
      </c>
      <c r="F121" s="66" t="s">
        <v>3248</v>
      </c>
      <c r="G121" s="67">
        <v>30</v>
      </c>
      <c r="H121" s="31">
        <f>MAX(NfsExports[[#This Row],[Required Quota (GB)]],100)</f>
        <v>100</v>
      </c>
      <c r="I121">
        <v>12.8</v>
      </c>
      <c r="K121" s="66" t="s">
        <v>3249</v>
      </c>
      <c r="M12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10.98.72.78</v>
      </c>
      <c r="N121" t="str" cm="1">
        <f t="array" ref="N121">_xlfn.TEXTJOIN(",",TRUE,IF(NfsExports[[#This Row],[FMO Volume Name]]=NfsExportsVNets[FMO Volume Name],NfsExportsVNets[FMO Vnet Subnet],""))</f>
        <v/>
      </c>
      <c r="O121" t="str" cm="1">
        <f t="array" ref="O121">_xlfn.TEXTJOIN(",",TRUE,IF(NfsExports[[#This Row],[FMO Volume Name]]=NfsExportsSubnets[FMO Volume Name],NfsExportsSubnets[FMO Subnet CIDR],""))</f>
        <v/>
      </c>
      <c r="P121" t="str" cm="1">
        <f t="array" ref="P121">IFERROR(_xlfn.TEXTJOIN(",",TRUE,_xlfn._xlws.FILTER(NfsExportsServices[FMO VM Name Summary],NfsExports[[#This Row],[FMO Volume Name]]=NfsExportsServices[FMO Volume Name])),"")</f>
        <v/>
      </c>
      <c r="Q121" s="31" t="str">
        <f>_xlfn.TEXTJOIN(",",TRUE,NfsExports[[#This Row],[FMO Export Override]:[FMO Export Service IPs]])</f>
        <v>10.98.72.78</v>
      </c>
      <c r="R121" s="31" t="str">
        <f>NfsExports[[#This Row],[FMO Mount Path Estimated]]&amp;" "&amp;NfsExports[[#This Row],[Required Quota (GB)]]&amp;"GB"</f>
        <v>/apps/pcehr 30GB</v>
      </c>
      <c r="S121" s="31" t="s">
        <v>3250</v>
      </c>
      <c r="T121" s="31" t="s">
        <v>4723</v>
      </c>
      <c r="U121" s="32" t="s">
        <v>3584</v>
      </c>
      <c r="V121">
        <v>12.8</v>
      </c>
      <c r="W121" s="31">
        <f>MAX(0,NfsExports[[#This Row],[Prospective throughput]]-(NfsExports[[#This Row],[Configured Quota (GB)]]*0.064))</f>
        <v>6.4</v>
      </c>
    </row>
    <row r="122" spans="1:23" x14ac:dyDescent="0.35">
      <c r="A122" s="138" t="s">
        <v>3199</v>
      </c>
      <c r="B122" s="138" t="s">
        <v>3216</v>
      </c>
      <c r="C122" s="67" t="s">
        <v>3585</v>
      </c>
      <c r="D122" s="66" t="s">
        <v>3586</v>
      </c>
      <c r="E122" s="31" t="str">
        <f>SUBSTITUTE(NfsExports[[#This Row],[FMO Volume Name]],"_","-")</f>
        <v>vmpfbpf2ohc08-apps-pcehr</v>
      </c>
      <c r="F122" s="66" t="s">
        <v>3248</v>
      </c>
      <c r="G122" s="67">
        <v>30</v>
      </c>
      <c r="H122" s="31">
        <f>MAX(NfsExports[[#This Row],[Required Quota (GB)]],100)</f>
        <v>100</v>
      </c>
      <c r="I122">
        <v>12.8</v>
      </c>
      <c r="K122" s="66" t="s">
        <v>3249</v>
      </c>
      <c r="M12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10.98.72.79</v>
      </c>
      <c r="N122" t="str" cm="1">
        <f t="array" ref="N122">_xlfn.TEXTJOIN(",",TRUE,IF(NfsExports[[#This Row],[FMO Volume Name]]=NfsExportsVNets[FMO Volume Name],NfsExportsVNets[FMO Vnet Subnet],""))</f>
        <v/>
      </c>
      <c r="O122" t="str" cm="1">
        <f t="array" ref="O122">_xlfn.TEXTJOIN(",",TRUE,IF(NfsExports[[#This Row],[FMO Volume Name]]=NfsExportsSubnets[FMO Volume Name],NfsExportsSubnets[FMO Subnet CIDR],""))</f>
        <v/>
      </c>
      <c r="P122" t="str" cm="1">
        <f t="array" ref="P122">IFERROR(_xlfn.TEXTJOIN(",",TRUE,_xlfn._xlws.FILTER(NfsExportsServices[FMO VM Name Summary],NfsExports[[#This Row],[FMO Volume Name]]=NfsExportsServices[FMO Volume Name])),"")</f>
        <v/>
      </c>
      <c r="Q122" s="31" t="str">
        <f>_xlfn.TEXTJOIN(",",TRUE,NfsExports[[#This Row],[FMO Export Override]:[FMO Export Service IPs]])</f>
        <v>10.98.72.79</v>
      </c>
      <c r="R122" s="31" t="str">
        <f>NfsExports[[#This Row],[FMO Mount Path Estimated]]&amp;" "&amp;NfsExports[[#This Row],[Required Quota (GB)]]&amp;"GB"</f>
        <v>/apps/pcehr 30GB</v>
      </c>
      <c r="S122" s="31" t="s">
        <v>3250</v>
      </c>
      <c r="T122" s="31" t="s">
        <v>4723</v>
      </c>
      <c r="U122" s="32" t="s">
        <v>3587</v>
      </c>
      <c r="V122">
        <v>12.8</v>
      </c>
      <c r="W122" s="31">
        <f>MAX(0,NfsExports[[#This Row],[Prospective throughput]]-(NfsExports[[#This Row],[Configured Quota (GB)]]*0.064))</f>
        <v>6.4</v>
      </c>
    </row>
    <row r="123" spans="1:23" x14ac:dyDescent="0.35">
      <c r="A123" s="138" t="s">
        <v>3199</v>
      </c>
      <c r="B123" s="138" t="s">
        <v>3216</v>
      </c>
      <c r="C123" s="67" t="s">
        <v>3588</v>
      </c>
      <c r="D123" s="65" t="s">
        <v>3589</v>
      </c>
      <c r="E123" s="31" t="str">
        <f>SUBSTITUTE(NfsExports[[#This Row],[FMO Volume Name]],"_","-")</f>
        <v>vmpfbpf2ohm01-apps-pcehr</v>
      </c>
      <c r="F123" s="66" t="s">
        <v>3248</v>
      </c>
      <c r="G123" s="67">
        <v>30</v>
      </c>
      <c r="H123" s="31">
        <f>MAX(NfsExports[[#This Row],[Required Quota (GB)]],100)</f>
        <v>100</v>
      </c>
      <c r="I123">
        <v>12.8</v>
      </c>
      <c r="K123" s="66" t="s">
        <v>3249</v>
      </c>
      <c r="M12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10.98.72.80</v>
      </c>
      <c r="N123" t="str" cm="1">
        <f t="array" ref="N123">_xlfn.TEXTJOIN(",",TRUE,IF(NfsExports[[#This Row],[FMO Volume Name]]=NfsExportsVNets[FMO Volume Name],NfsExportsVNets[FMO Vnet Subnet],""))</f>
        <v/>
      </c>
      <c r="O123" t="str" cm="1">
        <f t="array" ref="O123">_xlfn.TEXTJOIN(",",TRUE,IF(NfsExports[[#This Row],[FMO Volume Name]]=NfsExportsSubnets[FMO Volume Name],NfsExportsSubnets[FMO Subnet CIDR],""))</f>
        <v/>
      </c>
      <c r="P123" t="str" cm="1">
        <f t="array" ref="P123">IFERROR(_xlfn.TEXTJOIN(",",TRUE,_xlfn._xlws.FILTER(NfsExportsServices[FMO VM Name Summary],NfsExports[[#This Row],[FMO Volume Name]]=NfsExportsServices[FMO Volume Name])),"")</f>
        <v/>
      </c>
      <c r="Q123" s="31" t="str">
        <f>_xlfn.TEXTJOIN(",",TRUE,NfsExports[[#This Row],[FMO Export Override]:[FMO Export Service IPs]])</f>
        <v>10.98.72.80</v>
      </c>
      <c r="R123" s="31" t="str">
        <f>NfsExports[[#This Row],[FMO Mount Path Estimated]]&amp;" "&amp;NfsExports[[#This Row],[Required Quota (GB)]]&amp;"GB"</f>
        <v>/apps/pcehr 30GB</v>
      </c>
      <c r="S123" s="31" t="s">
        <v>3250</v>
      </c>
      <c r="T123" s="31" t="s">
        <v>4723</v>
      </c>
      <c r="U123" s="32" t="s">
        <v>3590</v>
      </c>
      <c r="V123">
        <v>12.8</v>
      </c>
      <c r="W123" s="31">
        <f>MAX(0,NfsExports[[#This Row],[Prospective throughput]]-(NfsExports[[#This Row],[Configured Quota (GB)]]*0.064))</f>
        <v>6.4</v>
      </c>
    </row>
    <row r="124" spans="1:23" x14ac:dyDescent="0.35">
      <c r="A124" s="138" t="s">
        <v>3199</v>
      </c>
      <c r="B124" s="138" t="s">
        <v>3216</v>
      </c>
      <c r="C124" s="67" t="s">
        <v>3591</v>
      </c>
      <c r="D124" s="66" t="s">
        <v>3592</v>
      </c>
      <c r="E124" s="31" t="str">
        <f>SUBSTITUTE(NfsExports[[#This Row],[FMO Volume Name]],"_","-")</f>
        <v>vmpfbpf2ohm02-apps-pcehr</v>
      </c>
      <c r="F124" s="66" t="s">
        <v>3248</v>
      </c>
      <c r="G124" s="67">
        <v>30</v>
      </c>
      <c r="H124" s="31">
        <f>MAX(NfsExports[[#This Row],[Required Quota (GB)]],100)</f>
        <v>100</v>
      </c>
      <c r="I124">
        <v>12.8</v>
      </c>
      <c r="K124" s="66" t="s">
        <v>3249</v>
      </c>
      <c r="M12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10.98.72.81</v>
      </c>
      <c r="N124" t="str" cm="1">
        <f t="array" ref="N124">_xlfn.TEXTJOIN(",",TRUE,IF(NfsExports[[#This Row],[FMO Volume Name]]=NfsExportsVNets[FMO Volume Name],NfsExportsVNets[FMO Vnet Subnet],""))</f>
        <v/>
      </c>
      <c r="O124" t="str" cm="1">
        <f t="array" ref="O124">_xlfn.TEXTJOIN(",",TRUE,IF(NfsExports[[#This Row],[FMO Volume Name]]=NfsExportsSubnets[FMO Volume Name],NfsExportsSubnets[FMO Subnet CIDR],""))</f>
        <v/>
      </c>
      <c r="P124" t="str" cm="1">
        <f t="array" ref="P124">IFERROR(_xlfn.TEXTJOIN(",",TRUE,_xlfn._xlws.FILTER(NfsExportsServices[FMO VM Name Summary],NfsExports[[#This Row],[FMO Volume Name]]=NfsExportsServices[FMO Volume Name])),"")</f>
        <v/>
      </c>
      <c r="Q124" s="31" t="str">
        <f>_xlfn.TEXTJOIN(",",TRUE,NfsExports[[#This Row],[FMO Export Override]:[FMO Export Service IPs]])</f>
        <v>10.98.72.81</v>
      </c>
      <c r="R124" s="31" t="str">
        <f>NfsExports[[#This Row],[FMO Mount Path Estimated]]&amp;" "&amp;NfsExports[[#This Row],[Required Quota (GB)]]&amp;"GB"</f>
        <v>/apps/pcehr 30GB</v>
      </c>
      <c r="S124" s="31" t="s">
        <v>3250</v>
      </c>
      <c r="T124" s="31" t="s">
        <v>4723</v>
      </c>
      <c r="U124" s="32" t="s">
        <v>3593</v>
      </c>
      <c r="V124">
        <v>12.8</v>
      </c>
      <c r="W124" s="31">
        <f>MAX(0,NfsExports[[#This Row],[Prospective throughput]]-(NfsExports[[#This Row],[Configured Quota (GB)]]*0.064))</f>
        <v>6.4</v>
      </c>
    </row>
    <row r="125" spans="1:23" x14ac:dyDescent="0.35">
      <c r="A125" s="138" t="s">
        <v>3199</v>
      </c>
      <c r="B125" s="138" t="s">
        <v>3216</v>
      </c>
      <c r="C125" s="67" t="s">
        <v>3594</v>
      </c>
      <c r="D125" s="65" t="s">
        <v>3595</v>
      </c>
      <c r="E125" s="31" t="str">
        <f>SUBSTITUTE(NfsExports[[#This Row],[FMO Volume Name]],"_","-")</f>
        <v>vmpfbpf2ohm03-apps-pcehr</v>
      </c>
      <c r="F125" s="66" t="s">
        <v>3248</v>
      </c>
      <c r="G125" s="67">
        <v>30</v>
      </c>
      <c r="H125" s="31">
        <f>MAX(NfsExports[[#This Row],[Required Quota (GB)]],100)</f>
        <v>100</v>
      </c>
      <c r="I125">
        <v>12.8</v>
      </c>
      <c r="K125" s="66" t="s">
        <v>3249</v>
      </c>
      <c r="M12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10.98.72.82</v>
      </c>
      <c r="N125" t="str" cm="1">
        <f t="array" ref="N125">_xlfn.TEXTJOIN(",",TRUE,IF(NfsExports[[#This Row],[FMO Volume Name]]=NfsExportsVNets[FMO Volume Name],NfsExportsVNets[FMO Vnet Subnet],""))</f>
        <v/>
      </c>
      <c r="O125" t="str" cm="1">
        <f t="array" ref="O125">_xlfn.TEXTJOIN(",",TRUE,IF(NfsExports[[#This Row],[FMO Volume Name]]=NfsExportsSubnets[FMO Volume Name],NfsExportsSubnets[FMO Subnet CIDR],""))</f>
        <v/>
      </c>
      <c r="P125" t="str" cm="1">
        <f t="array" ref="P125">IFERROR(_xlfn.TEXTJOIN(",",TRUE,_xlfn._xlws.FILTER(NfsExportsServices[FMO VM Name Summary],NfsExports[[#This Row],[FMO Volume Name]]=NfsExportsServices[FMO Volume Name])),"")</f>
        <v/>
      </c>
      <c r="Q125" s="31" t="str">
        <f>_xlfn.TEXTJOIN(",",TRUE,NfsExports[[#This Row],[FMO Export Override]:[FMO Export Service IPs]])</f>
        <v>10.98.72.82</v>
      </c>
      <c r="R125" s="31" t="str">
        <f>NfsExports[[#This Row],[FMO Mount Path Estimated]]&amp;" "&amp;NfsExports[[#This Row],[Required Quota (GB)]]&amp;"GB"</f>
        <v>/apps/pcehr 30GB</v>
      </c>
      <c r="S125" s="31" t="s">
        <v>3250</v>
      </c>
      <c r="T125" s="31" t="s">
        <v>4723</v>
      </c>
      <c r="U125" s="32" t="s">
        <v>3596</v>
      </c>
      <c r="V125">
        <v>12.8</v>
      </c>
      <c r="W125" s="31">
        <f>MAX(0,NfsExports[[#This Row],[Prospective throughput]]-(NfsExports[[#This Row],[Configured Quota (GB)]]*0.064))</f>
        <v>6.4</v>
      </c>
    </row>
    <row r="126" spans="1:23" x14ac:dyDescent="0.35">
      <c r="A126" s="138" t="s">
        <v>3199</v>
      </c>
      <c r="B126" s="138" t="s">
        <v>3216</v>
      </c>
      <c r="C126" s="67" t="s">
        <v>3597</v>
      </c>
      <c r="D126" s="66" t="s">
        <v>3598</v>
      </c>
      <c r="E126" s="31" t="str">
        <f>SUBSTITUTE(NfsExports[[#This Row],[FMO Volume Name]],"_","-")</f>
        <v>vmpfbpf2ohm04-apps-pcehr</v>
      </c>
      <c r="F126" s="66" t="s">
        <v>3248</v>
      </c>
      <c r="G126" s="67">
        <v>30</v>
      </c>
      <c r="H126" s="31">
        <f>MAX(NfsExports[[#This Row],[Required Quota (GB)]],100)</f>
        <v>100</v>
      </c>
      <c r="I126">
        <v>12.8</v>
      </c>
      <c r="K126" s="66" t="s">
        <v>3249</v>
      </c>
      <c r="M12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10.98.72.83</v>
      </c>
      <c r="N126" t="str" cm="1">
        <f t="array" ref="N126">_xlfn.TEXTJOIN(",",TRUE,IF(NfsExports[[#This Row],[FMO Volume Name]]=NfsExportsVNets[FMO Volume Name],NfsExportsVNets[FMO Vnet Subnet],""))</f>
        <v/>
      </c>
      <c r="O126" t="str" cm="1">
        <f t="array" ref="O126">_xlfn.TEXTJOIN(",",TRUE,IF(NfsExports[[#This Row],[FMO Volume Name]]=NfsExportsSubnets[FMO Volume Name],NfsExportsSubnets[FMO Subnet CIDR],""))</f>
        <v/>
      </c>
      <c r="P126" t="str" cm="1">
        <f t="array" ref="P126">IFERROR(_xlfn.TEXTJOIN(",",TRUE,_xlfn._xlws.FILTER(NfsExportsServices[FMO VM Name Summary],NfsExports[[#This Row],[FMO Volume Name]]=NfsExportsServices[FMO Volume Name])),"")</f>
        <v/>
      </c>
      <c r="Q126" s="31" t="str">
        <f>_xlfn.TEXTJOIN(",",TRUE,NfsExports[[#This Row],[FMO Export Override]:[FMO Export Service IPs]])</f>
        <v>10.98.72.83</v>
      </c>
      <c r="R126" s="31" t="str">
        <f>NfsExports[[#This Row],[FMO Mount Path Estimated]]&amp;" "&amp;NfsExports[[#This Row],[Required Quota (GB)]]&amp;"GB"</f>
        <v>/apps/pcehr 30GB</v>
      </c>
      <c r="S126" s="31" t="s">
        <v>3250</v>
      </c>
      <c r="T126" s="31" t="s">
        <v>4723</v>
      </c>
      <c r="U126" s="32" t="s">
        <v>3599</v>
      </c>
      <c r="V126">
        <v>12.8</v>
      </c>
      <c r="W126" s="31">
        <f>MAX(0,NfsExports[[#This Row],[Prospective throughput]]-(NfsExports[[#This Row],[Configured Quota (GB)]]*0.064))</f>
        <v>6.4</v>
      </c>
    </row>
    <row r="127" spans="1:23" x14ac:dyDescent="0.35">
      <c r="A127" s="138" t="s">
        <v>3199</v>
      </c>
      <c r="B127" s="138" t="s">
        <v>3216</v>
      </c>
      <c r="C127" s="67" t="s">
        <v>3600</v>
      </c>
      <c r="D127" s="65" t="s">
        <v>3601</v>
      </c>
      <c r="E127" s="31" t="str">
        <f>SUBSTITUTE(NfsExports[[#This Row],[FMO Volume Name]],"_","-")</f>
        <v>vmpfbpf2oid01-apps-pcehr</v>
      </c>
      <c r="F127" s="66" t="s">
        <v>3248</v>
      </c>
      <c r="G127" s="67">
        <v>30</v>
      </c>
      <c r="H127" s="31">
        <f>MAX(NfsExports[[#This Row],[Required Quota (GB)]],100)</f>
        <v>100</v>
      </c>
      <c r="I127">
        <v>12.8</v>
      </c>
      <c r="K127" s="66" t="s">
        <v>3249</v>
      </c>
      <c r="M12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10.98.73.124</v>
      </c>
      <c r="N127" t="str" cm="1">
        <f t="array" ref="N127">_xlfn.TEXTJOIN(",",TRUE,IF(NfsExports[[#This Row],[FMO Volume Name]]=NfsExportsVNets[FMO Volume Name],NfsExportsVNets[FMO Vnet Subnet],""))</f>
        <v/>
      </c>
      <c r="O127" t="str" cm="1">
        <f t="array" ref="O127">_xlfn.TEXTJOIN(",",TRUE,IF(NfsExports[[#This Row],[FMO Volume Name]]=NfsExportsSubnets[FMO Volume Name],NfsExportsSubnets[FMO Subnet CIDR],""))</f>
        <v/>
      </c>
      <c r="P127" t="str" cm="1">
        <f t="array" ref="P127">IFERROR(_xlfn.TEXTJOIN(",",TRUE,_xlfn._xlws.FILTER(NfsExportsServices[FMO VM Name Summary],NfsExports[[#This Row],[FMO Volume Name]]=NfsExportsServices[FMO Volume Name])),"")</f>
        <v/>
      </c>
      <c r="Q127" s="31" t="str">
        <f>_xlfn.TEXTJOIN(",",TRUE,NfsExports[[#This Row],[FMO Export Override]:[FMO Export Service IPs]])</f>
        <v>10.98.73.124</v>
      </c>
      <c r="R127" s="31" t="str">
        <f>NfsExports[[#This Row],[FMO Mount Path Estimated]]&amp;" "&amp;NfsExports[[#This Row],[Required Quota (GB)]]&amp;"GB"</f>
        <v>/apps/pcehr 30GB</v>
      </c>
      <c r="S127" s="31" t="s">
        <v>3514</v>
      </c>
      <c r="T127" s="31" t="s">
        <v>4723</v>
      </c>
      <c r="U127" s="32" t="s">
        <v>3602</v>
      </c>
      <c r="V127">
        <v>12.8</v>
      </c>
      <c r="W127" s="31">
        <f>MAX(0,NfsExports[[#This Row],[Prospective throughput]]-(NfsExports[[#This Row],[Configured Quota (GB)]]*0.064))</f>
        <v>6.4</v>
      </c>
    </row>
    <row r="128" spans="1:23" x14ac:dyDescent="0.35">
      <c r="A128" s="138" t="s">
        <v>3199</v>
      </c>
      <c r="B128" s="138" t="s">
        <v>3216</v>
      </c>
      <c r="C128" s="67" t="s">
        <v>3603</v>
      </c>
      <c r="D128" s="66" t="s">
        <v>3604</v>
      </c>
      <c r="E128" s="31" t="str">
        <f>SUBSTITUTE(NfsExports[[#This Row],[FMO Volume Name]],"_","-")</f>
        <v>vmpfbpf2oid02-apps-pcehr</v>
      </c>
      <c r="F128" s="66" t="s">
        <v>3248</v>
      </c>
      <c r="G128" s="67">
        <v>30</v>
      </c>
      <c r="H128" s="31">
        <f>MAX(NfsExports[[#This Row],[Required Quota (GB)]],100)</f>
        <v>100</v>
      </c>
      <c r="I128">
        <v>12.8</v>
      </c>
      <c r="K128" s="66" t="s">
        <v>3249</v>
      </c>
      <c r="M12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10.98.73.125</v>
      </c>
      <c r="N128" t="str" cm="1">
        <f t="array" ref="N128">_xlfn.TEXTJOIN(",",TRUE,IF(NfsExports[[#This Row],[FMO Volume Name]]=NfsExportsVNets[FMO Volume Name],NfsExportsVNets[FMO Vnet Subnet],""))</f>
        <v/>
      </c>
      <c r="O128" t="str" cm="1">
        <f t="array" ref="O128">_xlfn.TEXTJOIN(",",TRUE,IF(NfsExports[[#This Row],[FMO Volume Name]]=NfsExportsSubnets[FMO Volume Name],NfsExportsSubnets[FMO Subnet CIDR],""))</f>
        <v/>
      </c>
      <c r="P128" t="str" cm="1">
        <f t="array" ref="P128">IFERROR(_xlfn.TEXTJOIN(",",TRUE,_xlfn._xlws.FILTER(NfsExportsServices[FMO VM Name Summary],NfsExports[[#This Row],[FMO Volume Name]]=NfsExportsServices[FMO Volume Name])),"")</f>
        <v/>
      </c>
      <c r="Q128" s="31" t="str">
        <f>_xlfn.TEXTJOIN(",",TRUE,NfsExports[[#This Row],[FMO Export Override]:[FMO Export Service IPs]])</f>
        <v>10.98.73.125</v>
      </c>
      <c r="R128" s="31" t="str">
        <f>NfsExports[[#This Row],[FMO Mount Path Estimated]]&amp;" "&amp;NfsExports[[#This Row],[Required Quota (GB)]]&amp;"GB"</f>
        <v>/apps/pcehr 30GB</v>
      </c>
      <c r="S128" s="31" t="s">
        <v>3514</v>
      </c>
      <c r="T128" s="31" t="s">
        <v>4723</v>
      </c>
      <c r="U128" s="32" t="s">
        <v>3605</v>
      </c>
      <c r="V128">
        <v>12.8</v>
      </c>
      <c r="W128" s="31">
        <f>MAX(0,NfsExports[[#This Row],[Prospective throughput]]-(NfsExports[[#This Row],[Configured Quota (GB)]]*0.064))</f>
        <v>6.4</v>
      </c>
    </row>
    <row r="129" spans="1:23" x14ac:dyDescent="0.35">
      <c r="A129" s="138" t="s">
        <v>3199</v>
      </c>
      <c r="B129" s="138" t="s">
        <v>3216</v>
      </c>
      <c r="C129" s="67" t="s">
        <v>3606</v>
      </c>
      <c r="D129" s="65" t="s">
        <v>3607</v>
      </c>
      <c r="E129" s="31" t="str">
        <f>SUBSTITUTE(NfsExports[[#This Row],[FMO Volume Name]],"_","-")</f>
        <v>vmpfbpf2oid03-apps-pcehr</v>
      </c>
      <c r="F129" s="66" t="s">
        <v>3248</v>
      </c>
      <c r="G129" s="67">
        <v>30</v>
      </c>
      <c r="H129" s="31">
        <f>MAX(NfsExports[[#This Row],[Required Quota (GB)]],100)</f>
        <v>100</v>
      </c>
      <c r="I129">
        <v>12.8</v>
      </c>
      <c r="K129" s="66" t="s">
        <v>3249</v>
      </c>
      <c r="M12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10.98.73.126</v>
      </c>
      <c r="N129" t="str" cm="1">
        <f t="array" ref="N129">_xlfn.TEXTJOIN(",",TRUE,IF(NfsExports[[#This Row],[FMO Volume Name]]=NfsExportsVNets[FMO Volume Name],NfsExportsVNets[FMO Vnet Subnet],""))</f>
        <v/>
      </c>
      <c r="O129" t="str" cm="1">
        <f t="array" ref="O129">_xlfn.TEXTJOIN(",",TRUE,IF(NfsExports[[#This Row],[FMO Volume Name]]=NfsExportsSubnets[FMO Volume Name],NfsExportsSubnets[FMO Subnet CIDR],""))</f>
        <v/>
      </c>
      <c r="P129" t="str" cm="1">
        <f t="array" ref="P129">IFERROR(_xlfn.TEXTJOIN(",",TRUE,_xlfn._xlws.FILTER(NfsExportsServices[FMO VM Name Summary],NfsExports[[#This Row],[FMO Volume Name]]=NfsExportsServices[FMO Volume Name])),"")</f>
        <v/>
      </c>
      <c r="Q129" s="31" t="str">
        <f>_xlfn.TEXTJOIN(",",TRUE,NfsExports[[#This Row],[FMO Export Override]:[FMO Export Service IPs]])</f>
        <v>10.98.73.126</v>
      </c>
      <c r="R129" s="31" t="str">
        <f>NfsExports[[#This Row],[FMO Mount Path Estimated]]&amp;" "&amp;NfsExports[[#This Row],[Required Quota (GB)]]&amp;"GB"</f>
        <v>/apps/pcehr 30GB</v>
      </c>
      <c r="S129" s="31" t="s">
        <v>3514</v>
      </c>
      <c r="T129" s="31" t="s">
        <v>4723</v>
      </c>
      <c r="U129" s="32" t="s">
        <v>3608</v>
      </c>
      <c r="V129">
        <v>12.8</v>
      </c>
      <c r="W129" s="31">
        <f>MAX(0,NfsExports[[#This Row],[Prospective throughput]]-(NfsExports[[#This Row],[Configured Quota (GB)]]*0.064))</f>
        <v>6.4</v>
      </c>
    </row>
    <row r="130" spans="1:23" x14ac:dyDescent="0.35">
      <c r="A130" s="138" t="s">
        <v>3199</v>
      </c>
      <c r="B130" s="138" t="s">
        <v>3216</v>
      </c>
      <c r="C130" s="67" t="s">
        <v>3609</v>
      </c>
      <c r="D130" s="66" t="s">
        <v>3610</v>
      </c>
      <c r="E130" s="31" t="str">
        <f>SUBSTITUTE(NfsExports[[#This Row],[FMO Volume Name]],"_","-")</f>
        <v>vmpfbpf2oid04-apps-pcehr</v>
      </c>
      <c r="F130" s="66" t="s">
        <v>3248</v>
      </c>
      <c r="G130" s="67">
        <v>30</v>
      </c>
      <c r="H130" s="31">
        <f>MAX(NfsExports[[#This Row],[Required Quota (GB)]],100)</f>
        <v>100</v>
      </c>
      <c r="I130">
        <v>12.8</v>
      </c>
      <c r="K130" s="66" t="s">
        <v>3249</v>
      </c>
      <c r="M13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10.98.73.127</v>
      </c>
      <c r="N130" t="str" cm="1">
        <f t="array" ref="N130">_xlfn.TEXTJOIN(",",TRUE,IF(NfsExports[[#This Row],[FMO Volume Name]]=NfsExportsVNets[FMO Volume Name],NfsExportsVNets[FMO Vnet Subnet],""))</f>
        <v/>
      </c>
      <c r="O130" t="str" cm="1">
        <f t="array" ref="O130">_xlfn.TEXTJOIN(",",TRUE,IF(NfsExports[[#This Row],[FMO Volume Name]]=NfsExportsSubnets[FMO Volume Name],NfsExportsSubnets[FMO Subnet CIDR],""))</f>
        <v/>
      </c>
      <c r="P130" t="str" cm="1">
        <f t="array" ref="P130">IFERROR(_xlfn.TEXTJOIN(",",TRUE,_xlfn._xlws.FILTER(NfsExportsServices[FMO VM Name Summary],NfsExports[[#This Row],[FMO Volume Name]]=NfsExportsServices[FMO Volume Name])),"")</f>
        <v/>
      </c>
      <c r="Q130" s="31" t="str">
        <f>_xlfn.TEXTJOIN(",",TRUE,NfsExports[[#This Row],[FMO Export Override]:[FMO Export Service IPs]])</f>
        <v>10.98.73.127</v>
      </c>
      <c r="R130" s="31" t="str">
        <f>NfsExports[[#This Row],[FMO Mount Path Estimated]]&amp;" "&amp;NfsExports[[#This Row],[Required Quota (GB)]]&amp;"GB"</f>
        <v>/apps/pcehr 30GB</v>
      </c>
      <c r="S130" s="31" t="s">
        <v>3514</v>
      </c>
      <c r="T130" s="31" t="s">
        <v>4723</v>
      </c>
      <c r="U130" s="32" t="s">
        <v>3611</v>
      </c>
      <c r="V130">
        <v>12.8</v>
      </c>
      <c r="W130" s="31">
        <f>MAX(0,NfsExports[[#This Row],[Prospective throughput]]-(NfsExports[[#This Row],[Configured Quota (GB)]]*0.064))</f>
        <v>6.4</v>
      </c>
    </row>
    <row r="131" spans="1:23" x14ac:dyDescent="0.35">
      <c r="A131" s="138" t="s">
        <v>3199</v>
      </c>
      <c r="B131" s="138" t="s">
        <v>3216</v>
      </c>
      <c r="C131" s="67" t="s">
        <v>3612</v>
      </c>
      <c r="D131" s="65" t="s">
        <v>3613</v>
      </c>
      <c r="E131" s="31" t="str">
        <f>SUBSTITUTE(NfsExports[[#This Row],[FMO Volume Name]],"_","-")</f>
        <v>vmpfbpf2oid05-apps-pcehr</v>
      </c>
      <c r="F131" s="66" t="s">
        <v>3248</v>
      </c>
      <c r="G131" s="67">
        <v>30</v>
      </c>
      <c r="H131" s="31">
        <f>MAX(NfsExports[[#This Row],[Required Quota (GB)]],100)</f>
        <v>100</v>
      </c>
      <c r="I131">
        <v>12.8</v>
      </c>
      <c r="K131" s="66" t="s">
        <v>3249</v>
      </c>
      <c r="M13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10.98.73.128</v>
      </c>
      <c r="N131" t="str" cm="1">
        <f t="array" ref="N131">_xlfn.TEXTJOIN(",",TRUE,IF(NfsExports[[#This Row],[FMO Volume Name]]=NfsExportsVNets[FMO Volume Name],NfsExportsVNets[FMO Vnet Subnet],""))</f>
        <v/>
      </c>
      <c r="O131" t="str" cm="1">
        <f t="array" ref="O131">_xlfn.TEXTJOIN(",",TRUE,IF(NfsExports[[#This Row],[FMO Volume Name]]=NfsExportsSubnets[FMO Volume Name],NfsExportsSubnets[FMO Subnet CIDR],""))</f>
        <v/>
      </c>
      <c r="P131" t="str" cm="1">
        <f t="array" ref="P131">IFERROR(_xlfn.TEXTJOIN(",",TRUE,_xlfn._xlws.FILTER(NfsExportsServices[FMO VM Name Summary],NfsExports[[#This Row],[FMO Volume Name]]=NfsExportsServices[FMO Volume Name])),"")</f>
        <v/>
      </c>
      <c r="Q131" s="31" t="str">
        <f>_xlfn.TEXTJOIN(",",TRUE,NfsExports[[#This Row],[FMO Export Override]:[FMO Export Service IPs]])</f>
        <v>10.98.73.128</v>
      </c>
      <c r="R131" s="31" t="str">
        <f>NfsExports[[#This Row],[FMO Mount Path Estimated]]&amp;" "&amp;NfsExports[[#This Row],[Required Quota (GB)]]&amp;"GB"</f>
        <v>/apps/pcehr 30GB</v>
      </c>
      <c r="S131" s="31" t="s">
        <v>3514</v>
      </c>
      <c r="T131" s="31" t="s">
        <v>4723</v>
      </c>
      <c r="U131" s="32" t="s">
        <v>3614</v>
      </c>
      <c r="V131">
        <v>12.8</v>
      </c>
      <c r="W131" s="31">
        <f>MAX(0,NfsExports[[#This Row],[Prospective throughput]]-(NfsExports[[#This Row],[Configured Quota (GB)]]*0.064))</f>
        <v>6.4</v>
      </c>
    </row>
    <row r="132" spans="1:23" x14ac:dyDescent="0.35">
      <c r="A132" s="138" t="s">
        <v>3199</v>
      </c>
      <c r="B132" s="138" t="s">
        <v>3216</v>
      </c>
      <c r="C132" s="67" t="s">
        <v>3615</v>
      </c>
      <c r="D132" s="66" t="s">
        <v>3616</v>
      </c>
      <c r="E132" s="31" t="str">
        <f>SUBSTITUTE(NfsExports[[#This Row],[FMO Volume Name]],"_","-")</f>
        <v>vmpfbpf2oid06-apps-pcehr</v>
      </c>
      <c r="F132" s="66" t="s">
        <v>3248</v>
      </c>
      <c r="G132" s="67">
        <v>30</v>
      </c>
      <c r="H132" s="31">
        <f>MAX(NfsExports[[#This Row],[Required Quota (GB)]],100)</f>
        <v>100</v>
      </c>
      <c r="I132">
        <v>12.8</v>
      </c>
      <c r="K132" s="66" t="s">
        <v>3249</v>
      </c>
      <c r="M13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10.98.73.129</v>
      </c>
      <c r="N132" t="str" cm="1">
        <f t="array" ref="N132">_xlfn.TEXTJOIN(",",TRUE,IF(NfsExports[[#This Row],[FMO Volume Name]]=NfsExportsVNets[FMO Volume Name],NfsExportsVNets[FMO Vnet Subnet],""))</f>
        <v/>
      </c>
      <c r="O132" t="str" cm="1">
        <f t="array" ref="O132">_xlfn.TEXTJOIN(",",TRUE,IF(NfsExports[[#This Row],[FMO Volume Name]]=NfsExportsSubnets[FMO Volume Name],NfsExportsSubnets[FMO Subnet CIDR],""))</f>
        <v/>
      </c>
      <c r="P132" t="str" cm="1">
        <f t="array" ref="P132">IFERROR(_xlfn.TEXTJOIN(",",TRUE,_xlfn._xlws.FILTER(NfsExportsServices[FMO VM Name Summary],NfsExports[[#This Row],[FMO Volume Name]]=NfsExportsServices[FMO Volume Name])),"")</f>
        <v/>
      </c>
      <c r="Q132" s="31" t="str">
        <f>_xlfn.TEXTJOIN(",",TRUE,NfsExports[[#This Row],[FMO Export Override]:[FMO Export Service IPs]])</f>
        <v>10.98.73.129</v>
      </c>
      <c r="R132" s="31" t="str">
        <f>NfsExports[[#This Row],[FMO Mount Path Estimated]]&amp;" "&amp;NfsExports[[#This Row],[Required Quota (GB)]]&amp;"GB"</f>
        <v>/apps/pcehr 30GB</v>
      </c>
      <c r="S132" s="31" t="s">
        <v>3514</v>
      </c>
      <c r="T132" s="31" t="s">
        <v>4723</v>
      </c>
      <c r="U132" s="32" t="s">
        <v>3617</v>
      </c>
      <c r="V132">
        <v>12.8</v>
      </c>
      <c r="W132" s="31">
        <f>MAX(0,NfsExports[[#This Row],[Prospective throughput]]-(NfsExports[[#This Row],[Configured Quota (GB)]]*0.064))</f>
        <v>6.4</v>
      </c>
    </row>
    <row r="133" spans="1:23" x14ac:dyDescent="0.35">
      <c r="A133" s="138" t="s">
        <v>3199</v>
      </c>
      <c r="B133" s="138" t="s">
        <v>3216</v>
      </c>
      <c r="C133" s="67" t="s">
        <v>3618</v>
      </c>
      <c r="D133" s="65" t="s">
        <v>3619</v>
      </c>
      <c r="E133" s="31" t="str">
        <f>SUBSTITUTE(NfsExports[[#This Row],[FMO Volume Name]],"_","-")</f>
        <v>vmpfbpf2oid07-apps-pcehr</v>
      </c>
      <c r="F133" s="66" t="s">
        <v>3248</v>
      </c>
      <c r="G133" s="67">
        <v>30</v>
      </c>
      <c r="H133" s="31">
        <f>MAX(NfsExports[[#This Row],[Required Quota (GB)]],100)</f>
        <v>100</v>
      </c>
      <c r="I133">
        <v>12.8</v>
      </c>
      <c r="K133" s="66" t="s">
        <v>3249</v>
      </c>
      <c r="M13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10.98.73.130</v>
      </c>
      <c r="N133" t="str" cm="1">
        <f t="array" ref="N133">_xlfn.TEXTJOIN(",",TRUE,IF(NfsExports[[#This Row],[FMO Volume Name]]=NfsExportsVNets[FMO Volume Name],NfsExportsVNets[FMO Vnet Subnet],""))</f>
        <v/>
      </c>
      <c r="O133" t="str" cm="1">
        <f t="array" ref="O133">_xlfn.TEXTJOIN(",",TRUE,IF(NfsExports[[#This Row],[FMO Volume Name]]=NfsExportsSubnets[FMO Volume Name],NfsExportsSubnets[FMO Subnet CIDR],""))</f>
        <v/>
      </c>
      <c r="P133" t="str" cm="1">
        <f t="array" ref="P133">IFERROR(_xlfn.TEXTJOIN(",",TRUE,_xlfn._xlws.FILTER(NfsExportsServices[FMO VM Name Summary],NfsExports[[#This Row],[FMO Volume Name]]=NfsExportsServices[FMO Volume Name])),"")</f>
        <v/>
      </c>
      <c r="Q133" s="31" t="str">
        <f>_xlfn.TEXTJOIN(",",TRUE,NfsExports[[#This Row],[FMO Export Override]:[FMO Export Service IPs]])</f>
        <v>10.98.73.130</v>
      </c>
      <c r="R133" s="31" t="str">
        <f>NfsExports[[#This Row],[FMO Mount Path Estimated]]&amp;" "&amp;NfsExports[[#This Row],[Required Quota (GB)]]&amp;"GB"</f>
        <v>/apps/pcehr 30GB</v>
      </c>
      <c r="S133" s="31" t="s">
        <v>3514</v>
      </c>
      <c r="T133" s="31" t="s">
        <v>4723</v>
      </c>
      <c r="U133" s="32" t="s">
        <v>3620</v>
      </c>
      <c r="V133">
        <v>12.8</v>
      </c>
      <c r="W133" s="31">
        <f>MAX(0,NfsExports[[#This Row],[Prospective throughput]]-(NfsExports[[#This Row],[Configured Quota (GB)]]*0.064))</f>
        <v>6.4</v>
      </c>
    </row>
    <row r="134" spans="1:23" x14ac:dyDescent="0.35">
      <c r="A134" s="138" t="s">
        <v>3199</v>
      </c>
      <c r="B134" s="138" t="s">
        <v>3216</v>
      </c>
      <c r="C134" s="67" t="s">
        <v>3621</v>
      </c>
      <c r="D134" s="66" t="s">
        <v>3622</v>
      </c>
      <c r="E134" s="31" t="str">
        <f>SUBSTITUTE(NfsExports[[#This Row],[FMO Volume Name]],"_","-")</f>
        <v>vmpfbpf2oid08-apps-pcehr</v>
      </c>
      <c r="F134" s="66" t="s">
        <v>3248</v>
      </c>
      <c r="G134" s="67">
        <v>30</v>
      </c>
      <c r="H134" s="31">
        <f>MAX(NfsExports[[#This Row],[Required Quota (GB)]],100)</f>
        <v>100</v>
      </c>
      <c r="I134">
        <v>12.8</v>
      </c>
      <c r="K134" s="66" t="s">
        <v>3249</v>
      </c>
      <c r="M13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10.98.73.131</v>
      </c>
      <c r="N134" t="str" cm="1">
        <f t="array" ref="N134">_xlfn.TEXTJOIN(",",TRUE,IF(NfsExports[[#This Row],[FMO Volume Name]]=NfsExportsVNets[FMO Volume Name],NfsExportsVNets[FMO Vnet Subnet],""))</f>
        <v/>
      </c>
      <c r="O134" t="str" cm="1">
        <f t="array" ref="O134">_xlfn.TEXTJOIN(",",TRUE,IF(NfsExports[[#This Row],[FMO Volume Name]]=NfsExportsSubnets[FMO Volume Name],NfsExportsSubnets[FMO Subnet CIDR],""))</f>
        <v/>
      </c>
      <c r="P134" t="str" cm="1">
        <f t="array" ref="P134">IFERROR(_xlfn.TEXTJOIN(",",TRUE,_xlfn._xlws.FILTER(NfsExportsServices[FMO VM Name Summary],NfsExports[[#This Row],[FMO Volume Name]]=NfsExportsServices[FMO Volume Name])),"")</f>
        <v/>
      </c>
      <c r="Q134" s="31" t="str">
        <f>_xlfn.TEXTJOIN(",",TRUE,NfsExports[[#This Row],[FMO Export Override]:[FMO Export Service IPs]])</f>
        <v>10.98.73.131</v>
      </c>
      <c r="R134" s="31" t="str">
        <f>NfsExports[[#This Row],[FMO Mount Path Estimated]]&amp;" "&amp;NfsExports[[#This Row],[Required Quota (GB)]]&amp;"GB"</f>
        <v>/apps/pcehr 30GB</v>
      </c>
      <c r="S134" s="31" t="s">
        <v>3514</v>
      </c>
      <c r="T134" s="31" t="s">
        <v>4723</v>
      </c>
      <c r="U134" s="32" t="s">
        <v>3623</v>
      </c>
      <c r="V134">
        <v>12.8</v>
      </c>
      <c r="W134" s="31">
        <f>MAX(0,NfsExports[[#This Row],[Prospective throughput]]-(NfsExports[[#This Row],[Configured Quota (GB)]]*0.064))</f>
        <v>6.4</v>
      </c>
    </row>
    <row r="135" spans="1:23" x14ac:dyDescent="0.35">
      <c r="A135" s="138" t="s">
        <v>3199</v>
      </c>
      <c r="B135" s="138" t="s">
        <v>3216</v>
      </c>
      <c r="C135" s="67" t="s">
        <v>3624</v>
      </c>
      <c r="D135" s="65" t="s">
        <v>3625</v>
      </c>
      <c r="E135" s="31" t="str">
        <f>SUBSTITUTE(NfsExports[[#This Row],[FMO Volume Name]],"_","-")</f>
        <v>vmpfbpf2oid09-apps-pcehr</v>
      </c>
      <c r="F135" s="66" t="s">
        <v>3248</v>
      </c>
      <c r="G135" s="67">
        <v>30</v>
      </c>
      <c r="H135" s="31">
        <f>MAX(NfsExports[[#This Row],[Required Quota (GB)]],100)</f>
        <v>100</v>
      </c>
      <c r="I135">
        <v>12.8</v>
      </c>
      <c r="K135" s="66" t="s">
        <v>3249</v>
      </c>
      <c r="M13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10.98.73.132</v>
      </c>
      <c r="N135" t="str" cm="1">
        <f t="array" ref="N135">_xlfn.TEXTJOIN(",",TRUE,IF(NfsExports[[#This Row],[FMO Volume Name]]=NfsExportsVNets[FMO Volume Name],NfsExportsVNets[FMO Vnet Subnet],""))</f>
        <v/>
      </c>
      <c r="O135" t="str" cm="1">
        <f t="array" ref="O135">_xlfn.TEXTJOIN(",",TRUE,IF(NfsExports[[#This Row],[FMO Volume Name]]=NfsExportsSubnets[FMO Volume Name],NfsExportsSubnets[FMO Subnet CIDR],""))</f>
        <v/>
      </c>
      <c r="P135" t="str" cm="1">
        <f t="array" ref="P135">IFERROR(_xlfn.TEXTJOIN(",",TRUE,_xlfn._xlws.FILTER(NfsExportsServices[FMO VM Name Summary],NfsExports[[#This Row],[FMO Volume Name]]=NfsExportsServices[FMO Volume Name])),"")</f>
        <v/>
      </c>
      <c r="Q135" s="31" t="str">
        <f>_xlfn.TEXTJOIN(",",TRUE,NfsExports[[#This Row],[FMO Export Override]:[FMO Export Service IPs]])</f>
        <v>10.98.73.132</v>
      </c>
      <c r="R135" s="31" t="str">
        <f>NfsExports[[#This Row],[FMO Mount Path Estimated]]&amp;" "&amp;NfsExports[[#This Row],[Required Quota (GB)]]&amp;"GB"</f>
        <v>/apps/pcehr 30GB</v>
      </c>
      <c r="S135" s="31" t="s">
        <v>3514</v>
      </c>
      <c r="T135" s="31" t="s">
        <v>4723</v>
      </c>
      <c r="U135" s="32" t="s">
        <v>3626</v>
      </c>
      <c r="V135">
        <v>12.8</v>
      </c>
      <c r="W135" s="31">
        <f>MAX(0,NfsExports[[#This Row],[Prospective throughput]]-(NfsExports[[#This Row],[Configured Quota (GB)]]*0.064))</f>
        <v>6.4</v>
      </c>
    </row>
    <row r="136" spans="1:23" x14ac:dyDescent="0.35">
      <c r="A136" s="138" t="s">
        <v>3199</v>
      </c>
      <c r="B136" s="138" t="s">
        <v>3216</v>
      </c>
      <c r="C136" s="67" t="s">
        <v>3627</v>
      </c>
      <c r="D136" s="66" t="s">
        <v>3628</v>
      </c>
      <c r="E136" s="31" t="str">
        <f>SUBSTITUTE(NfsExports[[#This Row],[FMO Volume Name]],"_","-")</f>
        <v>vmpfbpf2oid10-apps-pcehr</v>
      </c>
      <c r="F136" s="66" t="s">
        <v>3248</v>
      </c>
      <c r="G136" s="67">
        <v>30</v>
      </c>
      <c r="H136" s="31">
        <f>MAX(NfsExports[[#This Row],[Required Quota (GB)]],100)</f>
        <v>100</v>
      </c>
      <c r="I136">
        <v>12.8</v>
      </c>
      <c r="K136" s="66" t="s">
        <v>3249</v>
      </c>
      <c r="M13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10.98.73.133</v>
      </c>
      <c r="N136" t="str" cm="1">
        <f t="array" ref="N136">_xlfn.TEXTJOIN(",",TRUE,IF(NfsExports[[#This Row],[FMO Volume Name]]=NfsExportsVNets[FMO Volume Name],NfsExportsVNets[FMO Vnet Subnet],""))</f>
        <v/>
      </c>
      <c r="O136" t="str" cm="1">
        <f t="array" ref="O136">_xlfn.TEXTJOIN(",",TRUE,IF(NfsExports[[#This Row],[FMO Volume Name]]=NfsExportsSubnets[FMO Volume Name],NfsExportsSubnets[FMO Subnet CIDR],""))</f>
        <v/>
      </c>
      <c r="P136" t="str" cm="1">
        <f t="array" ref="P136">IFERROR(_xlfn.TEXTJOIN(",",TRUE,_xlfn._xlws.FILTER(NfsExportsServices[FMO VM Name Summary],NfsExports[[#This Row],[FMO Volume Name]]=NfsExportsServices[FMO Volume Name])),"")</f>
        <v/>
      </c>
      <c r="Q136" s="31" t="str">
        <f>_xlfn.TEXTJOIN(",",TRUE,NfsExports[[#This Row],[FMO Export Override]:[FMO Export Service IPs]])</f>
        <v>10.98.73.133</v>
      </c>
      <c r="R136" s="31" t="str">
        <f>NfsExports[[#This Row],[FMO Mount Path Estimated]]&amp;" "&amp;NfsExports[[#This Row],[Required Quota (GB)]]&amp;"GB"</f>
        <v>/apps/pcehr 30GB</v>
      </c>
      <c r="S136" s="31" t="s">
        <v>3514</v>
      </c>
      <c r="T136" s="31" t="s">
        <v>4723</v>
      </c>
      <c r="U136" s="32" t="s">
        <v>3629</v>
      </c>
      <c r="V136">
        <v>12.8</v>
      </c>
      <c r="W136" s="31">
        <f>MAX(0,NfsExports[[#This Row],[Prospective throughput]]-(NfsExports[[#This Row],[Configured Quota (GB)]]*0.064))</f>
        <v>6.4</v>
      </c>
    </row>
    <row r="137" spans="1:23" x14ac:dyDescent="0.35">
      <c r="A137" s="138" t="s">
        <v>3199</v>
      </c>
      <c r="B137" s="138" t="s">
        <v>3216</v>
      </c>
      <c r="C137" s="67" t="s">
        <v>3630</v>
      </c>
      <c r="D137" s="65" t="s">
        <v>3631</v>
      </c>
      <c r="E137" s="31" t="str">
        <f>SUBSTITUTE(NfsExports[[#This Row],[FMO Volume Name]],"_","-")</f>
        <v>vmpfbpf2olg01-apps-pcehr</v>
      </c>
      <c r="F137" s="66" t="s">
        <v>3248</v>
      </c>
      <c r="G137" s="67">
        <v>30</v>
      </c>
      <c r="H137" s="31">
        <f>MAX(NfsExports[[#This Row],[Required Quota (GB)]],100)</f>
        <v>100</v>
      </c>
      <c r="I137">
        <v>16</v>
      </c>
      <c r="K137" s="66" t="s">
        <v>3249</v>
      </c>
      <c r="M13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10.98.73.143</v>
      </c>
      <c r="N137" t="str" cm="1">
        <f t="array" ref="N137">_xlfn.TEXTJOIN(",",TRUE,IF(NfsExports[[#This Row],[FMO Volume Name]]=NfsExportsVNets[FMO Volume Name],NfsExportsVNets[FMO Vnet Subnet],""))</f>
        <v/>
      </c>
      <c r="O137" t="str" cm="1">
        <f t="array" ref="O137">_xlfn.TEXTJOIN(",",TRUE,IF(NfsExports[[#This Row],[FMO Volume Name]]=NfsExportsSubnets[FMO Volume Name],NfsExportsSubnets[FMO Subnet CIDR],""))</f>
        <v/>
      </c>
      <c r="P137" t="str" cm="1">
        <f t="array" ref="P137">IFERROR(_xlfn.TEXTJOIN(",",TRUE,_xlfn._xlws.FILTER(NfsExportsServices[FMO VM Name Summary],NfsExports[[#This Row],[FMO Volume Name]]=NfsExportsServices[FMO Volume Name])),"")</f>
        <v/>
      </c>
      <c r="Q137" s="31" t="str">
        <f>_xlfn.TEXTJOIN(",",TRUE,NfsExports[[#This Row],[FMO Export Override]:[FMO Export Service IPs]])</f>
        <v>10.98.73.143</v>
      </c>
      <c r="R137" s="31" t="str">
        <f>NfsExports[[#This Row],[FMO Mount Path Estimated]]&amp;" "&amp;NfsExports[[#This Row],[Required Quota (GB)]]&amp;"GB"</f>
        <v>/apps/pcehr 30GB</v>
      </c>
      <c r="S137" s="31" t="s">
        <v>3632</v>
      </c>
      <c r="T137" s="31" t="s">
        <v>4723</v>
      </c>
      <c r="U137" s="32" t="s">
        <v>3633</v>
      </c>
      <c r="V137">
        <v>16</v>
      </c>
      <c r="W137" s="31">
        <f>MAX(0,NfsExports[[#This Row],[Prospective throughput]]-(NfsExports[[#This Row],[Configured Quota (GB)]]*0.064))</f>
        <v>9.6</v>
      </c>
    </row>
    <row r="138" spans="1:23" x14ac:dyDescent="0.35">
      <c r="A138" s="138" t="s">
        <v>3199</v>
      </c>
      <c r="B138" s="138" t="s">
        <v>3216</v>
      </c>
      <c r="C138" s="67" t="s">
        <v>3634</v>
      </c>
      <c r="D138" s="66" t="s">
        <v>3635</v>
      </c>
      <c r="E138" s="31" t="str">
        <f>SUBSTITUTE(NfsExports[[#This Row],[FMO Volume Name]],"_","-")</f>
        <v>vmpfbpf2olg02-apps-pcehr</v>
      </c>
      <c r="F138" s="66" t="s">
        <v>3248</v>
      </c>
      <c r="G138" s="67">
        <v>30</v>
      </c>
      <c r="H138" s="31">
        <f>MAX(NfsExports[[#This Row],[Required Quota (GB)]],100)</f>
        <v>100</v>
      </c>
      <c r="I138">
        <v>12.8</v>
      </c>
      <c r="K138" s="66" t="s">
        <v>3249</v>
      </c>
      <c r="M13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10.98.73.144</v>
      </c>
      <c r="N138" t="str" cm="1">
        <f t="array" ref="N138">_xlfn.TEXTJOIN(",",TRUE,IF(NfsExports[[#This Row],[FMO Volume Name]]=NfsExportsVNets[FMO Volume Name],NfsExportsVNets[FMO Vnet Subnet],""))</f>
        <v/>
      </c>
      <c r="O138" t="str" cm="1">
        <f t="array" ref="O138">_xlfn.TEXTJOIN(",",TRUE,IF(NfsExports[[#This Row],[FMO Volume Name]]=NfsExportsSubnets[FMO Volume Name],NfsExportsSubnets[FMO Subnet CIDR],""))</f>
        <v/>
      </c>
      <c r="P138" t="str" cm="1">
        <f t="array" ref="P138">IFERROR(_xlfn.TEXTJOIN(",",TRUE,_xlfn._xlws.FILTER(NfsExportsServices[FMO VM Name Summary],NfsExports[[#This Row],[FMO Volume Name]]=NfsExportsServices[FMO Volume Name])),"")</f>
        <v/>
      </c>
      <c r="Q138" s="31" t="str">
        <f>_xlfn.TEXTJOIN(",",TRUE,NfsExports[[#This Row],[FMO Export Override]:[FMO Export Service IPs]])</f>
        <v>10.98.73.144</v>
      </c>
      <c r="R138" s="31" t="str">
        <f>NfsExports[[#This Row],[FMO Mount Path Estimated]]&amp;" "&amp;NfsExports[[#This Row],[Required Quota (GB)]]&amp;"GB"</f>
        <v>/apps/pcehr 30GB</v>
      </c>
      <c r="S138" s="31" t="s">
        <v>3349</v>
      </c>
      <c r="T138" s="31" t="s">
        <v>4723</v>
      </c>
      <c r="U138" s="32" t="s">
        <v>3636</v>
      </c>
      <c r="V138">
        <v>12.8</v>
      </c>
      <c r="W138" s="31">
        <f>MAX(0,NfsExports[[#This Row],[Prospective throughput]]-(NfsExports[[#This Row],[Configured Quota (GB)]]*0.064))</f>
        <v>6.4</v>
      </c>
    </row>
    <row r="139" spans="1:23" x14ac:dyDescent="0.35">
      <c r="A139" s="138" t="s">
        <v>3199</v>
      </c>
      <c r="B139" s="138" t="s">
        <v>3216</v>
      </c>
      <c r="C139" s="67" t="s">
        <v>3637</v>
      </c>
      <c r="D139" s="65" t="s">
        <v>3638</v>
      </c>
      <c r="E139" s="31" t="str">
        <f>SUBSTITUTE(NfsExports[[#This Row],[FMO Volume Name]],"_","-")</f>
        <v>vmpfbpf2olg03-apps-pcehr</v>
      </c>
      <c r="F139" s="66" t="s">
        <v>3248</v>
      </c>
      <c r="G139" s="67">
        <v>30</v>
      </c>
      <c r="H139" s="31">
        <f>MAX(NfsExports[[#This Row],[Required Quota (GB)]],100)</f>
        <v>100</v>
      </c>
      <c r="I139">
        <v>12.8</v>
      </c>
      <c r="K139" s="66" t="s">
        <v>3249</v>
      </c>
      <c r="M13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10.98.73.145</v>
      </c>
      <c r="N139" t="str" cm="1">
        <f t="array" ref="N139">_xlfn.TEXTJOIN(",",TRUE,IF(NfsExports[[#This Row],[FMO Volume Name]]=NfsExportsVNets[FMO Volume Name],NfsExportsVNets[FMO Vnet Subnet],""))</f>
        <v/>
      </c>
      <c r="O139" t="str" cm="1">
        <f t="array" ref="O139">_xlfn.TEXTJOIN(",",TRUE,IF(NfsExports[[#This Row],[FMO Volume Name]]=NfsExportsSubnets[FMO Volume Name],NfsExportsSubnets[FMO Subnet CIDR],""))</f>
        <v/>
      </c>
      <c r="P139" t="str" cm="1">
        <f t="array" ref="P139">IFERROR(_xlfn.TEXTJOIN(",",TRUE,_xlfn._xlws.FILTER(NfsExportsServices[FMO VM Name Summary],NfsExports[[#This Row],[FMO Volume Name]]=NfsExportsServices[FMO Volume Name])),"")</f>
        <v/>
      </c>
      <c r="Q139" s="31" t="str">
        <f>_xlfn.TEXTJOIN(",",TRUE,NfsExports[[#This Row],[FMO Export Override]:[FMO Export Service IPs]])</f>
        <v>10.98.73.145</v>
      </c>
      <c r="R139" s="31" t="str">
        <f>NfsExports[[#This Row],[FMO Mount Path Estimated]]&amp;" "&amp;NfsExports[[#This Row],[Required Quota (GB)]]&amp;"GB"</f>
        <v>/apps/pcehr 30GB</v>
      </c>
      <c r="S139" s="31" t="s">
        <v>3349</v>
      </c>
      <c r="T139" s="31" t="s">
        <v>4723</v>
      </c>
      <c r="U139" s="32" t="s">
        <v>3639</v>
      </c>
      <c r="V139">
        <v>12.8</v>
      </c>
      <c r="W139" s="31">
        <f>MAX(0,NfsExports[[#This Row],[Prospective throughput]]-(NfsExports[[#This Row],[Configured Quota (GB)]]*0.064))</f>
        <v>6.4</v>
      </c>
    </row>
    <row r="140" spans="1:23" x14ac:dyDescent="0.35">
      <c r="A140" s="138" t="s">
        <v>3199</v>
      </c>
      <c r="B140" s="138" t="s">
        <v>3216</v>
      </c>
      <c r="C140" s="67" t="s">
        <v>3640</v>
      </c>
      <c r="D140" s="66" t="s">
        <v>3641</v>
      </c>
      <c r="E140" s="31" t="str">
        <f>SUBSTITUTE(NfsExports[[#This Row],[FMO Volume Name]],"_","-")</f>
        <v>vmpfbpf2olg04-apps-pcehr</v>
      </c>
      <c r="F140" s="66" t="s">
        <v>3248</v>
      </c>
      <c r="G140" s="67">
        <v>30</v>
      </c>
      <c r="H140" s="31">
        <f>MAX(NfsExports[[#This Row],[Required Quota (GB)]],100)</f>
        <v>100</v>
      </c>
      <c r="I140">
        <v>12.8</v>
      </c>
      <c r="K140" s="66" t="s">
        <v>3249</v>
      </c>
      <c r="M14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10.98.73.146</v>
      </c>
      <c r="N140" t="str" cm="1">
        <f t="array" ref="N140">_xlfn.TEXTJOIN(",",TRUE,IF(NfsExports[[#This Row],[FMO Volume Name]]=NfsExportsVNets[FMO Volume Name],NfsExportsVNets[FMO Vnet Subnet],""))</f>
        <v/>
      </c>
      <c r="O140" t="str" cm="1">
        <f t="array" ref="O140">_xlfn.TEXTJOIN(",",TRUE,IF(NfsExports[[#This Row],[FMO Volume Name]]=NfsExportsSubnets[FMO Volume Name],NfsExportsSubnets[FMO Subnet CIDR],""))</f>
        <v/>
      </c>
      <c r="P140" t="str" cm="1">
        <f t="array" ref="P140">IFERROR(_xlfn.TEXTJOIN(",",TRUE,_xlfn._xlws.FILTER(NfsExportsServices[FMO VM Name Summary],NfsExports[[#This Row],[FMO Volume Name]]=NfsExportsServices[FMO Volume Name])),"")</f>
        <v/>
      </c>
      <c r="Q140" s="31" t="str">
        <f>_xlfn.TEXTJOIN(",",TRUE,NfsExports[[#This Row],[FMO Export Override]:[FMO Export Service IPs]])</f>
        <v>10.98.73.146</v>
      </c>
      <c r="R140" s="31" t="str">
        <f>NfsExports[[#This Row],[FMO Mount Path Estimated]]&amp;" "&amp;NfsExports[[#This Row],[Required Quota (GB)]]&amp;"GB"</f>
        <v>/apps/pcehr 30GB</v>
      </c>
      <c r="S140" s="31" t="s">
        <v>3349</v>
      </c>
      <c r="T140" s="31" t="s">
        <v>4723</v>
      </c>
      <c r="U140" s="32" t="s">
        <v>3642</v>
      </c>
      <c r="V140">
        <v>12.8</v>
      </c>
      <c r="W140" s="31">
        <f>MAX(0,NfsExports[[#This Row],[Prospective throughput]]-(NfsExports[[#This Row],[Configured Quota (GB)]]*0.064))</f>
        <v>6.4</v>
      </c>
    </row>
    <row r="141" spans="1:23" x14ac:dyDescent="0.35">
      <c r="A141" s="138" t="s">
        <v>3199</v>
      </c>
      <c r="B141" s="138" t="s">
        <v>3216</v>
      </c>
      <c r="C141" s="67" t="s">
        <v>3643</v>
      </c>
      <c r="D141" s="65" t="s">
        <v>3644</v>
      </c>
      <c r="E141" s="31" t="str">
        <f>SUBSTITUTE(NfsExports[[#This Row],[FMO Volume Name]],"_","-")</f>
        <v>vmpfbpf2olg05-apps-pcehr</v>
      </c>
      <c r="F141" s="66" t="s">
        <v>3248</v>
      </c>
      <c r="G141" s="67">
        <v>30</v>
      </c>
      <c r="H141" s="31">
        <f>MAX(NfsExports[[#This Row],[Required Quota (GB)]],100)</f>
        <v>100</v>
      </c>
      <c r="I141">
        <v>12.8</v>
      </c>
      <c r="K141" s="66" t="s">
        <v>3249</v>
      </c>
      <c r="M14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10.98.73.147</v>
      </c>
      <c r="N141" t="str" cm="1">
        <f t="array" ref="N141">_xlfn.TEXTJOIN(",",TRUE,IF(NfsExports[[#This Row],[FMO Volume Name]]=NfsExportsVNets[FMO Volume Name],NfsExportsVNets[FMO Vnet Subnet],""))</f>
        <v/>
      </c>
      <c r="O141" t="str" cm="1">
        <f t="array" ref="O141">_xlfn.TEXTJOIN(",",TRUE,IF(NfsExports[[#This Row],[FMO Volume Name]]=NfsExportsSubnets[FMO Volume Name],NfsExportsSubnets[FMO Subnet CIDR],""))</f>
        <v/>
      </c>
      <c r="P141" t="str" cm="1">
        <f t="array" ref="P141">IFERROR(_xlfn.TEXTJOIN(",",TRUE,_xlfn._xlws.FILTER(NfsExportsServices[FMO VM Name Summary],NfsExports[[#This Row],[FMO Volume Name]]=NfsExportsServices[FMO Volume Name])),"")</f>
        <v/>
      </c>
      <c r="Q141" s="31" t="str">
        <f>_xlfn.TEXTJOIN(",",TRUE,NfsExports[[#This Row],[FMO Export Override]:[FMO Export Service IPs]])</f>
        <v>10.98.73.147</v>
      </c>
      <c r="R141" s="31" t="str">
        <f>NfsExports[[#This Row],[FMO Mount Path Estimated]]&amp;" "&amp;NfsExports[[#This Row],[Required Quota (GB)]]&amp;"GB"</f>
        <v>/apps/pcehr 30GB</v>
      </c>
      <c r="S141" s="31" t="s">
        <v>3349</v>
      </c>
      <c r="T141" s="31" t="s">
        <v>4723</v>
      </c>
      <c r="U141" s="32" t="s">
        <v>3645</v>
      </c>
      <c r="V141">
        <v>12.8</v>
      </c>
      <c r="W141" s="31">
        <f>MAX(0,NfsExports[[#This Row],[Prospective throughput]]-(NfsExports[[#This Row],[Configured Quota (GB)]]*0.064))</f>
        <v>6.4</v>
      </c>
    </row>
    <row r="142" spans="1:23" x14ac:dyDescent="0.35">
      <c r="A142" s="138" t="s">
        <v>3199</v>
      </c>
      <c r="B142" s="138" t="s">
        <v>3216</v>
      </c>
      <c r="C142" s="67" t="s">
        <v>3646</v>
      </c>
      <c r="D142" s="66" t="s">
        <v>3647</v>
      </c>
      <c r="E142" s="31" t="str">
        <f>SUBSTITUTE(NfsExports[[#This Row],[FMO Volume Name]],"_","-")</f>
        <v>vmpfbpf2olg06-apps-pcehr</v>
      </c>
      <c r="F142" s="66" t="s">
        <v>3248</v>
      </c>
      <c r="G142" s="67">
        <v>30</v>
      </c>
      <c r="H142" s="31">
        <f>MAX(NfsExports[[#This Row],[Required Quota (GB)]],100)</f>
        <v>100</v>
      </c>
      <c r="I142">
        <v>12.8</v>
      </c>
      <c r="K142" s="66" t="s">
        <v>3249</v>
      </c>
      <c r="M14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10.98.73.148</v>
      </c>
      <c r="N142" t="str" cm="1">
        <f t="array" ref="N142">_xlfn.TEXTJOIN(",",TRUE,IF(NfsExports[[#This Row],[FMO Volume Name]]=NfsExportsVNets[FMO Volume Name],NfsExportsVNets[FMO Vnet Subnet],""))</f>
        <v/>
      </c>
      <c r="O142" t="str" cm="1">
        <f t="array" ref="O142">_xlfn.TEXTJOIN(",",TRUE,IF(NfsExports[[#This Row],[FMO Volume Name]]=NfsExportsSubnets[FMO Volume Name],NfsExportsSubnets[FMO Subnet CIDR],""))</f>
        <v/>
      </c>
      <c r="P142" t="str" cm="1">
        <f t="array" ref="P142">IFERROR(_xlfn.TEXTJOIN(",",TRUE,_xlfn._xlws.FILTER(NfsExportsServices[FMO VM Name Summary],NfsExports[[#This Row],[FMO Volume Name]]=NfsExportsServices[FMO Volume Name])),"")</f>
        <v/>
      </c>
      <c r="Q142" s="31" t="str">
        <f>_xlfn.TEXTJOIN(",",TRUE,NfsExports[[#This Row],[FMO Export Override]:[FMO Export Service IPs]])</f>
        <v>10.98.73.148</v>
      </c>
      <c r="R142" s="31" t="str">
        <f>NfsExports[[#This Row],[FMO Mount Path Estimated]]&amp;" "&amp;NfsExports[[#This Row],[Required Quota (GB)]]&amp;"GB"</f>
        <v>/apps/pcehr 30GB</v>
      </c>
      <c r="S142" s="31" t="s">
        <v>3349</v>
      </c>
      <c r="T142" s="31" t="s">
        <v>4723</v>
      </c>
      <c r="U142" s="32" t="s">
        <v>3648</v>
      </c>
      <c r="V142">
        <v>12.8</v>
      </c>
      <c r="W142" s="31">
        <f>MAX(0,NfsExports[[#This Row],[Prospective throughput]]-(NfsExports[[#This Row],[Configured Quota (GB)]]*0.064))</f>
        <v>6.4</v>
      </c>
    </row>
    <row r="143" spans="1:23" x14ac:dyDescent="0.35">
      <c r="A143" s="138" t="s">
        <v>3199</v>
      </c>
      <c r="B143" s="138" t="s">
        <v>3216</v>
      </c>
      <c r="C143" s="67" t="s">
        <v>3649</v>
      </c>
      <c r="D143" s="65" t="s">
        <v>3650</v>
      </c>
      <c r="E143" s="31" t="str">
        <f>SUBSTITUTE(NfsExports[[#This Row],[FMO Volume Name]],"_","-")</f>
        <v>vmpfbpf2olg07-apps-pcehr</v>
      </c>
      <c r="F143" s="66" t="s">
        <v>3248</v>
      </c>
      <c r="G143" s="67">
        <v>30</v>
      </c>
      <c r="H143" s="31">
        <f>MAX(NfsExports[[#This Row],[Required Quota (GB)]],100)</f>
        <v>100</v>
      </c>
      <c r="I143">
        <v>12.8</v>
      </c>
      <c r="K143" s="66" t="s">
        <v>3249</v>
      </c>
      <c r="M14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10.98.73.149</v>
      </c>
      <c r="N143" t="str" cm="1">
        <f t="array" ref="N143">_xlfn.TEXTJOIN(",",TRUE,IF(NfsExports[[#This Row],[FMO Volume Name]]=NfsExportsVNets[FMO Volume Name],NfsExportsVNets[FMO Vnet Subnet],""))</f>
        <v/>
      </c>
      <c r="O143" t="str" cm="1">
        <f t="array" ref="O143">_xlfn.TEXTJOIN(",",TRUE,IF(NfsExports[[#This Row],[FMO Volume Name]]=NfsExportsSubnets[FMO Volume Name],NfsExportsSubnets[FMO Subnet CIDR],""))</f>
        <v/>
      </c>
      <c r="P143" t="str" cm="1">
        <f t="array" ref="P143">IFERROR(_xlfn.TEXTJOIN(",",TRUE,_xlfn._xlws.FILTER(NfsExportsServices[FMO VM Name Summary],NfsExports[[#This Row],[FMO Volume Name]]=NfsExportsServices[FMO Volume Name])),"")</f>
        <v/>
      </c>
      <c r="Q143" s="31" t="str">
        <f>_xlfn.TEXTJOIN(",",TRUE,NfsExports[[#This Row],[FMO Export Override]:[FMO Export Service IPs]])</f>
        <v>10.98.73.149</v>
      </c>
      <c r="R143" s="31" t="str">
        <f>NfsExports[[#This Row],[FMO Mount Path Estimated]]&amp;" "&amp;NfsExports[[#This Row],[Required Quota (GB)]]&amp;"GB"</f>
        <v>/apps/pcehr 30GB</v>
      </c>
      <c r="S143" s="31" t="s">
        <v>3349</v>
      </c>
      <c r="T143" s="31" t="s">
        <v>4723</v>
      </c>
      <c r="U143" s="32" t="s">
        <v>3651</v>
      </c>
      <c r="V143">
        <v>12.8</v>
      </c>
      <c r="W143" s="31">
        <f>MAX(0,NfsExports[[#This Row],[Prospective throughput]]-(NfsExports[[#This Row],[Configured Quota (GB)]]*0.064))</f>
        <v>6.4</v>
      </c>
    </row>
    <row r="144" spans="1:23" x14ac:dyDescent="0.35">
      <c r="A144" s="138" t="s">
        <v>3199</v>
      </c>
      <c r="B144" s="138" t="s">
        <v>3216</v>
      </c>
      <c r="C144" s="67" t="s">
        <v>3652</v>
      </c>
      <c r="D144" s="66" t="s">
        <v>3653</v>
      </c>
      <c r="E144" s="31" t="str">
        <f>SUBSTITUTE(NfsExports[[#This Row],[FMO Volume Name]],"_","-")</f>
        <v>vmpfbpf2olg08-apps-pcehr</v>
      </c>
      <c r="F144" s="66" t="s">
        <v>3248</v>
      </c>
      <c r="G144" s="67">
        <v>30</v>
      </c>
      <c r="H144" s="31">
        <f>MAX(NfsExports[[#This Row],[Required Quota (GB)]],100)</f>
        <v>100</v>
      </c>
      <c r="I144">
        <v>12.8</v>
      </c>
      <c r="K144" s="66" t="s">
        <v>3249</v>
      </c>
      <c r="M14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10.98.73.150</v>
      </c>
      <c r="N144" t="str" cm="1">
        <f t="array" ref="N144">_xlfn.TEXTJOIN(",",TRUE,IF(NfsExports[[#This Row],[FMO Volume Name]]=NfsExportsVNets[FMO Volume Name],NfsExportsVNets[FMO Vnet Subnet],""))</f>
        <v/>
      </c>
      <c r="O144" t="str" cm="1">
        <f t="array" ref="O144">_xlfn.TEXTJOIN(",",TRUE,IF(NfsExports[[#This Row],[FMO Volume Name]]=NfsExportsSubnets[FMO Volume Name],NfsExportsSubnets[FMO Subnet CIDR],""))</f>
        <v/>
      </c>
      <c r="P144" t="str" cm="1">
        <f t="array" ref="P144">IFERROR(_xlfn.TEXTJOIN(",",TRUE,_xlfn._xlws.FILTER(NfsExportsServices[FMO VM Name Summary],NfsExports[[#This Row],[FMO Volume Name]]=NfsExportsServices[FMO Volume Name])),"")</f>
        <v/>
      </c>
      <c r="Q144" s="31" t="str">
        <f>_xlfn.TEXTJOIN(",",TRUE,NfsExports[[#This Row],[FMO Export Override]:[FMO Export Service IPs]])</f>
        <v>10.98.73.150</v>
      </c>
      <c r="R144" s="31" t="str">
        <f>NfsExports[[#This Row],[FMO Mount Path Estimated]]&amp;" "&amp;NfsExports[[#This Row],[Required Quota (GB)]]&amp;"GB"</f>
        <v>/apps/pcehr 30GB</v>
      </c>
      <c r="S144" s="31" t="s">
        <v>3349</v>
      </c>
      <c r="T144" s="31" t="s">
        <v>4723</v>
      </c>
      <c r="U144" s="32" t="s">
        <v>3654</v>
      </c>
      <c r="V144">
        <v>12.8</v>
      </c>
      <c r="W144" s="31">
        <f>MAX(0,NfsExports[[#This Row],[Prospective throughput]]-(NfsExports[[#This Row],[Configured Quota (GB)]]*0.064))</f>
        <v>6.4</v>
      </c>
    </row>
    <row r="145" spans="1:23" x14ac:dyDescent="0.35">
      <c r="A145" s="138" t="s">
        <v>3199</v>
      </c>
      <c r="B145" s="138" t="s">
        <v>3216</v>
      </c>
      <c r="C145" s="67" t="s">
        <v>3655</v>
      </c>
      <c r="D145" s="65" t="s">
        <v>3656</v>
      </c>
      <c r="E145" s="31" t="str">
        <f>SUBSTITUTE(NfsExports[[#This Row],[FMO Volume Name]],"_","-")</f>
        <v>vmpfbpf2olg09-apps-pcehr</v>
      </c>
      <c r="F145" s="66" t="s">
        <v>3248</v>
      </c>
      <c r="G145" s="67">
        <v>30</v>
      </c>
      <c r="H145" s="31">
        <f>MAX(NfsExports[[#This Row],[Required Quota (GB)]],100)</f>
        <v>100</v>
      </c>
      <c r="I145">
        <v>12.8</v>
      </c>
      <c r="K145" s="66" t="s">
        <v>3249</v>
      </c>
      <c r="M14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10.98.73.151</v>
      </c>
      <c r="N145" t="str" cm="1">
        <f t="array" ref="N145">_xlfn.TEXTJOIN(",",TRUE,IF(NfsExports[[#This Row],[FMO Volume Name]]=NfsExportsVNets[FMO Volume Name],NfsExportsVNets[FMO Vnet Subnet],""))</f>
        <v/>
      </c>
      <c r="O145" t="str" cm="1">
        <f t="array" ref="O145">_xlfn.TEXTJOIN(",",TRUE,IF(NfsExports[[#This Row],[FMO Volume Name]]=NfsExportsSubnets[FMO Volume Name],NfsExportsSubnets[FMO Subnet CIDR],""))</f>
        <v/>
      </c>
      <c r="P145" t="str" cm="1">
        <f t="array" ref="P145">IFERROR(_xlfn.TEXTJOIN(",",TRUE,_xlfn._xlws.FILTER(NfsExportsServices[FMO VM Name Summary],NfsExports[[#This Row],[FMO Volume Name]]=NfsExportsServices[FMO Volume Name])),"")</f>
        <v/>
      </c>
      <c r="Q145" s="31" t="str">
        <f>_xlfn.TEXTJOIN(",",TRUE,NfsExports[[#This Row],[FMO Export Override]:[FMO Export Service IPs]])</f>
        <v>10.98.73.151</v>
      </c>
      <c r="R145" s="31" t="str">
        <f>NfsExports[[#This Row],[FMO Mount Path Estimated]]&amp;" "&amp;NfsExports[[#This Row],[Required Quota (GB)]]&amp;"GB"</f>
        <v>/apps/pcehr 30GB</v>
      </c>
      <c r="S145" s="31" t="s">
        <v>3349</v>
      </c>
      <c r="T145" s="31" t="s">
        <v>4723</v>
      </c>
      <c r="U145" s="32" t="s">
        <v>3657</v>
      </c>
      <c r="V145">
        <v>12.8</v>
      </c>
      <c r="W145" s="31">
        <f>MAX(0,NfsExports[[#This Row],[Prospective throughput]]-(NfsExports[[#This Row],[Configured Quota (GB)]]*0.064))</f>
        <v>6.4</v>
      </c>
    </row>
    <row r="146" spans="1:23" x14ac:dyDescent="0.35">
      <c r="A146" s="138" t="s">
        <v>3199</v>
      </c>
      <c r="B146" s="138" t="s">
        <v>3216</v>
      </c>
      <c r="C146" s="67" t="s">
        <v>3658</v>
      </c>
      <c r="D146" s="66" t="s">
        <v>3659</v>
      </c>
      <c r="E146" s="31" t="str">
        <f>SUBSTITUTE(NfsExports[[#This Row],[FMO Volume Name]],"_","-")</f>
        <v>vmpfbpf2olg10-apps-pcehr</v>
      </c>
      <c r="F146" s="66" t="s">
        <v>3248</v>
      </c>
      <c r="G146" s="67">
        <v>30</v>
      </c>
      <c r="H146" s="31">
        <f>MAX(NfsExports[[#This Row],[Required Quota (GB)]],100)</f>
        <v>100</v>
      </c>
      <c r="I146">
        <v>12.8</v>
      </c>
      <c r="K146" s="66" t="s">
        <v>3249</v>
      </c>
      <c r="M14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10.98.73.152</v>
      </c>
      <c r="N146" t="str" cm="1">
        <f t="array" ref="N146">_xlfn.TEXTJOIN(",",TRUE,IF(NfsExports[[#This Row],[FMO Volume Name]]=NfsExportsVNets[FMO Volume Name],NfsExportsVNets[FMO Vnet Subnet],""))</f>
        <v/>
      </c>
      <c r="O146" t="str" cm="1">
        <f t="array" ref="O146">_xlfn.TEXTJOIN(",",TRUE,IF(NfsExports[[#This Row],[FMO Volume Name]]=NfsExportsSubnets[FMO Volume Name],NfsExportsSubnets[FMO Subnet CIDR],""))</f>
        <v/>
      </c>
      <c r="P146" t="str" cm="1">
        <f t="array" ref="P146">IFERROR(_xlfn.TEXTJOIN(",",TRUE,_xlfn._xlws.FILTER(NfsExportsServices[FMO VM Name Summary],NfsExports[[#This Row],[FMO Volume Name]]=NfsExportsServices[FMO Volume Name])),"")</f>
        <v/>
      </c>
      <c r="Q146" s="31" t="str">
        <f>_xlfn.TEXTJOIN(",",TRUE,NfsExports[[#This Row],[FMO Export Override]:[FMO Export Service IPs]])</f>
        <v>10.98.73.152</v>
      </c>
      <c r="R146" s="31" t="str">
        <f>NfsExports[[#This Row],[FMO Mount Path Estimated]]&amp;" "&amp;NfsExports[[#This Row],[Required Quota (GB)]]&amp;"GB"</f>
        <v>/apps/pcehr 30GB</v>
      </c>
      <c r="S146" s="31" t="s">
        <v>3349</v>
      </c>
      <c r="T146" s="31" t="s">
        <v>4723</v>
      </c>
      <c r="U146" s="32" t="s">
        <v>3660</v>
      </c>
      <c r="V146">
        <v>12.8</v>
      </c>
      <c r="W146" s="31">
        <f>MAX(0,NfsExports[[#This Row],[Prospective throughput]]-(NfsExports[[#This Row],[Configured Quota (GB)]]*0.064))</f>
        <v>6.4</v>
      </c>
    </row>
    <row r="147" spans="1:23" x14ac:dyDescent="0.35">
      <c r="A147" s="138" t="s">
        <v>3199</v>
      </c>
      <c r="B147" s="138" t="s">
        <v>3216</v>
      </c>
      <c r="C147" s="67" t="s">
        <v>3661</v>
      </c>
      <c r="D147" s="65" t="s">
        <v>3662</v>
      </c>
      <c r="E147" s="31" t="str">
        <f>SUBSTITUTE(NfsExports[[#This Row],[FMO Volume Name]],"_","-")</f>
        <v>vmpfbpf2osb01-apps-pcehr</v>
      </c>
      <c r="F147" s="66" t="s">
        <v>3248</v>
      </c>
      <c r="G147" s="67">
        <v>30</v>
      </c>
      <c r="H147" s="31">
        <f>MAX(NfsExports[[#This Row],[Required Quota (GB)]],100)</f>
        <v>100</v>
      </c>
      <c r="I147">
        <v>16</v>
      </c>
      <c r="K147" s="66" t="s">
        <v>3249</v>
      </c>
      <c r="M14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10.98.73.175</v>
      </c>
      <c r="N147" t="str" cm="1">
        <f t="array" ref="N147">_xlfn.TEXTJOIN(",",TRUE,IF(NfsExports[[#This Row],[FMO Volume Name]]=NfsExportsVNets[FMO Volume Name],NfsExportsVNets[FMO Vnet Subnet],""))</f>
        <v/>
      </c>
      <c r="O147" t="str" cm="1">
        <f t="array" ref="O147">_xlfn.TEXTJOIN(",",TRUE,IF(NfsExports[[#This Row],[FMO Volume Name]]=NfsExportsSubnets[FMO Volume Name],NfsExportsSubnets[FMO Subnet CIDR],""))</f>
        <v/>
      </c>
      <c r="P147" t="str" cm="1">
        <f t="array" ref="P147">IFERROR(_xlfn.TEXTJOIN(",",TRUE,_xlfn._xlws.FILTER(NfsExportsServices[FMO VM Name Summary],NfsExports[[#This Row],[FMO Volume Name]]=NfsExportsServices[FMO Volume Name])),"")</f>
        <v/>
      </c>
      <c r="Q147" s="31" t="str">
        <f>_xlfn.TEXTJOIN(",",TRUE,NfsExports[[#This Row],[FMO Export Override]:[FMO Export Service IPs]])</f>
        <v>10.98.73.175</v>
      </c>
      <c r="R147" s="31" t="str">
        <f>NfsExports[[#This Row],[FMO Mount Path Estimated]]&amp;" "&amp;NfsExports[[#This Row],[Required Quota (GB)]]&amp;"GB"</f>
        <v>/apps/pcehr 30GB</v>
      </c>
      <c r="S147" s="31" t="s">
        <v>3281</v>
      </c>
      <c r="T147" s="31" t="s">
        <v>4723</v>
      </c>
      <c r="U147" s="32" t="s">
        <v>3663</v>
      </c>
      <c r="V147">
        <v>16</v>
      </c>
      <c r="W147" s="31">
        <f>MAX(0,NfsExports[[#This Row],[Prospective throughput]]-(NfsExports[[#This Row],[Configured Quota (GB)]]*0.064))</f>
        <v>9.6</v>
      </c>
    </row>
    <row r="148" spans="1:23" x14ac:dyDescent="0.35">
      <c r="A148" s="138" t="s">
        <v>3199</v>
      </c>
      <c r="B148" s="138" t="s">
        <v>3216</v>
      </c>
      <c r="C148" s="67" t="s">
        <v>3664</v>
      </c>
      <c r="D148" s="66" t="s">
        <v>3665</v>
      </c>
      <c r="E148" s="31" t="str">
        <f>SUBSTITUTE(NfsExports[[#This Row],[FMO Volume Name]],"_","-")</f>
        <v>vmpfbpf2osb02-apps-pcehr</v>
      </c>
      <c r="F148" s="66" t="s">
        <v>3248</v>
      </c>
      <c r="G148" s="67">
        <v>30</v>
      </c>
      <c r="H148" s="31">
        <f>MAX(NfsExports[[#This Row],[Required Quota (GB)]],100)</f>
        <v>100</v>
      </c>
      <c r="I148">
        <v>12.8</v>
      </c>
      <c r="K148" s="66" t="s">
        <v>3249</v>
      </c>
      <c r="M14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10.98.73.176</v>
      </c>
      <c r="N148" t="str" cm="1">
        <f t="array" ref="N148">_xlfn.TEXTJOIN(",",TRUE,IF(NfsExports[[#This Row],[FMO Volume Name]]=NfsExportsVNets[FMO Volume Name],NfsExportsVNets[FMO Vnet Subnet],""))</f>
        <v/>
      </c>
      <c r="O148" t="str" cm="1">
        <f t="array" ref="O148">_xlfn.TEXTJOIN(",",TRUE,IF(NfsExports[[#This Row],[FMO Volume Name]]=NfsExportsSubnets[FMO Volume Name],NfsExportsSubnets[FMO Subnet CIDR],""))</f>
        <v/>
      </c>
      <c r="P148" t="str" cm="1">
        <f t="array" ref="P148">IFERROR(_xlfn.TEXTJOIN(",",TRUE,_xlfn._xlws.FILTER(NfsExportsServices[FMO VM Name Summary],NfsExports[[#This Row],[FMO Volume Name]]=NfsExportsServices[FMO Volume Name])),"")</f>
        <v/>
      </c>
      <c r="Q148" s="31" t="str">
        <f>_xlfn.TEXTJOIN(",",TRUE,NfsExports[[#This Row],[FMO Export Override]:[FMO Export Service IPs]])</f>
        <v>10.98.73.176</v>
      </c>
      <c r="R148" s="31" t="str">
        <f>NfsExports[[#This Row],[FMO Mount Path Estimated]]&amp;" "&amp;NfsExports[[#This Row],[Required Quota (GB)]]&amp;"GB"</f>
        <v>/apps/pcehr 30GB</v>
      </c>
      <c r="S148" s="31" t="s">
        <v>3250</v>
      </c>
      <c r="T148" s="31" t="s">
        <v>4723</v>
      </c>
      <c r="U148" s="32" t="s">
        <v>3666</v>
      </c>
      <c r="V148">
        <v>12.8</v>
      </c>
      <c r="W148" s="31">
        <f>MAX(0,NfsExports[[#This Row],[Prospective throughput]]-(NfsExports[[#This Row],[Configured Quota (GB)]]*0.064))</f>
        <v>6.4</v>
      </c>
    </row>
    <row r="149" spans="1:23" x14ac:dyDescent="0.35">
      <c r="A149" s="138" t="s">
        <v>3199</v>
      </c>
      <c r="B149" s="138" t="s">
        <v>3216</v>
      </c>
      <c r="C149" s="67" t="s">
        <v>3667</v>
      </c>
      <c r="D149" s="65" t="s">
        <v>3668</v>
      </c>
      <c r="E149" s="31" t="str">
        <f>SUBSTITUTE(NfsExports[[#This Row],[FMO Volume Name]],"_","-")</f>
        <v>vmpfbpf2osb03-apps-pcehr</v>
      </c>
      <c r="F149" s="66" t="s">
        <v>3248</v>
      </c>
      <c r="G149" s="67">
        <v>30</v>
      </c>
      <c r="H149" s="31">
        <f>MAX(NfsExports[[#This Row],[Required Quota (GB)]],100)</f>
        <v>100</v>
      </c>
      <c r="I149">
        <v>12.8</v>
      </c>
      <c r="K149" s="66" t="s">
        <v>3249</v>
      </c>
      <c r="M14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10.98.73.177</v>
      </c>
      <c r="N149" t="str" cm="1">
        <f t="array" ref="N149">_xlfn.TEXTJOIN(",",TRUE,IF(NfsExports[[#This Row],[FMO Volume Name]]=NfsExportsVNets[FMO Volume Name],NfsExportsVNets[FMO Vnet Subnet],""))</f>
        <v/>
      </c>
      <c r="O149" t="str" cm="1">
        <f t="array" ref="O149">_xlfn.TEXTJOIN(",",TRUE,IF(NfsExports[[#This Row],[FMO Volume Name]]=NfsExportsSubnets[FMO Volume Name],NfsExportsSubnets[FMO Subnet CIDR],""))</f>
        <v/>
      </c>
      <c r="P149" t="str" cm="1">
        <f t="array" ref="P149">IFERROR(_xlfn.TEXTJOIN(",",TRUE,_xlfn._xlws.FILTER(NfsExportsServices[FMO VM Name Summary],NfsExports[[#This Row],[FMO Volume Name]]=NfsExportsServices[FMO Volume Name])),"")</f>
        <v/>
      </c>
      <c r="Q149" s="31" t="str">
        <f>_xlfn.TEXTJOIN(",",TRUE,NfsExports[[#This Row],[FMO Export Override]:[FMO Export Service IPs]])</f>
        <v>10.98.73.177</v>
      </c>
      <c r="R149" s="31" t="str">
        <f>NfsExports[[#This Row],[FMO Mount Path Estimated]]&amp;" "&amp;NfsExports[[#This Row],[Required Quota (GB)]]&amp;"GB"</f>
        <v>/apps/pcehr 30GB</v>
      </c>
      <c r="S149" s="31" t="s">
        <v>3250</v>
      </c>
      <c r="T149" s="31" t="s">
        <v>4723</v>
      </c>
      <c r="U149" s="32" t="s">
        <v>3669</v>
      </c>
      <c r="V149">
        <v>12.8</v>
      </c>
      <c r="W149" s="31">
        <f>MAX(0,NfsExports[[#This Row],[Prospective throughput]]-(NfsExports[[#This Row],[Configured Quota (GB)]]*0.064))</f>
        <v>6.4</v>
      </c>
    </row>
    <row r="150" spans="1:23" x14ac:dyDescent="0.35">
      <c r="A150" s="138" t="s">
        <v>3199</v>
      </c>
      <c r="B150" s="138" t="s">
        <v>3216</v>
      </c>
      <c r="C150" s="67" t="s">
        <v>3670</v>
      </c>
      <c r="D150" s="66" t="s">
        <v>3671</v>
      </c>
      <c r="E150" s="31" t="str">
        <f>SUBSTITUTE(NfsExports[[#This Row],[FMO Volume Name]],"_","-")</f>
        <v>vmpfbpf2osb04-apps-pcehr</v>
      </c>
      <c r="F150" s="66" t="s">
        <v>3248</v>
      </c>
      <c r="G150" s="67">
        <v>30</v>
      </c>
      <c r="H150" s="31">
        <f>MAX(NfsExports[[#This Row],[Required Quota (GB)]],100)</f>
        <v>100</v>
      </c>
      <c r="I150">
        <v>12.8</v>
      </c>
      <c r="K150" s="66" t="s">
        <v>3249</v>
      </c>
      <c r="M15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10.98.73.178</v>
      </c>
      <c r="N150" t="str" cm="1">
        <f t="array" ref="N150">_xlfn.TEXTJOIN(",",TRUE,IF(NfsExports[[#This Row],[FMO Volume Name]]=NfsExportsVNets[FMO Volume Name],NfsExportsVNets[FMO Vnet Subnet],""))</f>
        <v/>
      </c>
      <c r="O150" t="str" cm="1">
        <f t="array" ref="O150">_xlfn.TEXTJOIN(",",TRUE,IF(NfsExports[[#This Row],[FMO Volume Name]]=NfsExportsSubnets[FMO Volume Name],NfsExportsSubnets[FMO Subnet CIDR],""))</f>
        <v/>
      </c>
      <c r="P150" t="str" cm="1">
        <f t="array" ref="P150">IFERROR(_xlfn.TEXTJOIN(",",TRUE,_xlfn._xlws.FILTER(NfsExportsServices[FMO VM Name Summary],NfsExports[[#This Row],[FMO Volume Name]]=NfsExportsServices[FMO Volume Name])),"")</f>
        <v/>
      </c>
      <c r="Q150" s="31" t="str">
        <f>_xlfn.TEXTJOIN(",",TRUE,NfsExports[[#This Row],[FMO Export Override]:[FMO Export Service IPs]])</f>
        <v>10.98.73.178</v>
      </c>
      <c r="R150" s="31" t="str">
        <f>NfsExports[[#This Row],[FMO Mount Path Estimated]]&amp;" "&amp;NfsExports[[#This Row],[Required Quota (GB)]]&amp;"GB"</f>
        <v>/apps/pcehr 30GB</v>
      </c>
      <c r="S150" s="31" t="s">
        <v>3250</v>
      </c>
      <c r="T150" s="31" t="s">
        <v>4723</v>
      </c>
      <c r="U150" s="32" t="s">
        <v>3672</v>
      </c>
      <c r="V150">
        <v>12.8</v>
      </c>
      <c r="W150" s="31">
        <f>MAX(0,NfsExports[[#This Row],[Prospective throughput]]-(NfsExports[[#This Row],[Configured Quota (GB)]]*0.064))</f>
        <v>6.4</v>
      </c>
    </row>
    <row r="151" spans="1:23" x14ac:dyDescent="0.35">
      <c r="A151" s="138" t="s">
        <v>3199</v>
      </c>
      <c r="B151" s="138" t="s">
        <v>3216</v>
      </c>
      <c r="C151" s="67" t="s">
        <v>3673</v>
      </c>
      <c r="D151" s="65" t="s">
        <v>3674</v>
      </c>
      <c r="E151" s="31" t="str">
        <f>SUBSTITUTE(NfsExports[[#This Row],[FMO Volume Name]],"_","-")</f>
        <v>vmpfbpf2osb05-apps-pcehr</v>
      </c>
      <c r="F151" s="66" t="s">
        <v>3248</v>
      </c>
      <c r="G151" s="67">
        <v>30</v>
      </c>
      <c r="H151" s="31">
        <f>MAX(NfsExports[[#This Row],[Required Quota (GB)]],100)</f>
        <v>100</v>
      </c>
      <c r="I151">
        <v>12.8</v>
      </c>
      <c r="K151" s="66" t="s">
        <v>3249</v>
      </c>
      <c r="M15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10.98.73.179</v>
      </c>
      <c r="N151" t="str" cm="1">
        <f t="array" ref="N151">_xlfn.TEXTJOIN(",",TRUE,IF(NfsExports[[#This Row],[FMO Volume Name]]=NfsExportsVNets[FMO Volume Name],NfsExportsVNets[FMO Vnet Subnet],""))</f>
        <v/>
      </c>
      <c r="O151" t="str" cm="1">
        <f t="array" ref="O151">_xlfn.TEXTJOIN(",",TRUE,IF(NfsExports[[#This Row],[FMO Volume Name]]=NfsExportsSubnets[FMO Volume Name],NfsExportsSubnets[FMO Subnet CIDR],""))</f>
        <v/>
      </c>
      <c r="P151" t="str" cm="1">
        <f t="array" ref="P151">IFERROR(_xlfn.TEXTJOIN(",",TRUE,_xlfn._xlws.FILTER(NfsExportsServices[FMO VM Name Summary],NfsExports[[#This Row],[FMO Volume Name]]=NfsExportsServices[FMO Volume Name])),"")</f>
        <v/>
      </c>
      <c r="Q151" s="31" t="str">
        <f>_xlfn.TEXTJOIN(",",TRUE,NfsExports[[#This Row],[FMO Export Override]:[FMO Export Service IPs]])</f>
        <v>10.98.73.179</v>
      </c>
      <c r="R151" s="31" t="str">
        <f>NfsExports[[#This Row],[FMO Mount Path Estimated]]&amp;" "&amp;NfsExports[[#This Row],[Required Quota (GB)]]&amp;"GB"</f>
        <v>/apps/pcehr 30GB</v>
      </c>
      <c r="S151" s="31" t="s">
        <v>3250</v>
      </c>
      <c r="T151" s="31" t="s">
        <v>4723</v>
      </c>
      <c r="U151" s="32" t="s">
        <v>3675</v>
      </c>
      <c r="V151">
        <v>12.8</v>
      </c>
      <c r="W151" s="31">
        <f>MAX(0,NfsExports[[#This Row],[Prospective throughput]]-(NfsExports[[#This Row],[Configured Quota (GB)]]*0.064))</f>
        <v>6.4</v>
      </c>
    </row>
    <row r="152" spans="1:23" x14ac:dyDescent="0.35">
      <c r="A152" s="138" t="s">
        <v>3199</v>
      </c>
      <c r="B152" s="138" t="s">
        <v>3216</v>
      </c>
      <c r="C152" s="67" t="s">
        <v>3676</v>
      </c>
      <c r="D152" s="66" t="s">
        <v>3677</v>
      </c>
      <c r="E152" s="31" t="str">
        <f>SUBSTITUTE(NfsExports[[#This Row],[FMO Volume Name]],"_","-")</f>
        <v>vmpfbpf2osb06-apps-pcehr</v>
      </c>
      <c r="F152" s="66" t="s">
        <v>3248</v>
      </c>
      <c r="G152" s="67">
        <v>30</v>
      </c>
      <c r="H152" s="31">
        <f>MAX(NfsExports[[#This Row],[Required Quota (GB)]],100)</f>
        <v>100</v>
      </c>
      <c r="I152">
        <v>12.8</v>
      </c>
      <c r="K152" s="66" t="s">
        <v>3249</v>
      </c>
      <c r="M15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10.98.73.180</v>
      </c>
      <c r="N152" t="str" cm="1">
        <f t="array" ref="N152">_xlfn.TEXTJOIN(",",TRUE,IF(NfsExports[[#This Row],[FMO Volume Name]]=NfsExportsVNets[FMO Volume Name],NfsExportsVNets[FMO Vnet Subnet],""))</f>
        <v/>
      </c>
      <c r="O152" t="str" cm="1">
        <f t="array" ref="O152">_xlfn.TEXTJOIN(",",TRUE,IF(NfsExports[[#This Row],[FMO Volume Name]]=NfsExportsSubnets[FMO Volume Name],NfsExportsSubnets[FMO Subnet CIDR],""))</f>
        <v/>
      </c>
      <c r="P152" t="str" cm="1">
        <f t="array" ref="P152">IFERROR(_xlfn.TEXTJOIN(",",TRUE,_xlfn._xlws.FILTER(NfsExportsServices[FMO VM Name Summary],NfsExports[[#This Row],[FMO Volume Name]]=NfsExportsServices[FMO Volume Name])),"")</f>
        <v/>
      </c>
      <c r="Q152" s="31" t="str">
        <f>_xlfn.TEXTJOIN(",",TRUE,NfsExports[[#This Row],[FMO Export Override]:[FMO Export Service IPs]])</f>
        <v>10.98.73.180</v>
      </c>
      <c r="R152" s="31" t="str">
        <f>NfsExports[[#This Row],[FMO Mount Path Estimated]]&amp;" "&amp;NfsExports[[#This Row],[Required Quota (GB)]]&amp;"GB"</f>
        <v>/apps/pcehr 30GB</v>
      </c>
      <c r="S152" s="31" t="s">
        <v>3250</v>
      </c>
      <c r="T152" s="31" t="s">
        <v>4723</v>
      </c>
      <c r="U152" s="32" t="s">
        <v>3678</v>
      </c>
      <c r="V152">
        <v>12.8</v>
      </c>
      <c r="W152" s="31">
        <f>MAX(0,NfsExports[[#This Row],[Prospective throughput]]-(NfsExports[[#This Row],[Configured Quota (GB)]]*0.064))</f>
        <v>6.4</v>
      </c>
    </row>
    <row r="153" spans="1:23" x14ac:dyDescent="0.35">
      <c r="A153" s="138" t="s">
        <v>3199</v>
      </c>
      <c r="B153" s="138" t="s">
        <v>3216</v>
      </c>
      <c r="C153" s="67" t="s">
        <v>3679</v>
      </c>
      <c r="D153" s="65" t="s">
        <v>3680</v>
      </c>
      <c r="E153" s="31" t="str">
        <f>SUBSTITUTE(NfsExports[[#This Row],[FMO Volume Name]],"_","-")</f>
        <v>vmpfbpf2osb07-apps-pcehr</v>
      </c>
      <c r="F153" s="66" t="s">
        <v>3248</v>
      </c>
      <c r="G153" s="67">
        <v>30</v>
      </c>
      <c r="H153" s="31">
        <f>MAX(NfsExports[[#This Row],[Required Quota (GB)]],100)</f>
        <v>100</v>
      </c>
      <c r="I153">
        <v>12.8</v>
      </c>
      <c r="K153" s="66" t="s">
        <v>3249</v>
      </c>
      <c r="M15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10.98.73.181</v>
      </c>
      <c r="N153" t="str" cm="1">
        <f t="array" ref="N153">_xlfn.TEXTJOIN(",",TRUE,IF(NfsExports[[#This Row],[FMO Volume Name]]=NfsExportsVNets[FMO Volume Name],NfsExportsVNets[FMO Vnet Subnet],""))</f>
        <v/>
      </c>
      <c r="O153" t="str" cm="1">
        <f t="array" ref="O153">_xlfn.TEXTJOIN(",",TRUE,IF(NfsExports[[#This Row],[FMO Volume Name]]=NfsExportsSubnets[FMO Volume Name],NfsExportsSubnets[FMO Subnet CIDR],""))</f>
        <v/>
      </c>
      <c r="P153" t="str" cm="1">
        <f t="array" ref="P153">IFERROR(_xlfn.TEXTJOIN(",",TRUE,_xlfn._xlws.FILTER(NfsExportsServices[FMO VM Name Summary],NfsExports[[#This Row],[FMO Volume Name]]=NfsExportsServices[FMO Volume Name])),"")</f>
        <v/>
      </c>
      <c r="Q153" s="31" t="str">
        <f>_xlfn.TEXTJOIN(",",TRUE,NfsExports[[#This Row],[FMO Export Override]:[FMO Export Service IPs]])</f>
        <v>10.98.73.181</v>
      </c>
      <c r="R153" s="31" t="str">
        <f>NfsExports[[#This Row],[FMO Mount Path Estimated]]&amp;" "&amp;NfsExports[[#This Row],[Required Quota (GB)]]&amp;"GB"</f>
        <v>/apps/pcehr 30GB</v>
      </c>
      <c r="S153" s="31" t="s">
        <v>3250</v>
      </c>
      <c r="T153" s="31" t="s">
        <v>4723</v>
      </c>
      <c r="U153" s="32" t="s">
        <v>3681</v>
      </c>
      <c r="V153">
        <v>12.8</v>
      </c>
      <c r="W153" s="31">
        <f>MAX(0,NfsExports[[#This Row],[Prospective throughput]]-(NfsExports[[#This Row],[Configured Quota (GB)]]*0.064))</f>
        <v>6.4</v>
      </c>
    </row>
    <row r="154" spans="1:23" x14ac:dyDescent="0.35">
      <c r="A154" s="138" t="s">
        <v>3199</v>
      </c>
      <c r="B154" s="138" t="s">
        <v>3216</v>
      </c>
      <c r="C154" s="67" t="s">
        <v>3682</v>
      </c>
      <c r="D154" s="66" t="s">
        <v>3683</v>
      </c>
      <c r="E154" s="31" t="str">
        <f>SUBSTITUTE(NfsExports[[#This Row],[FMO Volume Name]],"_","-")</f>
        <v>vmpfbpf2osb08-apps-pcehr</v>
      </c>
      <c r="F154" s="66" t="s">
        <v>3248</v>
      </c>
      <c r="G154" s="67">
        <v>30</v>
      </c>
      <c r="H154" s="31">
        <f>MAX(NfsExports[[#This Row],[Required Quota (GB)]],100)</f>
        <v>100</v>
      </c>
      <c r="I154">
        <v>12.8</v>
      </c>
      <c r="K154" s="66" t="s">
        <v>3249</v>
      </c>
      <c r="M15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10.98.73.182</v>
      </c>
      <c r="N154" t="str" cm="1">
        <f t="array" ref="N154">_xlfn.TEXTJOIN(",",TRUE,IF(NfsExports[[#This Row],[FMO Volume Name]]=NfsExportsVNets[FMO Volume Name],NfsExportsVNets[FMO Vnet Subnet],""))</f>
        <v/>
      </c>
      <c r="O154" t="str" cm="1">
        <f t="array" ref="O154">_xlfn.TEXTJOIN(",",TRUE,IF(NfsExports[[#This Row],[FMO Volume Name]]=NfsExportsSubnets[FMO Volume Name],NfsExportsSubnets[FMO Subnet CIDR],""))</f>
        <v/>
      </c>
      <c r="P154" t="str" cm="1">
        <f t="array" ref="P154">IFERROR(_xlfn.TEXTJOIN(",",TRUE,_xlfn._xlws.FILTER(NfsExportsServices[FMO VM Name Summary],NfsExports[[#This Row],[FMO Volume Name]]=NfsExportsServices[FMO Volume Name])),"")</f>
        <v/>
      </c>
      <c r="Q154" s="31" t="str">
        <f>_xlfn.TEXTJOIN(",",TRUE,NfsExports[[#This Row],[FMO Export Override]:[FMO Export Service IPs]])</f>
        <v>10.98.73.182</v>
      </c>
      <c r="R154" s="31" t="str">
        <f>NfsExports[[#This Row],[FMO Mount Path Estimated]]&amp;" "&amp;NfsExports[[#This Row],[Required Quota (GB)]]&amp;"GB"</f>
        <v>/apps/pcehr 30GB</v>
      </c>
      <c r="S154" s="31" t="s">
        <v>3250</v>
      </c>
      <c r="T154" s="31" t="s">
        <v>4723</v>
      </c>
      <c r="U154" s="32" t="s">
        <v>3684</v>
      </c>
      <c r="V154">
        <v>12.8</v>
      </c>
      <c r="W154" s="31">
        <f>MAX(0,NfsExports[[#This Row],[Prospective throughput]]-(NfsExports[[#This Row],[Configured Quota (GB)]]*0.064))</f>
        <v>6.4</v>
      </c>
    </row>
    <row r="155" spans="1:23" x14ac:dyDescent="0.35">
      <c r="A155" s="138" t="s">
        <v>3199</v>
      </c>
      <c r="B155" s="138" t="s">
        <v>3216</v>
      </c>
      <c r="C155" s="67" t="s">
        <v>3685</v>
      </c>
      <c r="D155" s="65" t="s">
        <v>3686</v>
      </c>
      <c r="E155" s="31" t="str">
        <f>SUBSTITUTE(NfsExports[[#This Row],[FMO Volume Name]],"_","-")</f>
        <v>vmpfbpf2rho01-apps-pcehr</v>
      </c>
      <c r="F155" s="66" t="s">
        <v>3248</v>
      </c>
      <c r="G155" s="67">
        <v>30</v>
      </c>
      <c r="H155" s="31">
        <f>MAX(NfsExports[[#This Row],[Required Quota (GB)]],100)</f>
        <v>100</v>
      </c>
      <c r="I155">
        <v>12.8</v>
      </c>
      <c r="K155" s="66" t="s">
        <v>3249</v>
      </c>
      <c r="M15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10.98.72.94</v>
      </c>
      <c r="N155" t="str" cm="1">
        <f t="array" ref="N155">_xlfn.TEXTJOIN(",",TRUE,IF(NfsExports[[#This Row],[FMO Volume Name]]=NfsExportsVNets[FMO Volume Name],NfsExportsVNets[FMO Vnet Subnet],""))</f>
        <v/>
      </c>
      <c r="O155" t="str" cm="1">
        <f t="array" ref="O155">_xlfn.TEXTJOIN(",",TRUE,IF(NfsExports[[#This Row],[FMO Volume Name]]=NfsExportsSubnets[FMO Volume Name],NfsExportsSubnets[FMO Subnet CIDR],""))</f>
        <v/>
      </c>
      <c r="P155" t="str" cm="1">
        <f t="array" ref="P155">IFERROR(_xlfn.TEXTJOIN(",",TRUE,_xlfn._xlws.FILTER(NfsExportsServices[FMO VM Name Summary],NfsExports[[#This Row],[FMO Volume Name]]=NfsExportsServices[FMO Volume Name])),"")</f>
        <v/>
      </c>
      <c r="Q155" s="31" t="str">
        <f>_xlfn.TEXTJOIN(",",TRUE,NfsExports[[#This Row],[FMO Export Override]:[FMO Export Service IPs]])</f>
        <v>10.98.72.94</v>
      </c>
      <c r="R155" s="31" t="str">
        <f>NfsExports[[#This Row],[FMO Mount Path Estimated]]&amp;" "&amp;NfsExports[[#This Row],[Required Quota (GB)]]&amp;"GB"</f>
        <v>/apps/pcehr 30GB</v>
      </c>
      <c r="S155" s="31" t="s">
        <v>3250</v>
      </c>
      <c r="T155" s="31" t="s">
        <v>4723</v>
      </c>
      <c r="U155" s="32" t="s">
        <v>3687</v>
      </c>
      <c r="V155">
        <v>12.8</v>
      </c>
      <c r="W155" s="31">
        <f>MAX(0,NfsExports[[#This Row],[Prospective throughput]]-(NfsExports[[#This Row],[Configured Quota (GB)]]*0.064))</f>
        <v>6.4</v>
      </c>
    </row>
    <row r="156" spans="1:23" x14ac:dyDescent="0.35">
      <c r="A156" s="138" t="s">
        <v>3199</v>
      </c>
      <c r="B156" s="138" t="s">
        <v>3216</v>
      </c>
      <c r="C156" s="67" t="s">
        <v>3688</v>
      </c>
      <c r="D156" s="66" t="s">
        <v>3689</v>
      </c>
      <c r="E156" s="31" t="str">
        <f>SUBSTITUTE(NfsExports[[#This Row],[FMO Volume Name]],"_","-")</f>
        <v>vmpfbpf2rho02-apps-pcehr</v>
      </c>
      <c r="F156" s="66" t="s">
        <v>3248</v>
      </c>
      <c r="G156" s="67">
        <v>30</v>
      </c>
      <c r="H156" s="31">
        <f>MAX(NfsExports[[#This Row],[Required Quota (GB)]],100)</f>
        <v>100</v>
      </c>
      <c r="I156">
        <v>12.8</v>
      </c>
      <c r="K156" s="66" t="s">
        <v>3249</v>
      </c>
      <c r="M15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10.98.72.95</v>
      </c>
      <c r="N156" t="str" cm="1">
        <f t="array" ref="N156">_xlfn.TEXTJOIN(",",TRUE,IF(NfsExports[[#This Row],[FMO Volume Name]]=NfsExportsVNets[FMO Volume Name],NfsExportsVNets[FMO Vnet Subnet],""))</f>
        <v/>
      </c>
      <c r="O156" t="str" cm="1">
        <f t="array" ref="O156">_xlfn.TEXTJOIN(",",TRUE,IF(NfsExports[[#This Row],[FMO Volume Name]]=NfsExportsSubnets[FMO Volume Name],NfsExportsSubnets[FMO Subnet CIDR],""))</f>
        <v/>
      </c>
      <c r="P156" t="str" cm="1">
        <f t="array" ref="P156">IFERROR(_xlfn.TEXTJOIN(",",TRUE,_xlfn._xlws.FILTER(NfsExportsServices[FMO VM Name Summary],NfsExports[[#This Row],[FMO Volume Name]]=NfsExportsServices[FMO Volume Name])),"")</f>
        <v/>
      </c>
      <c r="Q156" s="31" t="str">
        <f>_xlfn.TEXTJOIN(",",TRUE,NfsExports[[#This Row],[FMO Export Override]:[FMO Export Service IPs]])</f>
        <v>10.98.72.95</v>
      </c>
      <c r="R156" s="31" t="str">
        <f>NfsExports[[#This Row],[FMO Mount Path Estimated]]&amp;" "&amp;NfsExports[[#This Row],[Required Quota (GB)]]&amp;"GB"</f>
        <v>/apps/pcehr 30GB</v>
      </c>
      <c r="S156" s="31" t="s">
        <v>3250</v>
      </c>
      <c r="T156" s="31" t="s">
        <v>4723</v>
      </c>
      <c r="U156" s="32" t="s">
        <v>3690</v>
      </c>
      <c r="V156">
        <v>12.8</v>
      </c>
      <c r="W156" s="31">
        <f>MAX(0,NfsExports[[#This Row],[Prospective throughput]]-(NfsExports[[#This Row],[Configured Quota (GB)]]*0.064))</f>
        <v>6.4</v>
      </c>
    </row>
    <row r="157" spans="1:23" x14ac:dyDescent="0.35">
      <c r="A157" s="138" t="s">
        <v>3199</v>
      </c>
      <c r="B157" s="138" t="s">
        <v>3216</v>
      </c>
      <c r="C157" s="67" t="s">
        <v>3691</v>
      </c>
      <c r="D157" s="65" t="s">
        <v>3692</v>
      </c>
      <c r="E157" s="31" t="str">
        <f>SUBSTITUTE(NfsExports[[#This Row],[FMO Volume Name]],"_","-")</f>
        <v>vmpfbpf2rho03-apps-pcehr</v>
      </c>
      <c r="F157" s="66" t="s">
        <v>3248</v>
      </c>
      <c r="G157" s="67">
        <v>30</v>
      </c>
      <c r="H157" s="31">
        <f>MAX(NfsExports[[#This Row],[Required Quota (GB)]],100)</f>
        <v>100</v>
      </c>
      <c r="I157">
        <v>12.8</v>
      </c>
      <c r="K157" s="66" t="s">
        <v>3249</v>
      </c>
      <c r="M15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10.98.72.96</v>
      </c>
      <c r="N157" t="str" cm="1">
        <f t="array" ref="N157">_xlfn.TEXTJOIN(",",TRUE,IF(NfsExports[[#This Row],[FMO Volume Name]]=NfsExportsVNets[FMO Volume Name],NfsExportsVNets[FMO Vnet Subnet],""))</f>
        <v/>
      </c>
      <c r="O157" t="str" cm="1">
        <f t="array" ref="O157">_xlfn.TEXTJOIN(",",TRUE,IF(NfsExports[[#This Row],[FMO Volume Name]]=NfsExportsSubnets[FMO Volume Name],NfsExportsSubnets[FMO Subnet CIDR],""))</f>
        <v/>
      </c>
      <c r="P157" t="str" cm="1">
        <f t="array" ref="P157">IFERROR(_xlfn.TEXTJOIN(",",TRUE,_xlfn._xlws.FILTER(NfsExportsServices[FMO VM Name Summary],NfsExports[[#This Row],[FMO Volume Name]]=NfsExportsServices[FMO Volume Name])),"")</f>
        <v/>
      </c>
      <c r="Q157" s="31" t="str">
        <f>_xlfn.TEXTJOIN(",",TRUE,NfsExports[[#This Row],[FMO Export Override]:[FMO Export Service IPs]])</f>
        <v>10.98.72.96</v>
      </c>
      <c r="R157" s="31" t="str">
        <f>NfsExports[[#This Row],[FMO Mount Path Estimated]]&amp;" "&amp;NfsExports[[#This Row],[Required Quota (GB)]]&amp;"GB"</f>
        <v>/apps/pcehr 30GB</v>
      </c>
      <c r="S157" s="31" t="s">
        <v>3250</v>
      </c>
      <c r="T157" s="31" t="s">
        <v>4723</v>
      </c>
      <c r="U157" s="32" t="s">
        <v>3693</v>
      </c>
      <c r="V157">
        <v>12.8</v>
      </c>
      <c r="W157" s="31">
        <f>MAX(0,NfsExports[[#This Row],[Prospective throughput]]-(NfsExports[[#This Row],[Configured Quota (GB)]]*0.064))</f>
        <v>6.4</v>
      </c>
    </row>
    <row r="158" spans="1:23" x14ac:dyDescent="0.35">
      <c r="A158" s="138" t="s">
        <v>3199</v>
      </c>
      <c r="B158" s="138" t="s">
        <v>3216</v>
      </c>
      <c r="C158" s="67" t="s">
        <v>3694</v>
      </c>
      <c r="D158" s="66" t="s">
        <v>3695</v>
      </c>
      <c r="E158" s="31" t="str">
        <f>SUBSTITUTE(NfsExports[[#This Row],[FMO Volume Name]],"_","-")</f>
        <v>vmpfbpf2wbc01-apps-pcehr</v>
      </c>
      <c r="F158" s="66" t="s">
        <v>3248</v>
      </c>
      <c r="G158" s="67">
        <v>30</v>
      </c>
      <c r="H158" s="31">
        <f>MAX(NfsExports[[#This Row],[Required Quota (GB)]],100)</f>
        <v>100</v>
      </c>
      <c r="I158">
        <v>12.8</v>
      </c>
      <c r="K158" s="66" t="s">
        <v>3249</v>
      </c>
      <c r="M15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10.98.73.187</v>
      </c>
      <c r="N158" t="str" cm="1">
        <f t="array" ref="N158">_xlfn.TEXTJOIN(",",TRUE,IF(NfsExports[[#This Row],[FMO Volume Name]]=NfsExportsVNets[FMO Volume Name],NfsExportsVNets[FMO Vnet Subnet],""))</f>
        <v/>
      </c>
      <c r="O158" t="str" cm="1">
        <f t="array" ref="O158">_xlfn.TEXTJOIN(",",TRUE,IF(NfsExports[[#This Row],[FMO Volume Name]]=NfsExportsSubnets[FMO Volume Name],NfsExportsSubnets[FMO Subnet CIDR],""))</f>
        <v/>
      </c>
      <c r="P158" t="str" cm="1">
        <f t="array" ref="P158">IFERROR(_xlfn.TEXTJOIN(",",TRUE,_xlfn._xlws.FILTER(NfsExportsServices[FMO VM Name Summary],NfsExports[[#This Row],[FMO Volume Name]]=NfsExportsServices[FMO Volume Name])),"")</f>
        <v/>
      </c>
      <c r="Q158" s="31" t="str">
        <f>_xlfn.TEXTJOIN(",",TRUE,NfsExports[[#This Row],[FMO Export Override]:[FMO Export Service IPs]])</f>
        <v>10.98.73.187</v>
      </c>
      <c r="R158" s="31" t="str">
        <f>NfsExports[[#This Row],[FMO Mount Path Estimated]]&amp;" "&amp;NfsExports[[#This Row],[Required Quota (GB)]]&amp;"GB"</f>
        <v>/apps/pcehr 30GB</v>
      </c>
      <c r="S158" s="31" t="s">
        <v>3514</v>
      </c>
      <c r="T158" s="31" t="s">
        <v>4723</v>
      </c>
      <c r="U158" s="32" t="s">
        <v>3696</v>
      </c>
      <c r="V158">
        <v>12.8</v>
      </c>
      <c r="W158" s="31">
        <f>MAX(0,NfsExports[[#This Row],[Prospective throughput]]-(NfsExports[[#This Row],[Configured Quota (GB)]]*0.064))</f>
        <v>6.4</v>
      </c>
    </row>
    <row r="159" spans="1:23" x14ac:dyDescent="0.35">
      <c r="A159" s="138" t="s">
        <v>3199</v>
      </c>
      <c r="B159" s="138" t="s">
        <v>3216</v>
      </c>
      <c r="C159" s="67" t="s">
        <v>3697</v>
      </c>
      <c r="D159" s="65" t="s">
        <v>3698</v>
      </c>
      <c r="E159" s="31" t="str">
        <f>SUBSTITUTE(NfsExports[[#This Row],[FMO Volume Name]],"_","-")</f>
        <v>vmpfbpf2wbc01-templatepackage</v>
      </c>
      <c r="F159" s="66" t="s">
        <v>3699</v>
      </c>
      <c r="G159" s="67">
        <v>10</v>
      </c>
      <c r="H159" s="31">
        <f>MAX(NfsExports[[#This Row],[Required Quota (GB)]],100)</f>
        <v>100</v>
      </c>
      <c r="I159">
        <v>12.8</v>
      </c>
      <c r="K159" s="66" t="s">
        <v>3249</v>
      </c>
      <c r="M15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10.98.73.187</v>
      </c>
      <c r="N159" t="str" cm="1">
        <f t="array" ref="N159">_xlfn.TEXTJOIN(",",TRUE,IF(NfsExports[[#This Row],[FMO Volume Name]]=NfsExportsVNets[FMO Volume Name],NfsExportsVNets[FMO Vnet Subnet],""))</f>
        <v/>
      </c>
      <c r="O159" t="str" cm="1">
        <f t="array" ref="O159">_xlfn.TEXTJOIN(",",TRUE,IF(NfsExports[[#This Row],[FMO Volume Name]]=NfsExportsSubnets[FMO Volume Name],NfsExportsSubnets[FMO Subnet CIDR],""))</f>
        <v/>
      </c>
      <c r="P159" t="str" cm="1">
        <f t="array" ref="P159">IFERROR(_xlfn.TEXTJOIN(",",TRUE,_xlfn._xlws.FILTER(NfsExportsServices[FMO VM Name Summary],NfsExports[[#This Row],[FMO Volume Name]]=NfsExportsServices[FMO Volume Name])),"")</f>
        <v/>
      </c>
      <c r="Q159" s="31" t="str">
        <f>_xlfn.TEXTJOIN(",",TRUE,NfsExports[[#This Row],[FMO Export Override]:[FMO Export Service IPs]])</f>
        <v>10.98.73.187</v>
      </c>
      <c r="R159" s="31" t="str">
        <f>NfsExports[[#This Row],[FMO Mount Path Estimated]]&amp;" "&amp;NfsExports[[#This Row],[Required Quota (GB)]]&amp;"GB"</f>
        <v>/TemplatePackage 10GB</v>
      </c>
      <c r="S159" s="31" t="s">
        <v>3250</v>
      </c>
      <c r="T159" s="31" t="s">
        <v>4723</v>
      </c>
      <c r="U159" s="32" t="s">
        <v>3700</v>
      </c>
      <c r="V159">
        <v>12.8</v>
      </c>
      <c r="W159" s="31">
        <f>MAX(0,NfsExports[[#This Row],[Prospective throughput]]-(NfsExports[[#This Row],[Configured Quota (GB)]]*0.064))</f>
        <v>6.4</v>
      </c>
    </row>
    <row r="160" spans="1:23" x14ac:dyDescent="0.35">
      <c r="A160" s="138" t="s">
        <v>3199</v>
      </c>
      <c r="B160" s="138" t="s">
        <v>3216</v>
      </c>
      <c r="C160" s="67" t="s">
        <v>3701</v>
      </c>
      <c r="D160" s="66" t="s">
        <v>3702</v>
      </c>
      <c r="E160" s="31" t="str">
        <f>SUBSTITUTE(NfsExports[[#This Row],[FMO Volume Name]],"_","-")</f>
        <v>vmpfbpf2wbc02-apps-pcehr</v>
      </c>
      <c r="F160" s="66" t="s">
        <v>3248</v>
      </c>
      <c r="G160" s="67">
        <v>30</v>
      </c>
      <c r="H160" s="31">
        <f>MAX(NfsExports[[#This Row],[Required Quota (GB)]],100)</f>
        <v>100</v>
      </c>
      <c r="I160">
        <v>12.8</v>
      </c>
      <c r="K160" s="66" t="s">
        <v>3249</v>
      </c>
      <c r="M16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10.98.73.188</v>
      </c>
      <c r="N160" t="str" cm="1">
        <f t="array" ref="N160">_xlfn.TEXTJOIN(",",TRUE,IF(NfsExports[[#This Row],[FMO Volume Name]]=NfsExportsVNets[FMO Volume Name],NfsExportsVNets[FMO Vnet Subnet],""))</f>
        <v/>
      </c>
      <c r="O160" t="str" cm="1">
        <f t="array" ref="O160">_xlfn.TEXTJOIN(",",TRUE,IF(NfsExports[[#This Row],[FMO Volume Name]]=NfsExportsSubnets[FMO Volume Name],NfsExportsSubnets[FMO Subnet CIDR],""))</f>
        <v/>
      </c>
      <c r="P160" t="str" cm="1">
        <f t="array" ref="P160">IFERROR(_xlfn.TEXTJOIN(",",TRUE,_xlfn._xlws.FILTER(NfsExportsServices[FMO VM Name Summary],NfsExports[[#This Row],[FMO Volume Name]]=NfsExportsServices[FMO Volume Name])),"")</f>
        <v/>
      </c>
      <c r="Q160" s="31" t="str">
        <f>_xlfn.TEXTJOIN(",",TRUE,NfsExports[[#This Row],[FMO Export Override]:[FMO Export Service IPs]])</f>
        <v>10.98.73.188</v>
      </c>
      <c r="R160" s="31" t="str">
        <f>NfsExports[[#This Row],[FMO Mount Path Estimated]]&amp;" "&amp;NfsExports[[#This Row],[Required Quota (GB)]]&amp;"GB"</f>
        <v>/apps/pcehr 30GB</v>
      </c>
      <c r="S160" s="31" t="s">
        <v>3514</v>
      </c>
      <c r="T160" s="31" t="s">
        <v>4723</v>
      </c>
      <c r="U160" s="32" t="s">
        <v>3703</v>
      </c>
      <c r="V160">
        <v>12.8</v>
      </c>
      <c r="W160" s="31">
        <f>MAX(0,NfsExports[[#This Row],[Prospective throughput]]-(NfsExports[[#This Row],[Configured Quota (GB)]]*0.064))</f>
        <v>6.4</v>
      </c>
    </row>
    <row r="161" spans="1:23" x14ac:dyDescent="0.35">
      <c r="A161" s="138" t="s">
        <v>3199</v>
      </c>
      <c r="B161" s="138" t="s">
        <v>3216</v>
      </c>
      <c r="C161" s="67" t="s">
        <v>3704</v>
      </c>
      <c r="D161" s="65" t="s">
        <v>3705</v>
      </c>
      <c r="E161" s="31" t="str">
        <f>SUBSTITUTE(NfsExports[[#This Row],[FMO Volume Name]],"_","-")</f>
        <v>vmpfbpf2wbc02-templatepackage</v>
      </c>
      <c r="F161" s="66" t="s">
        <v>3699</v>
      </c>
      <c r="G161" s="67">
        <v>10</v>
      </c>
      <c r="H161" s="31">
        <f>MAX(NfsExports[[#This Row],[Required Quota (GB)]],100)</f>
        <v>100</v>
      </c>
      <c r="I161">
        <v>12.8</v>
      </c>
      <c r="K161" s="66" t="s">
        <v>3249</v>
      </c>
      <c r="M16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10.98.73.188</v>
      </c>
      <c r="N161" t="str" cm="1">
        <f t="array" ref="N161">_xlfn.TEXTJOIN(",",TRUE,IF(NfsExports[[#This Row],[FMO Volume Name]]=NfsExportsVNets[FMO Volume Name],NfsExportsVNets[FMO Vnet Subnet],""))</f>
        <v/>
      </c>
      <c r="O161" t="str" cm="1">
        <f t="array" ref="O161">_xlfn.TEXTJOIN(",",TRUE,IF(NfsExports[[#This Row],[FMO Volume Name]]=NfsExportsSubnets[FMO Volume Name],NfsExportsSubnets[FMO Subnet CIDR],""))</f>
        <v/>
      </c>
      <c r="P161" t="str" cm="1">
        <f t="array" ref="P161">IFERROR(_xlfn.TEXTJOIN(",",TRUE,_xlfn._xlws.FILTER(NfsExportsServices[FMO VM Name Summary],NfsExports[[#This Row],[FMO Volume Name]]=NfsExportsServices[FMO Volume Name])),"")</f>
        <v/>
      </c>
      <c r="Q161" s="31" t="str">
        <f>_xlfn.TEXTJOIN(",",TRUE,NfsExports[[#This Row],[FMO Export Override]:[FMO Export Service IPs]])</f>
        <v>10.98.73.188</v>
      </c>
      <c r="R161" s="31" t="str">
        <f>NfsExports[[#This Row],[FMO Mount Path Estimated]]&amp;" "&amp;NfsExports[[#This Row],[Required Quota (GB)]]&amp;"GB"</f>
        <v>/TemplatePackage 10GB</v>
      </c>
      <c r="S161" s="31" t="s">
        <v>3250</v>
      </c>
      <c r="T161" s="31" t="s">
        <v>4723</v>
      </c>
      <c r="U161" s="32" t="s">
        <v>3706</v>
      </c>
      <c r="V161">
        <v>12.8</v>
      </c>
      <c r="W161" s="31">
        <f>MAX(0,NfsExports[[#This Row],[Prospective throughput]]-(NfsExports[[#This Row],[Configured Quota (GB)]]*0.064))</f>
        <v>6.4</v>
      </c>
    </row>
    <row r="162" spans="1:23" x14ac:dyDescent="0.35">
      <c r="A162" s="138" t="s">
        <v>3199</v>
      </c>
      <c r="B162" s="138" t="s">
        <v>3216</v>
      </c>
      <c r="C162" s="67" t="s">
        <v>3707</v>
      </c>
      <c r="D162" s="66" t="s">
        <v>3708</v>
      </c>
      <c r="E162" s="31" t="str">
        <f>SUBSTITUTE(NfsExports[[#This Row],[FMO Volume Name]],"_","-")</f>
        <v>vmpfbpf2wbc03-apps-pcehr</v>
      </c>
      <c r="F162" s="66" t="s">
        <v>3248</v>
      </c>
      <c r="G162" s="67">
        <v>30</v>
      </c>
      <c r="H162" s="31">
        <f>MAX(NfsExports[[#This Row],[Required Quota (GB)]],100)</f>
        <v>100</v>
      </c>
      <c r="I162">
        <v>12.8</v>
      </c>
      <c r="K162" s="66" t="s">
        <v>3249</v>
      </c>
      <c r="M16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10.98.73.189</v>
      </c>
      <c r="N162" t="str" cm="1">
        <f t="array" ref="N162">_xlfn.TEXTJOIN(",",TRUE,IF(NfsExports[[#This Row],[FMO Volume Name]]=NfsExportsVNets[FMO Volume Name],NfsExportsVNets[FMO Vnet Subnet],""))</f>
        <v/>
      </c>
      <c r="O162" t="str" cm="1">
        <f t="array" ref="O162">_xlfn.TEXTJOIN(",",TRUE,IF(NfsExports[[#This Row],[FMO Volume Name]]=NfsExportsSubnets[FMO Volume Name],NfsExportsSubnets[FMO Subnet CIDR],""))</f>
        <v/>
      </c>
      <c r="P162" t="str" cm="1">
        <f t="array" ref="P162">IFERROR(_xlfn.TEXTJOIN(",",TRUE,_xlfn._xlws.FILTER(NfsExportsServices[FMO VM Name Summary],NfsExports[[#This Row],[FMO Volume Name]]=NfsExportsServices[FMO Volume Name])),"")</f>
        <v/>
      </c>
      <c r="Q162" s="31" t="str">
        <f>_xlfn.TEXTJOIN(",",TRUE,NfsExports[[#This Row],[FMO Export Override]:[FMO Export Service IPs]])</f>
        <v>10.98.73.189</v>
      </c>
      <c r="R162" s="31" t="str">
        <f>NfsExports[[#This Row],[FMO Mount Path Estimated]]&amp;" "&amp;NfsExports[[#This Row],[Required Quota (GB)]]&amp;"GB"</f>
        <v>/apps/pcehr 30GB</v>
      </c>
      <c r="S162" s="31" t="s">
        <v>3514</v>
      </c>
      <c r="T162" s="31" t="s">
        <v>4723</v>
      </c>
      <c r="U162" s="32" t="s">
        <v>3709</v>
      </c>
      <c r="V162">
        <v>12.8</v>
      </c>
      <c r="W162" s="31">
        <f>MAX(0,NfsExports[[#This Row],[Prospective throughput]]-(NfsExports[[#This Row],[Configured Quota (GB)]]*0.064))</f>
        <v>6.4</v>
      </c>
    </row>
    <row r="163" spans="1:23" x14ac:dyDescent="0.35">
      <c r="A163" s="138" t="s">
        <v>3199</v>
      </c>
      <c r="B163" s="138" t="s">
        <v>3216</v>
      </c>
      <c r="C163" s="67" t="s">
        <v>3710</v>
      </c>
      <c r="D163" s="65" t="s">
        <v>3711</v>
      </c>
      <c r="E163" s="31" t="str">
        <f>SUBSTITUTE(NfsExports[[#This Row],[FMO Volume Name]],"_","-")</f>
        <v>vmpfbpf2wbc03-templatepackage</v>
      </c>
      <c r="F163" s="66" t="s">
        <v>3699</v>
      </c>
      <c r="G163" s="67">
        <v>10</v>
      </c>
      <c r="H163" s="31">
        <f>MAX(NfsExports[[#This Row],[Required Quota (GB)]],100)</f>
        <v>100</v>
      </c>
      <c r="I163">
        <v>12.8</v>
      </c>
      <c r="K163" s="66" t="s">
        <v>3249</v>
      </c>
      <c r="M16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10.98.73.189</v>
      </c>
      <c r="N163" t="str" cm="1">
        <f t="array" ref="N163">_xlfn.TEXTJOIN(",",TRUE,IF(NfsExports[[#This Row],[FMO Volume Name]]=NfsExportsVNets[FMO Volume Name],NfsExportsVNets[FMO Vnet Subnet],""))</f>
        <v/>
      </c>
      <c r="O163" t="str" cm="1">
        <f t="array" ref="O163">_xlfn.TEXTJOIN(",",TRUE,IF(NfsExports[[#This Row],[FMO Volume Name]]=NfsExportsSubnets[FMO Volume Name],NfsExportsSubnets[FMO Subnet CIDR],""))</f>
        <v/>
      </c>
      <c r="P163" t="str" cm="1">
        <f t="array" ref="P163">IFERROR(_xlfn.TEXTJOIN(",",TRUE,_xlfn._xlws.FILTER(NfsExportsServices[FMO VM Name Summary],NfsExports[[#This Row],[FMO Volume Name]]=NfsExportsServices[FMO Volume Name])),"")</f>
        <v/>
      </c>
      <c r="Q163" s="31" t="str">
        <f>_xlfn.TEXTJOIN(",",TRUE,NfsExports[[#This Row],[FMO Export Override]:[FMO Export Service IPs]])</f>
        <v>10.98.73.189</v>
      </c>
      <c r="R163" s="31" t="str">
        <f>NfsExports[[#This Row],[FMO Mount Path Estimated]]&amp;" "&amp;NfsExports[[#This Row],[Required Quota (GB)]]&amp;"GB"</f>
        <v>/TemplatePackage 10GB</v>
      </c>
      <c r="S163" s="31" t="s">
        <v>3250</v>
      </c>
      <c r="T163" s="31" t="s">
        <v>4723</v>
      </c>
      <c r="U163" s="32" t="s">
        <v>3712</v>
      </c>
      <c r="V163">
        <v>12.8</v>
      </c>
      <c r="W163" s="31">
        <f>MAX(0,NfsExports[[#This Row],[Prospective throughput]]-(NfsExports[[#This Row],[Configured Quota (GB)]]*0.064))</f>
        <v>6.4</v>
      </c>
    </row>
    <row r="164" spans="1:23" x14ac:dyDescent="0.35">
      <c r="A164" s="138" t="s">
        <v>3199</v>
      </c>
      <c r="B164" s="138" t="s">
        <v>3216</v>
      </c>
      <c r="C164" s="67" t="s">
        <v>3713</v>
      </c>
      <c r="D164" s="66" t="s">
        <v>3714</v>
      </c>
      <c r="E164" s="31" t="str">
        <f>SUBSTITUTE(NfsExports[[#This Row],[FMO Volume Name]],"_","-")</f>
        <v>vmpfbpf2wbc04-apps-pcehr</v>
      </c>
      <c r="F164" s="66" t="s">
        <v>3248</v>
      </c>
      <c r="G164" s="67">
        <v>30</v>
      </c>
      <c r="H164" s="31">
        <f>MAX(NfsExports[[#This Row],[Required Quota (GB)]],100)</f>
        <v>100</v>
      </c>
      <c r="I164">
        <v>12.8</v>
      </c>
      <c r="K164" s="66" t="s">
        <v>3249</v>
      </c>
      <c r="M16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10.98.73.190</v>
      </c>
      <c r="N164" t="str" cm="1">
        <f t="array" ref="N164">_xlfn.TEXTJOIN(",",TRUE,IF(NfsExports[[#This Row],[FMO Volume Name]]=NfsExportsVNets[FMO Volume Name],NfsExportsVNets[FMO Vnet Subnet],""))</f>
        <v/>
      </c>
      <c r="O164" t="str" cm="1">
        <f t="array" ref="O164">_xlfn.TEXTJOIN(",",TRUE,IF(NfsExports[[#This Row],[FMO Volume Name]]=NfsExportsSubnets[FMO Volume Name],NfsExportsSubnets[FMO Subnet CIDR],""))</f>
        <v/>
      </c>
      <c r="P164" t="str" cm="1">
        <f t="array" ref="P164">IFERROR(_xlfn.TEXTJOIN(",",TRUE,_xlfn._xlws.FILTER(NfsExportsServices[FMO VM Name Summary],NfsExports[[#This Row],[FMO Volume Name]]=NfsExportsServices[FMO Volume Name])),"")</f>
        <v/>
      </c>
      <c r="Q164" s="31" t="str">
        <f>_xlfn.TEXTJOIN(",",TRUE,NfsExports[[#This Row],[FMO Export Override]:[FMO Export Service IPs]])</f>
        <v>10.98.73.190</v>
      </c>
      <c r="R164" s="31" t="str">
        <f>NfsExports[[#This Row],[FMO Mount Path Estimated]]&amp;" "&amp;NfsExports[[#This Row],[Required Quota (GB)]]&amp;"GB"</f>
        <v>/apps/pcehr 30GB</v>
      </c>
      <c r="S164" s="31" t="s">
        <v>3514</v>
      </c>
      <c r="T164" s="31" t="s">
        <v>4723</v>
      </c>
      <c r="U164" s="32" t="s">
        <v>3715</v>
      </c>
      <c r="V164">
        <v>12.8</v>
      </c>
      <c r="W164" s="31">
        <f>MAX(0,NfsExports[[#This Row],[Prospective throughput]]-(NfsExports[[#This Row],[Configured Quota (GB)]]*0.064))</f>
        <v>6.4</v>
      </c>
    </row>
    <row r="165" spans="1:23" x14ac:dyDescent="0.35">
      <c r="A165" s="138" t="s">
        <v>3199</v>
      </c>
      <c r="B165" s="138" t="s">
        <v>3216</v>
      </c>
      <c r="C165" s="67" t="s">
        <v>3716</v>
      </c>
      <c r="D165" s="65" t="s">
        <v>3717</v>
      </c>
      <c r="E165" s="31" t="str">
        <f>SUBSTITUTE(NfsExports[[#This Row],[FMO Volume Name]],"_","-")</f>
        <v>vmpfbpf2wbc04-templatepackage</v>
      </c>
      <c r="F165" s="66" t="s">
        <v>3699</v>
      </c>
      <c r="G165" s="67">
        <v>10</v>
      </c>
      <c r="H165" s="31">
        <f>MAX(NfsExports[[#This Row],[Required Quota (GB)]],100)</f>
        <v>100</v>
      </c>
      <c r="I165">
        <v>12.8</v>
      </c>
      <c r="K165" s="66" t="s">
        <v>3249</v>
      </c>
      <c r="M16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10.98.73.190</v>
      </c>
      <c r="N165" t="str" cm="1">
        <f t="array" ref="N165">_xlfn.TEXTJOIN(",",TRUE,IF(NfsExports[[#This Row],[FMO Volume Name]]=NfsExportsVNets[FMO Volume Name],NfsExportsVNets[FMO Vnet Subnet],""))</f>
        <v/>
      </c>
      <c r="O165" t="str" cm="1">
        <f t="array" ref="O165">_xlfn.TEXTJOIN(",",TRUE,IF(NfsExports[[#This Row],[FMO Volume Name]]=NfsExportsSubnets[FMO Volume Name],NfsExportsSubnets[FMO Subnet CIDR],""))</f>
        <v/>
      </c>
      <c r="P165" t="str" cm="1">
        <f t="array" ref="P165">IFERROR(_xlfn.TEXTJOIN(",",TRUE,_xlfn._xlws.FILTER(NfsExportsServices[FMO VM Name Summary],NfsExports[[#This Row],[FMO Volume Name]]=NfsExportsServices[FMO Volume Name])),"")</f>
        <v/>
      </c>
      <c r="Q165" s="31" t="str">
        <f>_xlfn.TEXTJOIN(",",TRUE,NfsExports[[#This Row],[FMO Export Override]:[FMO Export Service IPs]])</f>
        <v>10.98.73.190</v>
      </c>
      <c r="R165" s="31" t="str">
        <f>NfsExports[[#This Row],[FMO Mount Path Estimated]]&amp;" "&amp;NfsExports[[#This Row],[Required Quota (GB)]]&amp;"GB"</f>
        <v>/TemplatePackage 10GB</v>
      </c>
      <c r="S165" s="31" t="s">
        <v>3250</v>
      </c>
      <c r="T165" s="31" t="s">
        <v>4723</v>
      </c>
      <c r="U165" s="32" t="s">
        <v>3718</v>
      </c>
      <c r="V165">
        <v>12.8</v>
      </c>
      <c r="W165" s="31">
        <f>MAX(0,NfsExports[[#This Row],[Prospective throughput]]-(NfsExports[[#This Row],[Configured Quota (GB)]]*0.064))</f>
        <v>6.4</v>
      </c>
    </row>
    <row r="166" spans="1:23" x14ac:dyDescent="0.35">
      <c r="A166" s="138" t="s">
        <v>3199</v>
      </c>
      <c r="B166" s="138" t="s">
        <v>3216</v>
      </c>
      <c r="C166" s="67" t="s">
        <v>3719</v>
      </c>
      <c r="D166" s="66" t="s">
        <v>3720</v>
      </c>
      <c r="E166" s="31" t="str">
        <f>SUBSTITUTE(NfsExports[[#This Row],[FMO Volume Name]],"_","-")</f>
        <v>vmpfbpf2wbc05-apps-pcehr</v>
      </c>
      <c r="F166" s="66" t="s">
        <v>3248</v>
      </c>
      <c r="G166" s="67">
        <v>30</v>
      </c>
      <c r="H166" s="31">
        <f>MAX(NfsExports[[#This Row],[Required Quota (GB)]],100)</f>
        <v>100</v>
      </c>
      <c r="I166">
        <v>12.8</v>
      </c>
      <c r="K166" s="66" t="s">
        <v>3249</v>
      </c>
      <c r="M16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10.98.73.191</v>
      </c>
      <c r="N166" t="str" cm="1">
        <f t="array" ref="N166">_xlfn.TEXTJOIN(",",TRUE,IF(NfsExports[[#This Row],[FMO Volume Name]]=NfsExportsVNets[FMO Volume Name],NfsExportsVNets[FMO Vnet Subnet],""))</f>
        <v/>
      </c>
      <c r="O166" t="str" cm="1">
        <f t="array" ref="O166">_xlfn.TEXTJOIN(",",TRUE,IF(NfsExports[[#This Row],[FMO Volume Name]]=NfsExportsSubnets[FMO Volume Name],NfsExportsSubnets[FMO Subnet CIDR],""))</f>
        <v/>
      </c>
      <c r="P166" t="str" cm="1">
        <f t="array" ref="P166">IFERROR(_xlfn.TEXTJOIN(",",TRUE,_xlfn._xlws.FILTER(NfsExportsServices[FMO VM Name Summary],NfsExports[[#This Row],[FMO Volume Name]]=NfsExportsServices[FMO Volume Name])),"")</f>
        <v/>
      </c>
      <c r="Q166" s="31" t="str">
        <f>_xlfn.TEXTJOIN(",",TRUE,NfsExports[[#This Row],[FMO Export Override]:[FMO Export Service IPs]])</f>
        <v>10.98.73.191</v>
      </c>
      <c r="R166" s="31" t="str">
        <f>NfsExports[[#This Row],[FMO Mount Path Estimated]]&amp;" "&amp;NfsExports[[#This Row],[Required Quota (GB)]]&amp;"GB"</f>
        <v>/apps/pcehr 30GB</v>
      </c>
      <c r="S166" s="31" t="s">
        <v>3514</v>
      </c>
      <c r="T166" s="31" t="s">
        <v>4723</v>
      </c>
      <c r="U166" s="32" t="s">
        <v>3721</v>
      </c>
      <c r="V166">
        <v>12.8</v>
      </c>
      <c r="W166" s="31">
        <f>MAX(0,NfsExports[[#This Row],[Prospective throughput]]-(NfsExports[[#This Row],[Configured Quota (GB)]]*0.064))</f>
        <v>6.4</v>
      </c>
    </row>
    <row r="167" spans="1:23" x14ac:dyDescent="0.35">
      <c r="A167" s="138" t="s">
        <v>3199</v>
      </c>
      <c r="B167" s="138" t="s">
        <v>3216</v>
      </c>
      <c r="C167" s="67" t="s">
        <v>3722</v>
      </c>
      <c r="D167" s="65" t="s">
        <v>3723</v>
      </c>
      <c r="E167" s="31" t="str">
        <f>SUBSTITUTE(NfsExports[[#This Row],[FMO Volume Name]],"_","-")</f>
        <v>vmpfbpf2wbc05-templatepackage</v>
      </c>
      <c r="F167" s="66" t="s">
        <v>3699</v>
      </c>
      <c r="G167" s="67">
        <v>10</v>
      </c>
      <c r="H167" s="31">
        <f>MAX(NfsExports[[#This Row],[Required Quota (GB)]],100)</f>
        <v>100</v>
      </c>
      <c r="I167">
        <v>12.8</v>
      </c>
      <c r="K167" s="66" t="s">
        <v>3249</v>
      </c>
      <c r="M16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10.98.73.191</v>
      </c>
      <c r="N167" t="str" cm="1">
        <f t="array" ref="N167">_xlfn.TEXTJOIN(",",TRUE,IF(NfsExports[[#This Row],[FMO Volume Name]]=NfsExportsVNets[FMO Volume Name],NfsExportsVNets[FMO Vnet Subnet],""))</f>
        <v/>
      </c>
      <c r="O167" t="str" cm="1">
        <f t="array" ref="O167">_xlfn.TEXTJOIN(",",TRUE,IF(NfsExports[[#This Row],[FMO Volume Name]]=NfsExportsSubnets[FMO Volume Name],NfsExportsSubnets[FMO Subnet CIDR],""))</f>
        <v/>
      </c>
      <c r="P167" t="str" cm="1">
        <f t="array" ref="P167">IFERROR(_xlfn.TEXTJOIN(",",TRUE,_xlfn._xlws.FILTER(NfsExportsServices[FMO VM Name Summary],NfsExports[[#This Row],[FMO Volume Name]]=NfsExportsServices[FMO Volume Name])),"")</f>
        <v/>
      </c>
      <c r="Q167" s="31" t="str">
        <f>_xlfn.TEXTJOIN(",",TRUE,NfsExports[[#This Row],[FMO Export Override]:[FMO Export Service IPs]])</f>
        <v>10.98.73.191</v>
      </c>
      <c r="R167" s="31" t="str">
        <f>NfsExports[[#This Row],[FMO Mount Path Estimated]]&amp;" "&amp;NfsExports[[#This Row],[Required Quota (GB)]]&amp;"GB"</f>
        <v>/TemplatePackage 10GB</v>
      </c>
      <c r="S167" s="31" t="s">
        <v>3250</v>
      </c>
      <c r="T167" s="31" t="s">
        <v>4723</v>
      </c>
      <c r="U167" s="32" t="s">
        <v>3724</v>
      </c>
      <c r="V167">
        <v>12.8</v>
      </c>
      <c r="W167" s="31">
        <f>MAX(0,NfsExports[[#This Row],[Prospective throughput]]-(NfsExports[[#This Row],[Configured Quota (GB)]]*0.064))</f>
        <v>6.4</v>
      </c>
    </row>
    <row r="168" spans="1:23" x14ac:dyDescent="0.35">
      <c r="A168" s="138" t="s">
        <v>3199</v>
      </c>
      <c r="B168" s="138" t="s">
        <v>3216</v>
      </c>
      <c r="C168" s="67" t="s">
        <v>3725</v>
      </c>
      <c r="D168" s="66" t="s">
        <v>3726</v>
      </c>
      <c r="E168" s="31" t="str">
        <f>SUBSTITUTE(NfsExports[[#This Row],[FMO Volume Name]],"_","-")</f>
        <v>vmpfbpf2wbc06-apps-pcehr</v>
      </c>
      <c r="F168" s="66" t="s">
        <v>3248</v>
      </c>
      <c r="G168" s="67">
        <v>30</v>
      </c>
      <c r="H168" s="31">
        <f>MAX(NfsExports[[#This Row],[Required Quota (GB)]],100)</f>
        <v>100</v>
      </c>
      <c r="I168">
        <v>12.8</v>
      </c>
      <c r="K168" s="66" t="s">
        <v>3249</v>
      </c>
      <c r="M16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10.98.73.192</v>
      </c>
      <c r="N168" t="str" cm="1">
        <f t="array" ref="N168">_xlfn.TEXTJOIN(",",TRUE,IF(NfsExports[[#This Row],[FMO Volume Name]]=NfsExportsVNets[FMO Volume Name],NfsExportsVNets[FMO Vnet Subnet],""))</f>
        <v/>
      </c>
      <c r="O168" t="str" cm="1">
        <f t="array" ref="O168">_xlfn.TEXTJOIN(",",TRUE,IF(NfsExports[[#This Row],[FMO Volume Name]]=NfsExportsSubnets[FMO Volume Name],NfsExportsSubnets[FMO Subnet CIDR],""))</f>
        <v/>
      </c>
      <c r="P168" t="str" cm="1">
        <f t="array" ref="P168">IFERROR(_xlfn.TEXTJOIN(",",TRUE,_xlfn._xlws.FILTER(NfsExportsServices[FMO VM Name Summary],NfsExports[[#This Row],[FMO Volume Name]]=NfsExportsServices[FMO Volume Name])),"")</f>
        <v/>
      </c>
      <c r="Q168" s="31" t="str">
        <f>_xlfn.TEXTJOIN(",",TRUE,NfsExports[[#This Row],[FMO Export Override]:[FMO Export Service IPs]])</f>
        <v>10.98.73.192</v>
      </c>
      <c r="R168" s="31" t="str">
        <f>NfsExports[[#This Row],[FMO Mount Path Estimated]]&amp;" "&amp;NfsExports[[#This Row],[Required Quota (GB)]]&amp;"GB"</f>
        <v>/apps/pcehr 30GB</v>
      </c>
      <c r="S168" s="31" t="s">
        <v>3514</v>
      </c>
      <c r="T168" s="31" t="s">
        <v>4723</v>
      </c>
      <c r="U168" s="32" t="s">
        <v>3727</v>
      </c>
      <c r="V168">
        <v>12.8</v>
      </c>
      <c r="W168" s="31">
        <f>MAX(0,NfsExports[[#This Row],[Prospective throughput]]-(NfsExports[[#This Row],[Configured Quota (GB)]]*0.064))</f>
        <v>6.4</v>
      </c>
    </row>
    <row r="169" spans="1:23" x14ac:dyDescent="0.35">
      <c r="A169" s="138" t="s">
        <v>3199</v>
      </c>
      <c r="B169" s="138" t="s">
        <v>3216</v>
      </c>
      <c r="C169" s="67" t="s">
        <v>3728</v>
      </c>
      <c r="D169" s="65" t="s">
        <v>3729</v>
      </c>
      <c r="E169" s="31" t="str">
        <f>SUBSTITUTE(NfsExports[[#This Row],[FMO Volume Name]],"_","-")</f>
        <v>vmpfbpf2wbc06-templatepackage</v>
      </c>
      <c r="F169" s="66" t="s">
        <v>3699</v>
      </c>
      <c r="G169" s="67">
        <v>10</v>
      </c>
      <c r="H169" s="31">
        <f>MAX(NfsExports[[#This Row],[Required Quota (GB)]],100)</f>
        <v>100</v>
      </c>
      <c r="I169">
        <v>12.8</v>
      </c>
      <c r="K169" s="66" t="s">
        <v>3249</v>
      </c>
      <c r="M16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10.98.73.192</v>
      </c>
      <c r="N169" t="str" cm="1">
        <f t="array" ref="N169">_xlfn.TEXTJOIN(",",TRUE,IF(NfsExports[[#This Row],[FMO Volume Name]]=NfsExportsVNets[FMO Volume Name],NfsExportsVNets[FMO Vnet Subnet],""))</f>
        <v/>
      </c>
      <c r="O169" t="str" cm="1">
        <f t="array" ref="O169">_xlfn.TEXTJOIN(",",TRUE,IF(NfsExports[[#This Row],[FMO Volume Name]]=NfsExportsSubnets[FMO Volume Name],NfsExportsSubnets[FMO Subnet CIDR],""))</f>
        <v/>
      </c>
      <c r="P169" t="str" cm="1">
        <f t="array" ref="P169">IFERROR(_xlfn.TEXTJOIN(",",TRUE,_xlfn._xlws.FILTER(NfsExportsServices[FMO VM Name Summary],NfsExports[[#This Row],[FMO Volume Name]]=NfsExportsServices[FMO Volume Name])),"")</f>
        <v/>
      </c>
      <c r="Q169" s="31" t="str">
        <f>_xlfn.TEXTJOIN(",",TRUE,NfsExports[[#This Row],[FMO Export Override]:[FMO Export Service IPs]])</f>
        <v>10.98.73.192</v>
      </c>
      <c r="R169" s="31" t="str">
        <f>NfsExports[[#This Row],[FMO Mount Path Estimated]]&amp;" "&amp;NfsExports[[#This Row],[Required Quota (GB)]]&amp;"GB"</f>
        <v>/TemplatePackage 10GB</v>
      </c>
      <c r="S169" s="31" t="s">
        <v>3250</v>
      </c>
      <c r="T169" s="31" t="s">
        <v>4723</v>
      </c>
      <c r="U169" s="32" t="s">
        <v>3730</v>
      </c>
      <c r="V169">
        <v>12.8</v>
      </c>
      <c r="W169" s="31">
        <f>MAX(0,NfsExports[[#This Row],[Prospective throughput]]-(NfsExports[[#This Row],[Configured Quota (GB)]]*0.064))</f>
        <v>6.4</v>
      </c>
    </row>
    <row r="170" spans="1:23" x14ac:dyDescent="0.35">
      <c r="A170" s="138" t="s">
        <v>3199</v>
      </c>
      <c r="B170" s="138" t="s">
        <v>3216</v>
      </c>
      <c r="C170" s="67" t="s">
        <v>3731</v>
      </c>
      <c r="D170" s="66" t="s">
        <v>3732</v>
      </c>
      <c r="E170" s="31" t="str">
        <f>SUBSTITUTE(NfsExports[[#This Row],[FMO Volume Name]],"_","-")</f>
        <v>vmpfbpf2wbc07-apps-pcehr</v>
      </c>
      <c r="F170" s="66" t="s">
        <v>3248</v>
      </c>
      <c r="G170" s="67">
        <v>30</v>
      </c>
      <c r="H170" s="31">
        <f>MAX(NfsExports[[#This Row],[Required Quota (GB)]],100)</f>
        <v>100</v>
      </c>
      <c r="I170">
        <v>12.8</v>
      </c>
      <c r="K170" s="66" t="s">
        <v>3249</v>
      </c>
      <c r="M17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10.98.73.193</v>
      </c>
      <c r="N170" t="str" cm="1">
        <f t="array" ref="N170">_xlfn.TEXTJOIN(",",TRUE,IF(NfsExports[[#This Row],[FMO Volume Name]]=NfsExportsVNets[FMO Volume Name],NfsExportsVNets[FMO Vnet Subnet],""))</f>
        <v/>
      </c>
      <c r="O170" t="str" cm="1">
        <f t="array" ref="O170">_xlfn.TEXTJOIN(",",TRUE,IF(NfsExports[[#This Row],[FMO Volume Name]]=NfsExportsSubnets[FMO Volume Name],NfsExportsSubnets[FMO Subnet CIDR],""))</f>
        <v/>
      </c>
      <c r="P170" t="str" cm="1">
        <f t="array" ref="P170">IFERROR(_xlfn.TEXTJOIN(",",TRUE,_xlfn._xlws.FILTER(NfsExportsServices[FMO VM Name Summary],NfsExports[[#This Row],[FMO Volume Name]]=NfsExportsServices[FMO Volume Name])),"")</f>
        <v/>
      </c>
      <c r="Q170" s="31" t="str">
        <f>_xlfn.TEXTJOIN(",",TRUE,NfsExports[[#This Row],[FMO Export Override]:[FMO Export Service IPs]])</f>
        <v>10.98.73.193</v>
      </c>
      <c r="R170" s="31" t="str">
        <f>NfsExports[[#This Row],[FMO Mount Path Estimated]]&amp;" "&amp;NfsExports[[#This Row],[Required Quota (GB)]]&amp;"GB"</f>
        <v>/apps/pcehr 30GB</v>
      </c>
      <c r="S170" s="31" t="s">
        <v>3514</v>
      </c>
      <c r="T170" s="31" t="s">
        <v>4723</v>
      </c>
      <c r="U170" s="32" t="s">
        <v>3733</v>
      </c>
      <c r="V170">
        <v>12.8</v>
      </c>
      <c r="W170" s="31">
        <f>MAX(0,NfsExports[[#This Row],[Prospective throughput]]-(NfsExports[[#This Row],[Configured Quota (GB)]]*0.064))</f>
        <v>6.4</v>
      </c>
    </row>
    <row r="171" spans="1:23" x14ac:dyDescent="0.35">
      <c r="A171" s="138" t="s">
        <v>3199</v>
      </c>
      <c r="B171" s="138" t="s">
        <v>3216</v>
      </c>
      <c r="C171" s="67" t="s">
        <v>3734</v>
      </c>
      <c r="D171" s="65" t="s">
        <v>3735</v>
      </c>
      <c r="E171" s="31" t="str">
        <f>SUBSTITUTE(NfsExports[[#This Row],[FMO Volume Name]],"_","-")</f>
        <v>vmpfbpf2wbc07-templatepackage</v>
      </c>
      <c r="F171" s="66" t="s">
        <v>3699</v>
      </c>
      <c r="G171" s="67">
        <v>10</v>
      </c>
      <c r="H171" s="31">
        <f>MAX(NfsExports[[#This Row],[Required Quota (GB)]],100)</f>
        <v>100</v>
      </c>
      <c r="I171">
        <v>12.8</v>
      </c>
      <c r="K171" s="66" t="s">
        <v>3249</v>
      </c>
      <c r="M17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10.98.73.193</v>
      </c>
      <c r="N171" t="str" cm="1">
        <f t="array" ref="N171">_xlfn.TEXTJOIN(",",TRUE,IF(NfsExports[[#This Row],[FMO Volume Name]]=NfsExportsVNets[FMO Volume Name],NfsExportsVNets[FMO Vnet Subnet],""))</f>
        <v/>
      </c>
      <c r="O171" t="str" cm="1">
        <f t="array" ref="O171">_xlfn.TEXTJOIN(",",TRUE,IF(NfsExports[[#This Row],[FMO Volume Name]]=NfsExportsSubnets[FMO Volume Name],NfsExportsSubnets[FMO Subnet CIDR],""))</f>
        <v/>
      </c>
      <c r="P171" t="str" cm="1">
        <f t="array" ref="P171">IFERROR(_xlfn.TEXTJOIN(",",TRUE,_xlfn._xlws.FILTER(NfsExportsServices[FMO VM Name Summary],NfsExports[[#This Row],[FMO Volume Name]]=NfsExportsServices[FMO Volume Name])),"")</f>
        <v/>
      </c>
      <c r="Q171" s="31" t="str">
        <f>_xlfn.TEXTJOIN(",",TRUE,NfsExports[[#This Row],[FMO Export Override]:[FMO Export Service IPs]])</f>
        <v>10.98.73.193</v>
      </c>
      <c r="R171" s="31" t="str">
        <f>NfsExports[[#This Row],[FMO Mount Path Estimated]]&amp;" "&amp;NfsExports[[#This Row],[Required Quota (GB)]]&amp;"GB"</f>
        <v>/TemplatePackage 10GB</v>
      </c>
      <c r="S171" s="31" t="s">
        <v>3250</v>
      </c>
      <c r="T171" s="31" t="s">
        <v>4723</v>
      </c>
      <c r="U171" s="32" t="s">
        <v>3736</v>
      </c>
      <c r="V171">
        <v>12.8</v>
      </c>
      <c r="W171" s="31">
        <f>MAX(0,NfsExports[[#This Row],[Prospective throughput]]-(NfsExports[[#This Row],[Configured Quota (GB)]]*0.064))</f>
        <v>6.4</v>
      </c>
    </row>
    <row r="172" spans="1:23" x14ac:dyDescent="0.35">
      <c r="A172" s="138" t="s">
        <v>3199</v>
      </c>
      <c r="B172" s="138" t="s">
        <v>3216</v>
      </c>
      <c r="C172" s="67" t="s">
        <v>3737</v>
      </c>
      <c r="D172" s="66" t="s">
        <v>3738</v>
      </c>
      <c r="E172" s="31" t="str">
        <f>SUBSTITUTE(NfsExports[[#This Row],[FMO Volume Name]],"_","-")</f>
        <v>vmpfbpf2wbc08-apps-pcehr</v>
      </c>
      <c r="F172" s="66" t="s">
        <v>3248</v>
      </c>
      <c r="G172" s="67">
        <v>30</v>
      </c>
      <c r="H172" s="31">
        <f>MAX(NfsExports[[#This Row],[Required Quota (GB)]],100)</f>
        <v>100</v>
      </c>
      <c r="I172">
        <v>12.8</v>
      </c>
      <c r="K172" s="66" t="s">
        <v>3249</v>
      </c>
      <c r="M17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10.98.73.194</v>
      </c>
      <c r="N172" t="str" cm="1">
        <f t="array" ref="N172">_xlfn.TEXTJOIN(",",TRUE,IF(NfsExports[[#This Row],[FMO Volume Name]]=NfsExportsVNets[FMO Volume Name],NfsExportsVNets[FMO Vnet Subnet],""))</f>
        <v/>
      </c>
      <c r="O172" t="str" cm="1">
        <f t="array" ref="O172">_xlfn.TEXTJOIN(",",TRUE,IF(NfsExports[[#This Row],[FMO Volume Name]]=NfsExportsSubnets[FMO Volume Name],NfsExportsSubnets[FMO Subnet CIDR],""))</f>
        <v/>
      </c>
      <c r="P172" t="str" cm="1">
        <f t="array" ref="P172">IFERROR(_xlfn.TEXTJOIN(",",TRUE,_xlfn._xlws.FILTER(NfsExportsServices[FMO VM Name Summary],NfsExports[[#This Row],[FMO Volume Name]]=NfsExportsServices[FMO Volume Name])),"")</f>
        <v/>
      </c>
      <c r="Q172" s="31" t="str">
        <f>_xlfn.TEXTJOIN(",",TRUE,NfsExports[[#This Row],[FMO Export Override]:[FMO Export Service IPs]])</f>
        <v>10.98.73.194</v>
      </c>
      <c r="R172" s="31" t="str">
        <f>NfsExports[[#This Row],[FMO Mount Path Estimated]]&amp;" "&amp;NfsExports[[#This Row],[Required Quota (GB)]]&amp;"GB"</f>
        <v>/apps/pcehr 30GB</v>
      </c>
      <c r="S172" s="31" t="s">
        <v>3514</v>
      </c>
      <c r="T172" s="31" t="s">
        <v>4723</v>
      </c>
      <c r="U172" s="32" t="s">
        <v>3739</v>
      </c>
      <c r="V172">
        <v>12.8</v>
      </c>
      <c r="W172" s="31">
        <f>MAX(0,NfsExports[[#This Row],[Prospective throughput]]-(NfsExports[[#This Row],[Configured Quota (GB)]]*0.064))</f>
        <v>6.4</v>
      </c>
    </row>
    <row r="173" spans="1:23" x14ac:dyDescent="0.35">
      <c r="A173" s="138" t="s">
        <v>3199</v>
      </c>
      <c r="B173" s="138" t="s">
        <v>3216</v>
      </c>
      <c r="C173" s="67" t="s">
        <v>3740</v>
      </c>
      <c r="D173" s="65" t="s">
        <v>3741</v>
      </c>
      <c r="E173" s="31" t="str">
        <f>SUBSTITUTE(NfsExports[[#This Row],[FMO Volume Name]],"_","-")</f>
        <v>vmpfbpf2wbc08-templatepackage</v>
      </c>
      <c r="F173" s="66" t="s">
        <v>3699</v>
      </c>
      <c r="G173" s="67">
        <v>10</v>
      </c>
      <c r="H173" s="31">
        <f>MAX(NfsExports[[#This Row],[Required Quota (GB)]],100)</f>
        <v>100</v>
      </c>
      <c r="I173">
        <v>12.8</v>
      </c>
      <c r="K173" s="66" t="s">
        <v>3249</v>
      </c>
      <c r="M17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10.98.73.194</v>
      </c>
      <c r="N173" t="str" cm="1">
        <f t="array" ref="N173">_xlfn.TEXTJOIN(",",TRUE,IF(NfsExports[[#This Row],[FMO Volume Name]]=NfsExportsVNets[FMO Volume Name],NfsExportsVNets[FMO Vnet Subnet],""))</f>
        <v/>
      </c>
      <c r="O173" t="str" cm="1">
        <f t="array" ref="O173">_xlfn.TEXTJOIN(",",TRUE,IF(NfsExports[[#This Row],[FMO Volume Name]]=NfsExportsSubnets[FMO Volume Name],NfsExportsSubnets[FMO Subnet CIDR],""))</f>
        <v/>
      </c>
      <c r="P173" t="str" cm="1">
        <f t="array" ref="P173">IFERROR(_xlfn.TEXTJOIN(",",TRUE,_xlfn._xlws.FILTER(NfsExportsServices[FMO VM Name Summary],NfsExports[[#This Row],[FMO Volume Name]]=NfsExportsServices[FMO Volume Name])),"")</f>
        <v/>
      </c>
      <c r="Q173" s="31" t="str">
        <f>_xlfn.TEXTJOIN(",",TRUE,NfsExports[[#This Row],[FMO Export Override]:[FMO Export Service IPs]])</f>
        <v>10.98.73.194</v>
      </c>
      <c r="R173" s="31" t="str">
        <f>NfsExports[[#This Row],[FMO Mount Path Estimated]]&amp;" "&amp;NfsExports[[#This Row],[Required Quota (GB)]]&amp;"GB"</f>
        <v>/TemplatePackage 10GB</v>
      </c>
      <c r="S173" s="31" t="s">
        <v>3250</v>
      </c>
      <c r="T173" s="31" t="s">
        <v>4723</v>
      </c>
      <c r="U173" s="32" t="s">
        <v>3742</v>
      </c>
      <c r="V173">
        <v>12.8</v>
      </c>
      <c r="W173" s="31">
        <f>MAX(0,NfsExports[[#This Row],[Prospective throughput]]-(NfsExports[[#This Row],[Configured Quota (GB)]]*0.064))</f>
        <v>6.4</v>
      </c>
    </row>
    <row r="174" spans="1:23" x14ac:dyDescent="0.35">
      <c r="A174" s="138" t="s">
        <v>3199</v>
      </c>
      <c r="B174" s="138" t="s">
        <v>3216</v>
      </c>
      <c r="C174" s="67" t="s">
        <v>3743</v>
      </c>
      <c r="D174" s="66" t="s">
        <v>3744</v>
      </c>
      <c r="E174" s="31" t="str">
        <f>SUBSTITUTE(NfsExports[[#This Row],[FMO Volume Name]],"_","-")</f>
        <v>vmpfbpf2xho01-apps-pcehr</v>
      </c>
      <c r="F174" s="66" t="s">
        <v>3248</v>
      </c>
      <c r="G174" s="67">
        <v>30</v>
      </c>
      <c r="H174" s="31">
        <f>MAX(NfsExports[[#This Row],[Required Quota (GB)]],100)</f>
        <v>100</v>
      </c>
      <c r="I174">
        <v>12.8</v>
      </c>
      <c r="K174" s="66" t="s">
        <v>3249</v>
      </c>
      <c r="M17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10.98.72.97</v>
      </c>
      <c r="N174" t="str" cm="1">
        <f t="array" ref="N174">_xlfn.TEXTJOIN(",",TRUE,IF(NfsExports[[#This Row],[FMO Volume Name]]=NfsExportsVNets[FMO Volume Name],NfsExportsVNets[FMO Vnet Subnet],""))</f>
        <v/>
      </c>
      <c r="O174" t="str" cm="1">
        <f t="array" ref="O174">_xlfn.TEXTJOIN(",",TRUE,IF(NfsExports[[#This Row],[FMO Volume Name]]=NfsExportsSubnets[FMO Volume Name],NfsExportsSubnets[FMO Subnet CIDR],""))</f>
        <v/>
      </c>
      <c r="P174" t="str" cm="1">
        <f t="array" ref="P174">IFERROR(_xlfn.TEXTJOIN(",",TRUE,_xlfn._xlws.FILTER(NfsExportsServices[FMO VM Name Summary],NfsExports[[#This Row],[FMO Volume Name]]=NfsExportsServices[FMO Volume Name])),"")</f>
        <v/>
      </c>
      <c r="Q174" s="31" t="str">
        <f>_xlfn.TEXTJOIN(",",TRUE,NfsExports[[#This Row],[FMO Export Override]:[FMO Export Service IPs]])</f>
        <v>10.98.72.97</v>
      </c>
      <c r="R174" s="31" t="str">
        <f>NfsExports[[#This Row],[FMO Mount Path Estimated]]&amp;" "&amp;NfsExports[[#This Row],[Required Quota (GB)]]&amp;"GB"</f>
        <v>/apps/pcehr 30GB</v>
      </c>
      <c r="S174" s="31" t="s">
        <v>3250</v>
      </c>
      <c r="T174" s="31" t="s">
        <v>4723</v>
      </c>
      <c r="U174" s="32" t="s">
        <v>3745</v>
      </c>
      <c r="V174">
        <v>12.8</v>
      </c>
      <c r="W174" s="31">
        <f>MAX(0,NfsExports[[#This Row],[Prospective throughput]]-(NfsExports[[#This Row],[Configured Quota (GB)]]*0.064))</f>
        <v>6.4</v>
      </c>
    </row>
    <row r="175" spans="1:23" x14ac:dyDescent="0.35">
      <c r="A175" s="138" t="s">
        <v>3199</v>
      </c>
      <c r="B175" s="138" t="s">
        <v>3216</v>
      </c>
      <c r="C175" s="67" t="s">
        <v>3746</v>
      </c>
      <c r="D175" s="65" t="s">
        <v>3747</v>
      </c>
      <c r="E175" s="31" t="str">
        <f>SUBSTITUTE(NfsExports[[#This Row],[FMO Volume Name]],"_","-")</f>
        <v>vmpfbpf2xho02-apps-pcehr</v>
      </c>
      <c r="F175" s="66" t="s">
        <v>3248</v>
      </c>
      <c r="G175" s="67">
        <v>30</v>
      </c>
      <c r="H175" s="31">
        <f>MAX(NfsExports[[#This Row],[Required Quota (GB)]],100)</f>
        <v>100</v>
      </c>
      <c r="I175">
        <v>12.8</v>
      </c>
      <c r="K175" s="66" t="s">
        <v>3249</v>
      </c>
      <c r="M17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10.98.72.98</v>
      </c>
      <c r="N175" t="str" cm="1">
        <f t="array" ref="N175">_xlfn.TEXTJOIN(",",TRUE,IF(NfsExports[[#This Row],[FMO Volume Name]]=NfsExportsVNets[FMO Volume Name],NfsExportsVNets[FMO Vnet Subnet],""))</f>
        <v/>
      </c>
      <c r="O175" t="str" cm="1">
        <f t="array" ref="O175">_xlfn.TEXTJOIN(",",TRUE,IF(NfsExports[[#This Row],[FMO Volume Name]]=NfsExportsSubnets[FMO Volume Name],NfsExportsSubnets[FMO Subnet CIDR],""))</f>
        <v/>
      </c>
      <c r="P175" t="str" cm="1">
        <f t="array" ref="P175">IFERROR(_xlfn.TEXTJOIN(",",TRUE,_xlfn._xlws.FILTER(NfsExportsServices[FMO VM Name Summary],NfsExports[[#This Row],[FMO Volume Name]]=NfsExportsServices[FMO Volume Name])),"")</f>
        <v/>
      </c>
      <c r="Q175" s="31" t="str">
        <f>_xlfn.TEXTJOIN(",",TRUE,NfsExports[[#This Row],[FMO Export Override]:[FMO Export Service IPs]])</f>
        <v>10.98.72.98</v>
      </c>
      <c r="R175" s="31" t="str">
        <f>NfsExports[[#This Row],[FMO Mount Path Estimated]]&amp;" "&amp;NfsExports[[#This Row],[Required Quota (GB)]]&amp;"GB"</f>
        <v>/apps/pcehr 30GB</v>
      </c>
      <c r="S175" s="31" t="s">
        <v>3250</v>
      </c>
      <c r="T175" s="31" t="s">
        <v>4723</v>
      </c>
      <c r="U175" s="32" t="s">
        <v>3748</v>
      </c>
      <c r="V175">
        <v>12.8</v>
      </c>
      <c r="W175" s="31">
        <f>MAX(0,NfsExports[[#This Row],[Prospective throughput]]-(NfsExports[[#This Row],[Configured Quota (GB)]]*0.064))</f>
        <v>6.4</v>
      </c>
    </row>
    <row r="176" spans="1:23" x14ac:dyDescent="0.35">
      <c r="A176" s="138" t="s">
        <v>3199</v>
      </c>
      <c r="B176" s="138" t="s">
        <v>3216</v>
      </c>
      <c r="C176" s="67" t="s">
        <v>3749</v>
      </c>
      <c r="D176" s="66" t="s">
        <v>3750</v>
      </c>
      <c r="E176" s="31" t="str">
        <f>SUBSTITUTE(NfsExports[[#This Row],[FMO Volume Name]],"_","-")</f>
        <v>vmpfbpf2xho03-apps-pcehr</v>
      </c>
      <c r="F176" s="66" t="s">
        <v>3248</v>
      </c>
      <c r="G176" s="67">
        <v>30</v>
      </c>
      <c r="H176" s="31">
        <f>MAX(NfsExports[[#This Row],[Required Quota (GB)]],100)</f>
        <v>100</v>
      </c>
      <c r="I176">
        <v>12.8</v>
      </c>
      <c r="K176" s="66" t="s">
        <v>3249</v>
      </c>
      <c r="M17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10.98.72.99</v>
      </c>
      <c r="N176" t="str" cm="1">
        <f t="array" ref="N176">_xlfn.TEXTJOIN(",",TRUE,IF(NfsExports[[#This Row],[FMO Volume Name]]=NfsExportsVNets[FMO Volume Name],NfsExportsVNets[FMO Vnet Subnet],""))</f>
        <v/>
      </c>
      <c r="O176" t="str" cm="1">
        <f t="array" ref="O176">_xlfn.TEXTJOIN(",",TRUE,IF(NfsExports[[#This Row],[FMO Volume Name]]=NfsExportsSubnets[FMO Volume Name],NfsExportsSubnets[FMO Subnet CIDR],""))</f>
        <v/>
      </c>
      <c r="P176" t="str" cm="1">
        <f t="array" ref="P176">IFERROR(_xlfn.TEXTJOIN(",",TRUE,_xlfn._xlws.FILTER(NfsExportsServices[FMO VM Name Summary],NfsExports[[#This Row],[FMO Volume Name]]=NfsExportsServices[FMO Volume Name])),"")</f>
        <v/>
      </c>
      <c r="Q176" s="31" t="str">
        <f>_xlfn.TEXTJOIN(",",TRUE,NfsExports[[#This Row],[FMO Export Override]:[FMO Export Service IPs]])</f>
        <v>10.98.72.99</v>
      </c>
      <c r="R176" s="31" t="str">
        <f>NfsExports[[#This Row],[FMO Mount Path Estimated]]&amp;" "&amp;NfsExports[[#This Row],[Required Quota (GB)]]&amp;"GB"</f>
        <v>/apps/pcehr 30GB</v>
      </c>
      <c r="S176" s="31" t="s">
        <v>3250</v>
      </c>
      <c r="T176" s="31" t="s">
        <v>4723</v>
      </c>
      <c r="U176" s="32" t="s">
        <v>3751</v>
      </c>
      <c r="V176">
        <v>12.8</v>
      </c>
      <c r="W176" s="31">
        <f>MAX(0,NfsExports[[#This Row],[Prospective throughput]]-(NfsExports[[#This Row],[Configured Quota (GB)]]*0.064))</f>
        <v>6.4</v>
      </c>
    </row>
    <row r="177" spans="1:23" x14ac:dyDescent="0.35">
      <c r="A177" s="138" t="s">
        <v>3199</v>
      </c>
      <c r="B177" s="138" t="s">
        <v>3216</v>
      </c>
      <c r="C177" s="81" t="s">
        <v>3752</v>
      </c>
      <c r="D177" s="65" t="s">
        <v>3753</v>
      </c>
      <c r="E177" s="31" t="str">
        <f>SUBSTITUTE(NfsExports[[#This Row],[FMO Volume Name]],"_","-")</f>
        <v>vmpfbpf2xho04-apps-pcehr</v>
      </c>
      <c r="F177" s="66" t="s">
        <v>3248</v>
      </c>
      <c r="G177" s="67">
        <v>30</v>
      </c>
      <c r="H177" s="31">
        <f>MAX(NfsExports[[#This Row],[Required Quota (GB)]],100)</f>
        <v>100</v>
      </c>
      <c r="I177">
        <v>12.8</v>
      </c>
      <c r="K177" s="66" t="s">
        <v>3249</v>
      </c>
      <c r="M17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10.98.72.100</v>
      </c>
      <c r="N177" t="str" cm="1">
        <f t="array" ref="N177">_xlfn.TEXTJOIN(",",TRUE,IF(NfsExports[[#This Row],[FMO Volume Name]]=NfsExportsVNets[FMO Volume Name],NfsExportsVNets[FMO Vnet Subnet],""))</f>
        <v/>
      </c>
      <c r="O177" t="str" cm="1">
        <f t="array" ref="O177">_xlfn.TEXTJOIN(",",TRUE,IF(NfsExports[[#This Row],[FMO Volume Name]]=NfsExportsSubnets[FMO Volume Name],NfsExportsSubnets[FMO Subnet CIDR],""))</f>
        <v/>
      </c>
      <c r="P177" t="str" cm="1">
        <f t="array" ref="P177">IFERROR(_xlfn.TEXTJOIN(",",TRUE,_xlfn._xlws.FILTER(NfsExportsServices[FMO VM Name Summary],NfsExports[[#This Row],[FMO Volume Name]]=NfsExportsServices[FMO Volume Name])),"")</f>
        <v/>
      </c>
      <c r="Q177" s="31" t="str">
        <f>_xlfn.TEXTJOIN(",",TRUE,NfsExports[[#This Row],[FMO Export Override]:[FMO Export Service IPs]])</f>
        <v>10.98.72.100</v>
      </c>
      <c r="R177" s="31" t="str">
        <f>NfsExports[[#This Row],[FMO Mount Path Estimated]]&amp;" "&amp;NfsExports[[#This Row],[Required Quota (GB)]]&amp;"GB"</f>
        <v>/apps/pcehr 30GB</v>
      </c>
      <c r="S177" s="31" t="s">
        <v>3250</v>
      </c>
      <c r="T177" s="31" t="s">
        <v>4723</v>
      </c>
      <c r="U177" s="32" t="s">
        <v>3754</v>
      </c>
      <c r="V177">
        <v>12.8</v>
      </c>
      <c r="W177" s="31">
        <f>MAX(0,NfsExports[[#This Row],[Prospective throughput]]-(NfsExports[[#This Row],[Configured Quota (GB)]]*0.064))</f>
        <v>6.4</v>
      </c>
    </row>
    <row r="178" spans="1:23" x14ac:dyDescent="0.35">
      <c r="A178" s="138" t="s">
        <v>3199</v>
      </c>
      <c r="B178" s="138" t="s">
        <v>3216</v>
      </c>
      <c r="C178" s="82" t="s">
        <v>3755</v>
      </c>
      <c r="D178" s="66" t="s">
        <v>3756</v>
      </c>
      <c r="E178" s="79" t="str">
        <f>SUBSTITUTE(NfsExports[[#This Row],[FMO Volume Name]],"_","-")</f>
        <v>vmpfbpf2cho01-apps-pcehr</v>
      </c>
      <c r="F178" s="66" t="s">
        <v>3248</v>
      </c>
      <c r="G178" s="67">
        <v>30</v>
      </c>
      <c r="H178" s="79">
        <f>MAX(NfsExports[[#This Row],[Required Quota (GB)]],100)</f>
        <v>100</v>
      </c>
      <c r="I178">
        <v>12.8</v>
      </c>
      <c r="K178" s="66" t="s">
        <v>3249</v>
      </c>
      <c r="M178" s="79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10.98.72.8</v>
      </c>
      <c r="N178" t="str" cm="1">
        <f t="array" ref="N178">_xlfn.TEXTJOIN(",",TRUE,IF(NfsExports[[#This Row],[FMO Volume Name]]=NfsExportsVNets[FMO Volume Name],NfsExportsVNets[FMO Vnet Subnet],""))</f>
        <v/>
      </c>
      <c r="O178" t="str" cm="1">
        <f t="array" ref="O178">_xlfn.TEXTJOIN(",",TRUE,IF(NfsExports[[#This Row],[FMO Volume Name]]=NfsExportsSubnets[FMO Volume Name],NfsExportsSubnets[FMO Subnet CIDR],""))</f>
        <v/>
      </c>
      <c r="P178" t="str" cm="1">
        <f t="array" ref="P178">IFERROR(_xlfn.TEXTJOIN(",",TRUE,_xlfn._xlws.FILTER(NfsExportsServices[FMO VM Name Summary],NfsExports[[#This Row],[FMO Volume Name]]=NfsExportsServices[FMO Volume Name])),"")</f>
        <v/>
      </c>
      <c r="Q178" s="79" t="str">
        <f>_xlfn.TEXTJOIN(",",TRUE,NfsExports[[#This Row],[FMO Export Override]:[FMO Export Service IPs]])</f>
        <v>10.98.72.8</v>
      </c>
      <c r="R178" s="79" t="str">
        <f>NfsExports[[#This Row],[FMO Mount Path Estimated]]&amp;" "&amp;NfsExports[[#This Row],[Required Quota (GB)]]&amp;"GB"</f>
        <v>/apps/pcehr 30GB</v>
      </c>
      <c r="S178" s="79" t="s">
        <v>3250</v>
      </c>
      <c r="T178" s="31" t="s">
        <v>4723</v>
      </c>
      <c r="U178" s="32" t="s">
        <v>3757</v>
      </c>
      <c r="V178">
        <v>12.8</v>
      </c>
      <c r="W178" s="31">
        <f>MAX(0,NfsExports[[#This Row],[Prospective throughput]]-(NfsExports[[#This Row],[Configured Quota (GB)]]*0.064))</f>
        <v>6.4</v>
      </c>
    </row>
    <row r="179" spans="1:23" x14ac:dyDescent="0.35">
      <c r="A179" s="138" t="s">
        <v>3199</v>
      </c>
      <c r="B179" s="138" t="s">
        <v>3216</v>
      </c>
      <c r="C179" s="82" t="s">
        <v>3758</v>
      </c>
      <c r="D179" s="66" t="s">
        <v>3759</v>
      </c>
      <c r="E179" s="31" t="str">
        <f>SUBSTITUTE(NfsExports[[#This Row],[FMO Volume Name]],"_","-")</f>
        <v>vmpfbpf2cho02-apps-pcehr</v>
      </c>
      <c r="F179" s="66" t="s">
        <v>3248</v>
      </c>
      <c r="G179" s="67">
        <v>30</v>
      </c>
      <c r="H179" s="31">
        <f>MAX(NfsExports[[#This Row],[Required Quota (GB)]],100)</f>
        <v>100</v>
      </c>
      <c r="I179">
        <v>12.8</v>
      </c>
      <c r="K179" s="66" t="s">
        <v>3249</v>
      </c>
      <c r="M17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10.98.72.9</v>
      </c>
      <c r="N179" t="str" cm="1">
        <f t="array" ref="N179">_xlfn.TEXTJOIN(",",TRUE,IF(NfsExports[[#This Row],[FMO Volume Name]]=NfsExportsVNets[FMO Volume Name],NfsExportsVNets[FMO Vnet Subnet],""))</f>
        <v/>
      </c>
      <c r="O179" t="str" cm="1">
        <f t="array" ref="O179">_xlfn.TEXTJOIN(",",TRUE,IF(NfsExports[[#This Row],[FMO Volume Name]]=NfsExportsSubnets[FMO Volume Name],NfsExportsSubnets[FMO Subnet CIDR],""))</f>
        <v/>
      </c>
      <c r="P179" t="str" cm="1">
        <f t="array" ref="P179">IFERROR(_xlfn.TEXTJOIN(",",TRUE,_xlfn._xlws.FILTER(NfsExportsServices[FMO VM Name Summary],NfsExports[[#This Row],[FMO Volume Name]]=NfsExportsServices[FMO Volume Name])),"")</f>
        <v/>
      </c>
      <c r="Q179" s="31" t="str">
        <f>_xlfn.TEXTJOIN(",",TRUE,NfsExports[[#This Row],[FMO Export Override]:[FMO Export Service IPs]])</f>
        <v>10.98.72.9</v>
      </c>
      <c r="R179" s="31" t="str">
        <f>NfsExports[[#This Row],[FMO Mount Path Estimated]]&amp;" "&amp;NfsExports[[#This Row],[Required Quota (GB)]]&amp;"GB"</f>
        <v>/apps/pcehr 30GB</v>
      </c>
      <c r="S179" s="31" t="s">
        <v>3250</v>
      </c>
      <c r="T179" s="31" t="s">
        <v>4723</v>
      </c>
      <c r="U179" s="32" t="s">
        <v>3760</v>
      </c>
      <c r="V179">
        <v>12.8</v>
      </c>
      <c r="W179" s="31">
        <f>MAX(0,NfsExports[[#This Row],[Prospective throughput]]-(NfsExports[[#This Row],[Configured Quota (GB)]]*0.064))</f>
        <v>6.4</v>
      </c>
    </row>
    <row r="180" spans="1:23" x14ac:dyDescent="0.35">
      <c r="A180" s="138" t="s">
        <v>3199</v>
      </c>
      <c r="B180" s="138" t="s">
        <v>3216</v>
      </c>
      <c r="C180" s="82" t="s">
        <v>3761</v>
      </c>
      <c r="D180" s="66" t="s">
        <v>3762</v>
      </c>
      <c r="E180" s="31" t="str">
        <f>SUBSTITUTE(NfsExports[[#This Row],[FMO Volume Name]],"_","-")</f>
        <v>vmpfbpf2cho03-apps-pcehr</v>
      </c>
      <c r="F180" s="66" t="s">
        <v>3248</v>
      </c>
      <c r="G180" s="67">
        <v>30</v>
      </c>
      <c r="H180" s="31">
        <f>MAX(NfsExports[[#This Row],[Required Quota (GB)]],100)</f>
        <v>100</v>
      </c>
      <c r="I180">
        <v>12.8</v>
      </c>
      <c r="K180" s="66" t="s">
        <v>3249</v>
      </c>
      <c r="M18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10.98.72.10</v>
      </c>
      <c r="N180" t="str" cm="1">
        <f t="array" ref="N180">_xlfn.TEXTJOIN(",",TRUE,IF(NfsExports[[#This Row],[FMO Volume Name]]=NfsExportsVNets[FMO Volume Name],NfsExportsVNets[FMO Vnet Subnet],""))</f>
        <v/>
      </c>
      <c r="O180" t="str" cm="1">
        <f t="array" ref="O180">_xlfn.TEXTJOIN(",",TRUE,IF(NfsExports[[#This Row],[FMO Volume Name]]=NfsExportsSubnets[FMO Volume Name],NfsExportsSubnets[FMO Subnet CIDR],""))</f>
        <v/>
      </c>
      <c r="P180" t="str" cm="1">
        <f t="array" ref="P180">IFERROR(_xlfn.TEXTJOIN(",",TRUE,_xlfn._xlws.FILTER(NfsExportsServices[FMO VM Name Summary],NfsExports[[#This Row],[FMO Volume Name]]=NfsExportsServices[FMO Volume Name])),"")</f>
        <v/>
      </c>
      <c r="Q180" s="31" t="str">
        <f>_xlfn.TEXTJOIN(",",TRUE,NfsExports[[#This Row],[FMO Export Override]:[FMO Export Service IPs]])</f>
        <v>10.98.72.10</v>
      </c>
      <c r="R180" s="31" t="str">
        <f>NfsExports[[#This Row],[FMO Mount Path Estimated]]&amp;" "&amp;NfsExports[[#This Row],[Required Quota (GB)]]&amp;"GB"</f>
        <v>/apps/pcehr 30GB</v>
      </c>
      <c r="S180" s="31" t="s">
        <v>3250</v>
      </c>
      <c r="T180" s="31" t="s">
        <v>4723</v>
      </c>
      <c r="U180" s="32" t="s">
        <v>3763</v>
      </c>
      <c r="V180">
        <v>12.8</v>
      </c>
      <c r="W180" s="31">
        <f>MAX(0,NfsExports[[#This Row],[Prospective throughput]]-(NfsExports[[#This Row],[Configured Quota (GB)]]*0.064))</f>
        <v>6.4</v>
      </c>
    </row>
    <row r="181" spans="1:23" x14ac:dyDescent="0.35">
      <c r="A181" s="138" t="s">
        <v>3199</v>
      </c>
      <c r="B181" s="138" t="s">
        <v>3216</v>
      </c>
      <c r="C181" t="s">
        <v>3764</v>
      </c>
      <c r="D181" t="s">
        <v>3765</v>
      </c>
      <c r="E181" s="79" t="str">
        <f>SUBSTITUTE(NfsExports[[#This Row],[FMO Volume Name]],"_","-")</f>
        <v>vmpfbpf2nes01-apps-pcehr</v>
      </c>
      <c r="F181" s="66" t="s">
        <v>3248</v>
      </c>
      <c r="G181">
        <v>30</v>
      </c>
      <c r="H181" s="79">
        <f>MAX(NfsExports[[#This Row],[Required Quota (GB)]],100)</f>
        <v>100</v>
      </c>
      <c r="I181">
        <v>12.8</v>
      </c>
      <c r="K181" s="66" t="s">
        <v>3249</v>
      </c>
      <c r="M181" s="79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10.98.72.51</v>
      </c>
      <c r="N181" t="str" cm="1">
        <f t="array" ref="N181">_xlfn.TEXTJOIN(",",TRUE,IF(NfsExports[[#This Row],[FMO Volume Name]]=NfsExportsVNets[FMO Volume Name],NfsExportsVNets[FMO Vnet Subnet],""))</f>
        <v/>
      </c>
      <c r="O181" t="str" cm="1">
        <f t="array" ref="O181">_xlfn.TEXTJOIN(",",TRUE,IF(NfsExports[[#This Row],[FMO Volume Name]]=NfsExportsSubnets[FMO Volume Name],NfsExportsSubnets[FMO Subnet CIDR],""))</f>
        <v/>
      </c>
      <c r="P181" t="str" cm="1">
        <f t="array" ref="P181">IFERROR(_xlfn.TEXTJOIN(",",TRUE,_xlfn._xlws.FILTER(NfsExportsServices[FMO VM Name Summary],NfsExports[[#This Row],[FMO Volume Name]]=NfsExportsServices[FMO Volume Name])),"")</f>
        <v/>
      </c>
      <c r="Q181" s="79" t="str">
        <f>_xlfn.TEXTJOIN(",",TRUE,NfsExports[[#This Row],[FMO Export Override]:[FMO Export Service IPs]])</f>
        <v>10.98.72.51</v>
      </c>
      <c r="R181" s="79" t="str">
        <f>NfsExports[[#This Row],[FMO Mount Path Estimated]]&amp;" "&amp;NfsExports[[#This Row],[Required Quota (GB)]]&amp;"GB"</f>
        <v>/apps/pcehr 30GB</v>
      </c>
      <c r="S181" s="79" t="s">
        <v>3250</v>
      </c>
      <c r="T181" s="31" t="s">
        <v>4723</v>
      </c>
      <c r="U181" s="32" t="s">
        <v>3766</v>
      </c>
      <c r="V181">
        <v>12.8</v>
      </c>
      <c r="W181" s="31">
        <f>MAX(0,NfsExports[[#This Row],[Prospective throughput]]-(NfsExports[[#This Row],[Configured Quota (GB)]]*0.064))</f>
        <v>6.4</v>
      </c>
    </row>
    <row r="182" spans="1:23" x14ac:dyDescent="0.35">
      <c r="A182" s="138" t="s">
        <v>3199</v>
      </c>
      <c r="B182" s="138" t="s">
        <v>3216</v>
      </c>
      <c r="C182" s="96" t="s">
        <v>3767</v>
      </c>
      <c r="D182" t="s">
        <v>3768</v>
      </c>
      <c r="E182" s="31" t="str">
        <f>SUBSTITUTE(NfsExports[[#This Row],[FMO Volume Name]],"_","-")</f>
        <v>vmpfbpf2nes01-opt</v>
      </c>
      <c r="F182" t="s">
        <v>3769</v>
      </c>
      <c r="G182">
        <v>30</v>
      </c>
      <c r="H182" s="31">
        <f>MAX(NfsExports[[#This Row],[Required Quota (GB)]],100)</f>
        <v>100</v>
      </c>
      <c r="I182">
        <v>12.8</v>
      </c>
      <c r="K182" s="66" t="s">
        <v>3249</v>
      </c>
      <c r="M18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10.98.72.51</v>
      </c>
      <c r="N182" t="str" cm="1">
        <f t="array" ref="N182">_xlfn.TEXTJOIN(",",TRUE,IF(NfsExports[[#This Row],[FMO Volume Name]]=NfsExportsVNets[FMO Volume Name],NfsExportsVNets[FMO Vnet Subnet],""))</f>
        <v/>
      </c>
      <c r="O182" t="str" cm="1">
        <f t="array" ref="O182">_xlfn.TEXTJOIN(",",TRUE,IF(NfsExports[[#This Row],[FMO Volume Name]]=NfsExportsSubnets[FMO Volume Name],NfsExportsSubnets[FMO Subnet CIDR],""))</f>
        <v/>
      </c>
      <c r="P182" t="str" cm="1">
        <f t="array" ref="P182">IFERROR(_xlfn.TEXTJOIN(",",TRUE,_xlfn._xlws.FILTER(NfsExportsServices[FMO VM Name Summary],NfsExports[[#This Row],[FMO Volume Name]]=NfsExportsServices[FMO Volume Name])),"")</f>
        <v/>
      </c>
      <c r="Q182" s="31" t="str">
        <f>_xlfn.TEXTJOIN(",",TRUE,NfsExports[[#This Row],[FMO Export Override]:[FMO Export Service IPs]])</f>
        <v>10.98.72.51</v>
      </c>
      <c r="R182" s="31" t="str">
        <f>NfsExports[[#This Row],[FMO Mount Path Estimated]]&amp;" "&amp;NfsExports[[#This Row],[Required Quota (GB)]]&amp;"GB"</f>
        <v>/opt 30GB</v>
      </c>
      <c r="S182" s="31" t="s">
        <v>3250</v>
      </c>
      <c r="T182" s="31" t="s">
        <v>4723</v>
      </c>
      <c r="U182" s="32" t="s">
        <v>3770</v>
      </c>
      <c r="V182">
        <v>12.8</v>
      </c>
      <c r="W182" s="31">
        <f>MAX(0,NfsExports[[#This Row],[Prospective throughput]]-(NfsExports[[#This Row],[Configured Quota (GB)]]*0.064))</f>
        <v>6.4</v>
      </c>
    </row>
    <row r="183" spans="1:23" x14ac:dyDescent="0.35">
      <c r="A183" s="138" t="s">
        <v>3199</v>
      </c>
      <c r="B183" s="138" t="s">
        <v>3216</v>
      </c>
      <c r="C183" s="96" t="s">
        <v>3771</v>
      </c>
      <c r="D183" t="s">
        <v>3772</v>
      </c>
      <c r="E183" s="79" t="str">
        <f>SUBSTITUTE(NfsExports[[#This Row],[FMO Volume Name]],"_","-")</f>
        <v>vmpfbpf2nes02-opt</v>
      </c>
      <c r="F183" t="s">
        <v>3769</v>
      </c>
      <c r="G183">
        <v>30</v>
      </c>
      <c r="H183" s="79">
        <f>MAX(NfsExports[[#This Row],[Required Quota (GB)]],100)</f>
        <v>100</v>
      </c>
      <c r="I183">
        <v>12.8</v>
      </c>
      <c r="K183" s="66" t="s">
        <v>3249</v>
      </c>
      <c r="M183" s="79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10.98.73.96</v>
      </c>
      <c r="N183" t="str" cm="1">
        <f t="array" ref="N183">_xlfn.TEXTJOIN(",",TRUE,IF(NfsExports[[#This Row],[FMO Volume Name]]=NfsExportsVNets[FMO Volume Name],NfsExportsVNets[FMO Vnet Subnet],""))</f>
        <v/>
      </c>
      <c r="O183" t="str" cm="1">
        <f t="array" ref="O183">_xlfn.TEXTJOIN(",",TRUE,IF(NfsExports[[#This Row],[FMO Volume Name]]=NfsExportsSubnets[FMO Volume Name],NfsExportsSubnets[FMO Subnet CIDR],""))</f>
        <v/>
      </c>
      <c r="P183" t="str" cm="1">
        <f t="array" ref="P183">IFERROR(_xlfn.TEXTJOIN(",",TRUE,_xlfn._xlws.FILTER(NfsExportsServices[FMO VM Name Summary],NfsExports[[#This Row],[FMO Volume Name]]=NfsExportsServices[FMO Volume Name])),"")</f>
        <v/>
      </c>
      <c r="Q183" s="79" t="str">
        <f>_xlfn.TEXTJOIN(",",TRUE,NfsExports[[#This Row],[FMO Export Override]:[FMO Export Service IPs]])</f>
        <v>10.98.73.96</v>
      </c>
      <c r="R183" s="79" t="str">
        <f>NfsExports[[#This Row],[FMO Mount Path Estimated]]&amp;" "&amp;NfsExports[[#This Row],[Required Quota (GB)]]&amp;"GB"</f>
        <v>/opt 30GB</v>
      </c>
      <c r="S183" s="79" t="s">
        <v>3250</v>
      </c>
      <c r="T183" s="31" t="s">
        <v>4723</v>
      </c>
      <c r="U183" s="32" t="s">
        <v>3773</v>
      </c>
      <c r="V183">
        <v>12.8</v>
      </c>
      <c r="W183" s="31">
        <f>MAX(0,NfsExports[[#This Row],[Prospective throughput]]-(NfsExports[[#This Row],[Configured Quota (GB)]]*0.064))</f>
        <v>6.4</v>
      </c>
    </row>
    <row r="184" spans="1:23" x14ac:dyDescent="0.35">
      <c r="A184" s="138" t="s">
        <v>3199</v>
      </c>
      <c r="B184" s="138" t="s">
        <v>3216</v>
      </c>
      <c r="C184" t="s">
        <v>3774</v>
      </c>
      <c r="D184" s="66" t="s">
        <v>3775</v>
      </c>
      <c r="E184" s="79" t="str">
        <f>SUBSTITUTE(NfsExports[[#This Row],[FMO Volume Name]],"_","-")</f>
        <v>vmpfbpf2oam07-apps-pcehr</v>
      </c>
      <c r="F184" s="66" t="s">
        <v>3248</v>
      </c>
      <c r="G184" s="67">
        <v>30</v>
      </c>
      <c r="H184" s="79">
        <f>MAX(NfsExports[[#This Row],[Required Quota (GB)]],100)</f>
        <v>100</v>
      </c>
      <c r="I184">
        <v>12.8</v>
      </c>
      <c r="K184" s="66" t="s">
        <v>3249</v>
      </c>
      <c r="M184" s="79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10.98.73.103</v>
      </c>
      <c r="N184" t="str" cm="1">
        <f t="array" ref="N184">_xlfn.TEXTJOIN(",",TRUE,IF(NfsExports[[#This Row],[FMO Volume Name]]=NfsExportsVNets[FMO Volume Name],NfsExportsVNets[FMO Vnet Subnet],""))</f>
        <v/>
      </c>
      <c r="O184" t="str" cm="1">
        <f t="array" ref="O184">_xlfn.TEXTJOIN(",",TRUE,IF(NfsExports[[#This Row],[FMO Volume Name]]=NfsExportsSubnets[FMO Volume Name],NfsExportsSubnets[FMO Subnet CIDR],""))</f>
        <v/>
      </c>
      <c r="P184" t="str" cm="1">
        <f t="array" ref="P184">IFERROR(_xlfn.TEXTJOIN(",",TRUE,_xlfn._xlws.FILTER(NfsExportsServices[FMO VM Name Summary],NfsExports[[#This Row],[FMO Volume Name]]=NfsExportsServices[FMO Volume Name])),"")</f>
        <v/>
      </c>
      <c r="Q184" s="79" t="str">
        <f>_xlfn.TEXTJOIN(",",TRUE,NfsExports[[#This Row],[FMO Export Override]:[FMO Export Service IPs]])</f>
        <v>10.98.73.103</v>
      </c>
      <c r="R184" s="79" t="str">
        <f>NfsExports[[#This Row],[FMO Mount Path Estimated]]&amp;" "&amp;NfsExports[[#This Row],[Required Quota (GB)]]&amp;"GB"</f>
        <v>/apps/pcehr 30GB</v>
      </c>
      <c r="S184" s="31" t="s">
        <v>3250</v>
      </c>
      <c r="T184" s="31" t="s">
        <v>4723</v>
      </c>
      <c r="U184" s="32" t="s">
        <v>3776</v>
      </c>
      <c r="V184">
        <v>12.8</v>
      </c>
      <c r="W184" s="31">
        <f>MAX(0,NfsExports[[#This Row],[Prospective throughput]]-(NfsExports[[#This Row],[Configured Quota (GB)]]*0.064))</f>
        <v>6.4</v>
      </c>
    </row>
    <row r="185" spans="1:23" x14ac:dyDescent="0.35">
      <c r="A185" s="138" t="s">
        <v>3199</v>
      </c>
      <c r="B185" s="138" t="s">
        <v>3216</v>
      </c>
      <c r="C185" t="s">
        <v>3777</v>
      </c>
      <c r="D185" s="66" t="s">
        <v>3778</v>
      </c>
      <c r="E185" s="79" t="str">
        <f>SUBSTITUTE(NfsExports[[#This Row],[FMO Volume Name]],"_","-")</f>
        <v>vmpfbpf2oam08-apps-pcehr</v>
      </c>
      <c r="F185" s="66" t="s">
        <v>3248</v>
      </c>
      <c r="G185" s="67">
        <v>30</v>
      </c>
      <c r="H185" s="79">
        <f>MAX(NfsExports[[#This Row],[Required Quota (GB)]],100)</f>
        <v>100</v>
      </c>
      <c r="I185">
        <v>12.8</v>
      </c>
      <c r="K185" s="66" t="s">
        <v>3249</v>
      </c>
      <c r="M185" s="79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10.98.73.104</v>
      </c>
      <c r="N185" t="str" cm="1">
        <f t="array" ref="N185">_xlfn.TEXTJOIN(",",TRUE,IF(NfsExports[[#This Row],[FMO Volume Name]]=NfsExportsVNets[FMO Volume Name],NfsExportsVNets[FMO Vnet Subnet],""))</f>
        <v/>
      </c>
      <c r="O185" t="str" cm="1">
        <f t="array" ref="O185">_xlfn.TEXTJOIN(",",TRUE,IF(NfsExports[[#This Row],[FMO Volume Name]]=NfsExportsSubnets[FMO Volume Name],NfsExportsSubnets[FMO Subnet CIDR],""))</f>
        <v/>
      </c>
      <c r="P185" t="str" cm="1">
        <f t="array" ref="P185">IFERROR(_xlfn.TEXTJOIN(",",TRUE,_xlfn._xlws.FILTER(NfsExportsServices[FMO VM Name Summary],NfsExports[[#This Row],[FMO Volume Name]]=NfsExportsServices[FMO Volume Name])),"")</f>
        <v/>
      </c>
      <c r="Q185" s="79" t="str">
        <f>_xlfn.TEXTJOIN(",",TRUE,NfsExports[[#This Row],[FMO Export Override]:[FMO Export Service IPs]])</f>
        <v>10.98.73.104</v>
      </c>
      <c r="R185" s="79" t="str">
        <f>NfsExports[[#This Row],[FMO Mount Path Estimated]]&amp;" "&amp;NfsExports[[#This Row],[Required Quota (GB)]]&amp;"GB"</f>
        <v>/apps/pcehr 30GB</v>
      </c>
      <c r="S185" s="31" t="s">
        <v>3250</v>
      </c>
      <c r="T185" s="31" t="s">
        <v>4723</v>
      </c>
      <c r="U185" s="32" t="s">
        <v>3779</v>
      </c>
      <c r="V185">
        <v>12.8</v>
      </c>
      <c r="W185" s="31">
        <f>MAX(0,NfsExports[[#This Row],[Prospective throughput]]-(NfsExports[[#This Row],[Configured Quota (GB)]]*0.064))</f>
        <v>6.4</v>
      </c>
    </row>
    <row r="186" spans="1:23" x14ac:dyDescent="0.35">
      <c r="A186" s="138" t="s">
        <v>3199</v>
      </c>
      <c r="B186" s="138" t="s">
        <v>3216</v>
      </c>
      <c r="C186" s="67" t="s">
        <v>3780</v>
      </c>
      <c r="D186" s="65" t="s">
        <v>3781</v>
      </c>
      <c r="E186" s="31" t="str">
        <f>SUBSTITUTE(NfsExports[[#This Row],[FMO Volume Name]],"_","-")</f>
        <v>vmpfbpf2dcr04-apps-pcehr</v>
      </c>
      <c r="F186" s="65" t="s">
        <v>3248</v>
      </c>
      <c r="G186" s="67">
        <v>30</v>
      </c>
      <c r="H186" s="31">
        <f>MAX(NfsExports[[#This Row],[Required Quota (GB)]],100)</f>
        <v>100</v>
      </c>
      <c r="I186">
        <v>12.8</v>
      </c>
      <c r="K186" s="66" t="s">
        <v>3249</v>
      </c>
      <c r="M18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10.98.73.22</v>
      </c>
      <c r="N186" t="str" cm="1">
        <f t="array" ref="N186">_xlfn.TEXTJOIN(",",TRUE,IF(NfsExports[[#This Row],[FMO Volume Name]]=NfsExportsVNets[FMO Volume Name],NfsExportsVNets[FMO Vnet Subnet],""))</f>
        <v/>
      </c>
      <c r="O186" t="str" cm="1">
        <f t="array" ref="O186">_xlfn.TEXTJOIN(",",TRUE,IF(NfsExports[[#This Row],[FMO Volume Name]]=NfsExportsSubnets[FMO Volume Name],NfsExportsSubnets[FMO Subnet CIDR],""))</f>
        <v/>
      </c>
      <c r="P186" t="str" cm="1">
        <f t="array" ref="P186">IFERROR(_xlfn.TEXTJOIN(",",TRUE,_xlfn._xlws.FILTER(NfsExportsServices[FMO VM Name Summary],NfsExports[[#This Row],[FMO Volume Name]]=NfsExportsServices[FMO Volume Name])),"")</f>
        <v/>
      </c>
      <c r="Q186" s="31" t="str">
        <f>_xlfn.TEXTJOIN(",",TRUE,NfsExports[[#This Row],[FMO Export Override]:[FMO Export Service IPs]])</f>
        <v>10.98.73.22</v>
      </c>
      <c r="R186" s="31" t="str">
        <f>NfsExports[[#This Row],[FMO Mount Path Estimated]]&amp;" "&amp;NfsExports[[#This Row],[Required Quota (GB)]]&amp;"GB"</f>
        <v>/apps/pcehr 30GB</v>
      </c>
      <c r="S186" s="31" t="s">
        <v>3309</v>
      </c>
      <c r="T186" s="31" t="s">
        <v>4723</v>
      </c>
      <c r="U186" s="32" t="s">
        <v>3782</v>
      </c>
      <c r="V186">
        <v>12.8</v>
      </c>
      <c r="W186" s="31">
        <f>MAX(0,NfsExports[[#This Row],[Prospective throughput]]-(NfsExports[[#This Row],[Configured Quota (GB)]]*0.064))</f>
        <v>6.4</v>
      </c>
    </row>
    <row r="187" spans="1:23" x14ac:dyDescent="0.35">
      <c r="A187" s="138" t="s">
        <v>3199</v>
      </c>
      <c r="B187" s="138" t="s">
        <v>3216</v>
      </c>
      <c r="C187" s="67" t="s">
        <v>3783</v>
      </c>
      <c r="D187" s="66" t="s">
        <v>3784</v>
      </c>
      <c r="E187" s="31" t="str">
        <f>SUBSTITUTE(NfsExports[[#This Row],[FMO Volume Name]],"_","-")</f>
        <v>vmpfbpf2dcx11-apps-pcehr</v>
      </c>
      <c r="F187" s="66" t="s">
        <v>3248</v>
      </c>
      <c r="G187" s="67">
        <v>30</v>
      </c>
      <c r="H187" s="31">
        <f>MAX(NfsExports[[#This Row],[Required Quota (GB)]],100)</f>
        <v>100</v>
      </c>
      <c r="I187">
        <v>12.8</v>
      </c>
      <c r="K187" s="66" t="s">
        <v>3249</v>
      </c>
      <c r="M18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10.98.73.33</v>
      </c>
      <c r="N187" t="str" cm="1">
        <f t="array" ref="N187">_xlfn.TEXTJOIN(",",TRUE,IF(NfsExports[[#This Row],[FMO Volume Name]]=NfsExportsVNets[FMO Volume Name],NfsExportsVNets[FMO Vnet Subnet],""))</f>
        <v/>
      </c>
      <c r="O187" t="str" cm="1">
        <f t="array" ref="O187">_xlfn.TEXTJOIN(",",TRUE,IF(NfsExports[[#This Row],[FMO Volume Name]]=NfsExportsSubnets[FMO Volume Name],NfsExportsSubnets[FMO Subnet CIDR],""))</f>
        <v/>
      </c>
      <c r="P187" t="str" cm="1">
        <f t="array" ref="P187">IFERROR(_xlfn.TEXTJOIN(",",TRUE,_xlfn._xlws.FILTER(NfsExportsServices[FMO VM Name Summary],NfsExports[[#This Row],[FMO Volume Name]]=NfsExportsServices[FMO Volume Name])),"")</f>
        <v/>
      </c>
      <c r="Q187" s="31" t="str">
        <f>_xlfn.TEXTJOIN(",",TRUE,NfsExports[[#This Row],[FMO Export Override]:[FMO Export Service IPs]])</f>
        <v>10.98.73.33</v>
      </c>
      <c r="R187" s="31" t="str">
        <f>NfsExports[[#This Row],[FMO Mount Path Estimated]]&amp;" "&amp;NfsExports[[#This Row],[Required Quota (GB)]]&amp;"GB"</f>
        <v>/apps/pcehr 30GB</v>
      </c>
      <c r="S187" s="31" t="s">
        <v>3250</v>
      </c>
      <c r="T187" s="31" t="s">
        <v>4723</v>
      </c>
      <c r="U187" s="32" t="s">
        <v>3785</v>
      </c>
      <c r="V187">
        <v>12.8</v>
      </c>
      <c r="W187" s="31">
        <f>MAX(0,NfsExports[[#This Row],[Prospective throughput]]-(NfsExports[[#This Row],[Configured Quota (GB)]]*0.064))</f>
        <v>6.4</v>
      </c>
    </row>
    <row r="188" spans="1:23" x14ac:dyDescent="0.35">
      <c r="A188" s="138" t="s">
        <v>3199</v>
      </c>
      <c r="B188" s="138" t="s">
        <v>3216</v>
      </c>
      <c r="C188" s="67" t="s">
        <v>3786</v>
      </c>
      <c r="D188" s="66" t="s">
        <v>3787</v>
      </c>
      <c r="E188" s="31" t="str">
        <f>SUBSTITUTE(NfsExports[[#This Row],[FMO Volume Name]],"_","-")</f>
        <v>vmpfbpf2dcx12-apps-pcehr</v>
      </c>
      <c r="F188" s="65" t="s">
        <v>3248</v>
      </c>
      <c r="G188" s="67">
        <v>30</v>
      </c>
      <c r="H188" s="31">
        <f>MAX(NfsExports[[#This Row],[Required Quota (GB)]],100)</f>
        <v>100</v>
      </c>
      <c r="I188">
        <v>12.8</v>
      </c>
      <c r="K188" s="66" t="s">
        <v>3249</v>
      </c>
      <c r="M18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10.98.73.34</v>
      </c>
      <c r="N188" t="str" cm="1">
        <f t="array" ref="N188">_xlfn.TEXTJOIN(",",TRUE,IF(NfsExports[[#This Row],[FMO Volume Name]]=NfsExportsVNets[FMO Volume Name],NfsExportsVNets[FMO Vnet Subnet],""))</f>
        <v/>
      </c>
      <c r="O188" t="str" cm="1">
        <f t="array" ref="O188">_xlfn.TEXTJOIN(",",TRUE,IF(NfsExports[[#This Row],[FMO Volume Name]]=NfsExportsSubnets[FMO Volume Name],NfsExportsSubnets[FMO Subnet CIDR],""))</f>
        <v/>
      </c>
      <c r="P188" t="str" cm="1">
        <f t="array" ref="P188">IFERROR(_xlfn.TEXTJOIN(",",TRUE,_xlfn._xlws.FILTER(NfsExportsServices[FMO VM Name Summary],NfsExports[[#This Row],[FMO Volume Name]]=NfsExportsServices[FMO Volume Name])),"")</f>
        <v/>
      </c>
      <c r="Q188" s="31" t="str">
        <f>_xlfn.TEXTJOIN(",",TRUE,NfsExports[[#This Row],[FMO Export Override]:[FMO Export Service IPs]])</f>
        <v>10.98.73.34</v>
      </c>
      <c r="R188" s="31" t="str">
        <f>NfsExports[[#This Row],[FMO Mount Path Estimated]]&amp;" "&amp;NfsExports[[#This Row],[Required Quota (GB)]]&amp;"GB"</f>
        <v>/apps/pcehr 30GB</v>
      </c>
      <c r="S188" s="31" t="s">
        <v>3250</v>
      </c>
      <c r="T188" s="31" t="s">
        <v>4723</v>
      </c>
      <c r="U188" s="32" t="s">
        <v>3788</v>
      </c>
      <c r="V188">
        <v>12.8</v>
      </c>
      <c r="W188" s="31">
        <f>MAX(0,NfsExports[[#This Row],[Prospective throughput]]-(NfsExports[[#This Row],[Configured Quota (GB)]]*0.064))</f>
        <v>6.4</v>
      </c>
    </row>
    <row r="189" spans="1:23" x14ac:dyDescent="0.35">
      <c r="A189" s="138" t="s">
        <v>3199</v>
      </c>
      <c r="B189" s="138" t="s">
        <v>3216</v>
      </c>
      <c r="C189" s="67" t="s">
        <v>3789</v>
      </c>
      <c r="D189" s="66" t="s">
        <v>3790</v>
      </c>
      <c r="E189" s="31" t="str">
        <f>SUBSTITUTE(NfsExports[[#This Row],[FMO Volume Name]],"_","-")</f>
        <v>vmpfbpf2dcx13-apps-pcehr</v>
      </c>
      <c r="F189" s="66" t="s">
        <v>3248</v>
      </c>
      <c r="G189" s="67">
        <v>30</v>
      </c>
      <c r="H189" s="31">
        <f>MAX(NfsExports[[#This Row],[Required Quota (GB)]],100)</f>
        <v>100</v>
      </c>
      <c r="I189">
        <v>12.8</v>
      </c>
      <c r="K189" s="66" t="s">
        <v>3249</v>
      </c>
      <c r="M18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10.98.73.35</v>
      </c>
      <c r="N189" t="str" cm="1">
        <f t="array" ref="N189">_xlfn.TEXTJOIN(",",TRUE,IF(NfsExports[[#This Row],[FMO Volume Name]]=NfsExportsVNets[FMO Volume Name],NfsExportsVNets[FMO Vnet Subnet],""))</f>
        <v/>
      </c>
      <c r="O189" t="str" cm="1">
        <f t="array" ref="O189">_xlfn.TEXTJOIN(",",TRUE,IF(NfsExports[[#This Row],[FMO Volume Name]]=NfsExportsSubnets[FMO Volume Name],NfsExportsSubnets[FMO Subnet CIDR],""))</f>
        <v/>
      </c>
      <c r="P189" t="str" cm="1">
        <f t="array" ref="P189">IFERROR(_xlfn.TEXTJOIN(",",TRUE,_xlfn._xlws.FILTER(NfsExportsServices[FMO VM Name Summary],NfsExports[[#This Row],[FMO Volume Name]]=NfsExportsServices[FMO Volume Name])),"")</f>
        <v/>
      </c>
      <c r="Q189" s="31" t="str">
        <f>_xlfn.TEXTJOIN(",",TRUE,NfsExports[[#This Row],[FMO Export Override]:[FMO Export Service IPs]])</f>
        <v>10.98.73.35</v>
      </c>
      <c r="R189" s="31" t="str">
        <f>NfsExports[[#This Row],[FMO Mount Path Estimated]]&amp;" "&amp;NfsExports[[#This Row],[Required Quota (GB)]]&amp;"GB"</f>
        <v>/apps/pcehr 30GB</v>
      </c>
      <c r="S189" s="31" t="s">
        <v>3250</v>
      </c>
      <c r="T189" s="31" t="s">
        <v>4723</v>
      </c>
      <c r="U189" s="32" t="s">
        <v>3791</v>
      </c>
      <c r="V189">
        <v>12.8</v>
      </c>
      <c r="W189" s="31">
        <f>MAX(0,NfsExports[[#This Row],[Prospective throughput]]-(NfsExports[[#This Row],[Configured Quota (GB)]]*0.064))</f>
        <v>6.4</v>
      </c>
    </row>
    <row r="190" spans="1:23" x14ac:dyDescent="0.35">
      <c r="A190" s="138" t="s">
        <v>3199</v>
      </c>
      <c r="B190" s="138" t="s">
        <v>3216</v>
      </c>
      <c r="C190" s="67" t="s">
        <v>3792</v>
      </c>
      <c r="D190" s="66" t="s">
        <v>3793</v>
      </c>
      <c r="E190" s="31" t="str">
        <f>SUBSTITUTE(NfsExports[[#This Row],[FMO Volume Name]],"_","-")</f>
        <v>vmpfbpf2dcx14-apps-pcehr</v>
      </c>
      <c r="F190" s="65" t="s">
        <v>3248</v>
      </c>
      <c r="G190" s="67">
        <v>30</v>
      </c>
      <c r="H190" s="31">
        <f>MAX(NfsExports[[#This Row],[Required Quota (GB)]],100)</f>
        <v>100</v>
      </c>
      <c r="I190">
        <v>12.8</v>
      </c>
      <c r="K190" s="66" t="s">
        <v>3249</v>
      </c>
      <c r="M19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10.98.73.36</v>
      </c>
      <c r="N190" t="str" cm="1">
        <f t="array" ref="N190">_xlfn.TEXTJOIN(",",TRUE,IF(NfsExports[[#This Row],[FMO Volume Name]]=NfsExportsVNets[FMO Volume Name],NfsExportsVNets[FMO Vnet Subnet],""))</f>
        <v/>
      </c>
      <c r="O190" t="str" cm="1">
        <f t="array" ref="O190">_xlfn.TEXTJOIN(",",TRUE,IF(NfsExports[[#This Row],[FMO Volume Name]]=NfsExportsSubnets[FMO Volume Name],NfsExportsSubnets[FMO Subnet CIDR],""))</f>
        <v/>
      </c>
      <c r="P190" t="str" cm="1">
        <f t="array" ref="P190">IFERROR(_xlfn.TEXTJOIN(",",TRUE,_xlfn._xlws.FILTER(NfsExportsServices[FMO VM Name Summary],NfsExports[[#This Row],[FMO Volume Name]]=NfsExportsServices[FMO Volume Name])),"")</f>
        <v/>
      </c>
      <c r="Q190" s="31" t="str">
        <f>_xlfn.TEXTJOIN(",",TRUE,NfsExports[[#This Row],[FMO Export Override]:[FMO Export Service IPs]])</f>
        <v>10.98.73.36</v>
      </c>
      <c r="R190" s="31" t="str">
        <f>NfsExports[[#This Row],[FMO Mount Path Estimated]]&amp;" "&amp;NfsExports[[#This Row],[Required Quota (GB)]]&amp;"GB"</f>
        <v>/apps/pcehr 30GB</v>
      </c>
      <c r="S190" s="31" t="s">
        <v>3250</v>
      </c>
      <c r="T190" s="31" t="s">
        <v>4723</v>
      </c>
      <c r="U190" s="32" t="s">
        <v>3794</v>
      </c>
      <c r="V190">
        <v>12.8</v>
      </c>
      <c r="W190" s="31">
        <f>MAX(0,NfsExports[[#This Row],[Prospective throughput]]-(NfsExports[[#This Row],[Configured Quota (GB)]]*0.064))</f>
        <v>6.4</v>
      </c>
    </row>
    <row r="191" spans="1:23" x14ac:dyDescent="0.35">
      <c r="A191" s="138" t="s">
        <v>3199</v>
      </c>
      <c r="B191" s="138" t="s">
        <v>3216</v>
      </c>
      <c r="C191" s="67" t="s">
        <v>3795</v>
      </c>
      <c r="D191" s="66" t="s">
        <v>3796</v>
      </c>
      <c r="E191" s="31" t="str">
        <f>SUBSTITUTE(NfsExports[[#This Row],[FMO Volume Name]],"_","-")</f>
        <v>vmpfbpf2dcx15-apps-pcehr</v>
      </c>
      <c r="F191" s="66" t="s">
        <v>3248</v>
      </c>
      <c r="G191" s="67">
        <v>30</v>
      </c>
      <c r="H191" s="31">
        <f>MAX(NfsExports[[#This Row],[Required Quota (GB)]],100)</f>
        <v>100</v>
      </c>
      <c r="I191">
        <v>12.8</v>
      </c>
      <c r="K191" s="66" t="s">
        <v>3249</v>
      </c>
      <c r="M19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10.98.73.37</v>
      </c>
      <c r="N191" t="str" cm="1">
        <f t="array" ref="N191">_xlfn.TEXTJOIN(",",TRUE,IF(NfsExports[[#This Row],[FMO Volume Name]]=NfsExportsVNets[FMO Volume Name],NfsExportsVNets[FMO Vnet Subnet],""))</f>
        <v/>
      </c>
      <c r="O191" t="str" cm="1">
        <f t="array" ref="O191">_xlfn.TEXTJOIN(",",TRUE,IF(NfsExports[[#This Row],[FMO Volume Name]]=NfsExportsSubnets[FMO Volume Name],NfsExportsSubnets[FMO Subnet CIDR],""))</f>
        <v/>
      </c>
      <c r="P191" t="str" cm="1">
        <f t="array" ref="P191">IFERROR(_xlfn.TEXTJOIN(",",TRUE,_xlfn._xlws.FILTER(NfsExportsServices[FMO VM Name Summary],NfsExports[[#This Row],[FMO Volume Name]]=NfsExportsServices[FMO Volume Name])),"")</f>
        <v/>
      </c>
      <c r="Q191" s="31" t="str">
        <f>_xlfn.TEXTJOIN(",",TRUE,NfsExports[[#This Row],[FMO Export Override]:[FMO Export Service IPs]])</f>
        <v>10.98.73.37</v>
      </c>
      <c r="R191" s="31" t="str">
        <f>NfsExports[[#This Row],[FMO Mount Path Estimated]]&amp;" "&amp;NfsExports[[#This Row],[Required Quota (GB)]]&amp;"GB"</f>
        <v>/apps/pcehr 30GB</v>
      </c>
      <c r="S191" s="31" t="s">
        <v>3250</v>
      </c>
      <c r="T191" s="31" t="s">
        <v>4723</v>
      </c>
      <c r="U191" s="32" t="s">
        <v>3797</v>
      </c>
      <c r="V191">
        <v>12.8</v>
      </c>
      <c r="W191" s="31">
        <f>MAX(0,NfsExports[[#This Row],[Prospective throughput]]-(NfsExports[[#This Row],[Configured Quota (GB)]]*0.064))</f>
        <v>6.4</v>
      </c>
    </row>
    <row r="192" spans="1:23" x14ac:dyDescent="0.35">
      <c r="A192" s="138" t="s">
        <v>3199</v>
      </c>
      <c r="B192" s="138" t="s">
        <v>3216</v>
      </c>
      <c r="C192" s="67" t="s">
        <v>3798</v>
      </c>
      <c r="D192" s="66" t="s">
        <v>3799</v>
      </c>
      <c r="E192" s="31" t="str">
        <f>SUBSTITUTE(NfsExports[[#This Row],[FMO Volume Name]],"_","-")</f>
        <v>vmpfbpf2dcx16-apps-pcehr</v>
      </c>
      <c r="F192" s="65" t="s">
        <v>3248</v>
      </c>
      <c r="G192" s="67">
        <v>30</v>
      </c>
      <c r="H192" s="31">
        <f>MAX(NfsExports[[#This Row],[Required Quota (GB)]],100)</f>
        <v>100</v>
      </c>
      <c r="I192">
        <v>12.8</v>
      </c>
      <c r="K192" s="66" t="s">
        <v>3249</v>
      </c>
      <c r="M19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10.98.73.38</v>
      </c>
      <c r="N192" t="str" cm="1">
        <f t="array" ref="N192">_xlfn.TEXTJOIN(",",TRUE,IF(NfsExports[[#This Row],[FMO Volume Name]]=NfsExportsVNets[FMO Volume Name],NfsExportsVNets[FMO Vnet Subnet],""))</f>
        <v/>
      </c>
      <c r="O192" t="str" cm="1">
        <f t="array" ref="O192">_xlfn.TEXTJOIN(",",TRUE,IF(NfsExports[[#This Row],[FMO Volume Name]]=NfsExportsSubnets[FMO Volume Name],NfsExportsSubnets[FMO Subnet CIDR],""))</f>
        <v/>
      </c>
      <c r="P192" t="str" cm="1">
        <f t="array" ref="P192">IFERROR(_xlfn.TEXTJOIN(",",TRUE,_xlfn._xlws.FILTER(NfsExportsServices[FMO VM Name Summary],NfsExports[[#This Row],[FMO Volume Name]]=NfsExportsServices[FMO Volume Name])),"")</f>
        <v/>
      </c>
      <c r="Q192" s="31" t="str">
        <f>_xlfn.TEXTJOIN(",",TRUE,NfsExports[[#This Row],[FMO Export Override]:[FMO Export Service IPs]])</f>
        <v>10.98.73.38</v>
      </c>
      <c r="R192" s="31" t="str">
        <f>NfsExports[[#This Row],[FMO Mount Path Estimated]]&amp;" "&amp;NfsExports[[#This Row],[Required Quota (GB)]]&amp;"GB"</f>
        <v>/apps/pcehr 30GB</v>
      </c>
      <c r="S192" s="31" t="s">
        <v>3250</v>
      </c>
      <c r="T192" s="31" t="s">
        <v>4723</v>
      </c>
      <c r="U192" s="32" t="s">
        <v>3800</v>
      </c>
      <c r="V192">
        <v>12.8</v>
      </c>
      <c r="W192" s="31">
        <f>MAX(0,NfsExports[[#This Row],[Prospective throughput]]-(NfsExports[[#This Row],[Configured Quota (GB)]]*0.064))</f>
        <v>6.4</v>
      </c>
    </row>
    <row r="193" spans="1:23" x14ac:dyDescent="0.35">
      <c r="A193" s="138" t="s">
        <v>3199</v>
      </c>
      <c r="B193" s="138" t="s">
        <v>3216</v>
      </c>
      <c r="C193" s="67" t="s">
        <v>3801</v>
      </c>
      <c r="D193" s="66" t="s">
        <v>3802</v>
      </c>
      <c r="E193" s="31" t="str">
        <f>SUBSTITUTE(NfsExports[[#This Row],[FMO Volume Name]],"_","-")</f>
        <v>vmpfbpf2dcx17-apps-pcehr</v>
      </c>
      <c r="F193" s="66" t="s">
        <v>3248</v>
      </c>
      <c r="G193" s="67">
        <v>30</v>
      </c>
      <c r="H193" s="31">
        <f>MAX(NfsExports[[#This Row],[Required Quota (GB)]],100)</f>
        <v>100</v>
      </c>
      <c r="I193">
        <v>12.8</v>
      </c>
      <c r="K193" s="66" t="s">
        <v>3249</v>
      </c>
      <c r="M19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10.98.73.39</v>
      </c>
      <c r="N193" t="str" cm="1">
        <f t="array" ref="N193">_xlfn.TEXTJOIN(",",TRUE,IF(NfsExports[[#This Row],[FMO Volume Name]]=NfsExportsVNets[FMO Volume Name],NfsExportsVNets[FMO Vnet Subnet],""))</f>
        <v/>
      </c>
      <c r="O193" t="str" cm="1">
        <f t="array" ref="O193">_xlfn.TEXTJOIN(",",TRUE,IF(NfsExports[[#This Row],[FMO Volume Name]]=NfsExportsSubnets[FMO Volume Name],NfsExportsSubnets[FMO Subnet CIDR],""))</f>
        <v/>
      </c>
      <c r="P193" t="str" cm="1">
        <f t="array" ref="P193">IFERROR(_xlfn.TEXTJOIN(",",TRUE,_xlfn._xlws.FILTER(NfsExportsServices[FMO VM Name Summary],NfsExports[[#This Row],[FMO Volume Name]]=NfsExportsServices[FMO Volume Name])),"")</f>
        <v/>
      </c>
      <c r="Q193" s="31" t="str">
        <f>_xlfn.TEXTJOIN(",",TRUE,NfsExports[[#This Row],[FMO Export Override]:[FMO Export Service IPs]])</f>
        <v>10.98.73.39</v>
      </c>
      <c r="R193" s="31" t="str">
        <f>NfsExports[[#This Row],[FMO Mount Path Estimated]]&amp;" "&amp;NfsExports[[#This Row],[Required Quota (GB)]]&amp;"GB"</f>
        <v>/apps/pcehr 30GB</v>
      </c>
      <c r="S193" s="31" t="s">
        <v>3250</v>
      </c>
      <c r="T193" s="31" t="s">
        <v>4723</v>
      </c>
      <c r="U193" s="32" t="s">
        <v>3803</v>
      </c>
      <c r="V193">
        <v>12.8</v>
      </c>
      <c r="W193" s="31">
        <f>MAX(0,NfsExports[[#This Row],[Prospective throughput]]-(NfsExports[[#This Row],[Configured Quota (GB)]]*0.064))</f>
        <v>6.4</v>
      </c>
    </row>
    <row r="194" spans="1:23" x14ac:dyDescent="0.35">
      <c r="A194" s="138" t="s">
        <v>3199</v>
      </c>
      <c r="B194" s="138" t="s">
        <v>3216</v>
      </c>
      <c r="C194" s="67" t="s">
        <v>3804</v>
      </c>
      <c r="D194" s="66" t="s">
        <v>3805</v>
      </c>
      <c r="E194" s="31" t="str">
        <f>SUBSTITUTE(NfsExports[[#This Row],[FMO Volume Name]],"_","-")</f>
        <v>vmpfbpf2dcx18-apps-pcehr</v>
      </c>
      <c r="F194" s="65" t="s">
        <v>3248</v>
      </c>
      <c r="G194" s="67">
        <v>30</v>
      </c>
      <c r="H194" s="31">
        <f>MAX(NfsExports[[#This Row],[Required Quota (GB)]],100)</f>
        <v>100</v>
      </c>
      <c r="I194">
        <v>12.8</v>
      </c>
      <c r="K194" s="66" t="s">
        <v>3249</v>
      </c>
      <c r="M19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10.98.73.40</v>
      </c>
      <c r="N194" t="str" cm="1">
        <f t="array" ref="N194">_xlfn.TEXTJOIN(",",TRUE,IF(NfsExports[[#This Row],[FMO Volume Name]]=NfsExportsVNets[FMO Volume Name],NfsExportsVNets[FMO Vnet Subnet],""))</f>
        <v/>
      </c>
      <c r="O194" t="str" cm="1">
        <f t="array" ref="O194">_xlfn.TEXTJOIN(",",TRUE,IF(NfsExports[[#This Row],[FMO Volume Name]]=NfsExportsSubnets[FMO Volume Name],NfsExportsSubnets[FMO Subnet CIDR],""))</f>
        <v/>
      </c>
      <c r="P194" t="str" cm="1">
        <f t="array" ref="P194">IFERROR(_xlfn.TEXTJOIN(",",TRUE,_xlfn._xlws.FILTER(NfsExportsServices[FMO VM Name Summary],NfsExports[[#This Row],[FMO Volume Name]]=NfsExportsServices[FMO Volume Name])),"")</f>
        <v/>
      </c>
      <c r="Q194" s="31" t="str">
        <f>_xlfn.TEXTJOIN(",",TRUE,NfsExports[[#This Row],[FMO Export Override]:[FMO Export Service IPs]])</f>
        <v>10.98.73.40</v>
      </c>
      <c r="R194" s="31" t="str">
        <f>NfsExports[[#This Row],[FMO Mount Path Estimated]]&amp;" "&amp;NfsExports[[#This Row],[Required Quota (GB)]]&amp;"GB"</f>
        <v>/apps/pcehr 30GB</v>
      </c>
      <c r="S194" s="31" t="s">
        <v>3250</v>
      </c>
      <c r="T194" s="31" t="s">
        <v>4723</v>
      </c>
      <c r="U194" s="32" t="s">
        <v>3806</v>
      </c>
      <c r="V194">
        <v>12.8</v>
      </c>
      <c r="W194" s="31">
        <f>MAX(0,NfsExports[[#This Row],[Prospective throughput]]-(NfsExports[[#This Row],[Configured Quota (GB)]]*0.064))</f>
        <v>6.4</v>
      </c>
    </row>
    <row r="195" spans="1:23" x14ac:dyDescent="0.35">
      <c r="A195" s="138" t="s">
        <v>3199</v>
      </c>
      <c r="B195" s="138" t="s">
        <v>3216</v>
      </c>
      <c r="C195" s="67" t="s">
        <v>3807</v>
      </c>
      <c r="D195" s="66" t="s">
        <v>3808</v>
      </c>
      <c r="E195" s="31" t="str">
        <f>SUBSTITUTE(NfsExports[[#This Row],[FMO Volume Name]],"_","-")</f>
        <v>vmpfbpf2dcx19-apps-pcehr</v>
      </c>
      <c r="F195" s="66" t="s">
        <v>3248</v>
      </c>
      <c r="G195" s="67">
        <v>30</v>
      </c>
      <c r="H195" s="31">
        <f>MAX(NfsExports[[#This Row],[Required Quota (GB)]],100)</f>
        <v>100</v>
      </c>
      <c r="I195">
        <v>12.8</v>
      </c>
      <c r="K195" s="66" t="s">
        <v>3249</v>
      </c>
      <c r="M19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10.98.73.41</v>
      </c>
      <c r="N195" t="str" cm="1">
        <f t="array" ref="N195">_xlfn.TEXTJOIN(",",TRUE,IF(NfsExports[[#This Row],[FMO Volume Name]]=NfsExportsVNets[FMO Volume Name],NfsExportsVNets[FMO Vnet Subnet],""))</f>
        <v/>
      </c>
      <c r="O195" t="str" cm="1">
        <f t="array" ref="O195">_xlfn.TEXTJOIN(",",TRUE,IF(NfsExports[[#This Row],[FMO Volume Name]]=NfsExportsSubnets[FMO Volume Name],NfsExportsSubnets[FMO Subnet CIDR],""))</f>
        <v/>
      </c>
      <c r="P195" t="str" cm="1">
        <f t="array" ref="P195">IFERROR(_xlfn.TEXTJOIN(",",TRUE,_xlfn._xlws.FILTER(NfsExportsServices[FMO VM Name Summary],NfsExports[[#This Row],[FMO Volume Name]]=NfsExportsServices[FMO Volume Name])),"")</f>
        <v/>
      </c>
      <c r="Q195" s="31" t="str">
        <f>_xlfn.TEXTJOIN(",",TRUE,NfsExports[[#This Row],[FMO Export Override]:[FMO Export Service IPs]])</f>
        <v>10.98.73.41</v>
      </c>
      <c r="R195" s="31" t="str">
        <f>NfsExports[[#This Row],[FMO Mount Path Estimated]]&amp;" "&amp;NfsExports[[#This Row],[Required Quota (GB)]]&amp;"GB"</f>
        <v>/apps/pcehr 30GB</v>
      </c>
      <c r="S195" s="31" t="s">
        <v>3250</v>
      </c>
      <c r="T195" s="31" t="s">
        <v>4723</v>
      </c>
      <c r="U195" s="32" t="s">
        <v>3809</v>
      </c>
      <c r="V195">
        <v>12.8</v>
      </c>
      <c r="W195" s="31">
        <f>MAX(0,NfsExports[[#This Row],[Prospective throughput]]-(NfsExports[[#This Row],[Configured Quota (GB)]]*0.064))</f>
        <v>6.4</v>
      </c>
    </row>
    <row r="196" spans="1:23" x14ac:dyDescent="0.35">
      <c r="A196" s="138" t="s">
        <v>3199</v>
      </c>
      <c r="B196" s="138" t="s">
        <v>3216</v>
      </c>
      <c r="C196" s="67" t="s">
        <v>3810</v>
      </c>
      <c r="D196" s="66" t="s">
        <v>3811</v>
      </c>
      <c r="E196" s="31" t="str">
        <f>SUBSTITUTE(NfsExports[[#This Row],[FMO Volume Name]],"_","-")</f>
        <v>vmpfbpf2dcx20-apps-pcehr</v>
      </c>
      <c r="F196" s="65" t="s">
        <v>3248</v>
      </c>
      <c r="G196" s="67">
        <v>30</v>
      </c>
      <c r="H196" s="31">
        <f>MAX(NfsExports[[#This Row],[Required Quota (GB)]],100)</f>
        <v>100</v>
      </c>
      <c r="I196">
        <v>12.8</v>
      </c>
      <c r="K196" s="66" t="s">
        <v>3249</v>
      </c>
      <c r="M19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10.98.73.42</v>
      </c>
      <c r="N196" t="str" cm="1">
        <f t="array" ref="N196">_xlfn.TEXTJOIN(",",TRUE,IF(NfsExports[[#This Row],[FMO Volume Name]]=NfsExportsVNets[FMO Volume Name],NfsExportsVNets[FMO Vnet Subnet],""))</f>
        <v/>
      </c>
      <c r="O196" t="str" cm="1">
        <f t="array" ref="O196">_xlfn.TEXTJOIN(",",TRUE,IF(NfsExports[[#This Row],[FMO Volume Name]]=NfsExportsSubnets[FMO Volume Name],NfsExportsSubnets[FMO Subnet CIDR],""))</f>
        <v/>
      </c>
      <c r="P196" t="str" cm="1">
        <f t="array" ref="P196">IFERROR(_xlfn.TEXTJOIN(",",TRUE,_xlfn._xlws.FILTER(NfsExportsServices[FMO VM Name Summary],NfsExports[[#This Row],[FMO Volume Name]]=NfsExportsServices[FMO Volume Name])),"")</f>
        <v/>
      </c>
      <c r="Q196" s="31" t="str">
        <f>_xlfn.TEXTJOIN(",",TRUE,NfsExports[[#This Row],[FMO Export Override]:[FMO Export Service IPs]])</f>
        <v>10.98.73.42</v>
      </c>
      <c r="R196" s="31" t="str">
        <f>NfsExports[[#This Row],[FMO Mount Path Estimated]]&amp;" "&amp;NfsExports[[#This Row],[Required Quota (GB)]]&amp;"GB"</f>
        <v>/apps/pcehr 30GB</v>
      </c>
      <c r="S196" s="31" t="s">
        <v>3250</v>
      </c>
      <c r="T196" s="31" t="s">
        <v>4723</v>
      </c>
      <c r="U196" s="32" t="s">
        <v>3812</v>
      </c>
      <c r="V196">
        <v>12.8</v>
      </c>
      <c r="W196" s="31">
        <f>MAX(0,NfsExports[[#This Row],[Prospective throughput]]-(NfsExports[[#This Row],[Configured Quota (GB)]]*0.064))</f>
        <v>6.4</v>
      </c>
    </row>
    <row r="197" spans="1:23" x14ac:dyDescent="0.35">
      <c r="A197" s="138" t="s">
        <v>3199</v>
      </c>
      <c r="B197" s="138" t="s">
        <v>3216</v>
      </c>
      <c r="C197" s="67" t="s">
        <v>3813</v>
      </c>
      <c r="D197" s="66" t="s">
        <v>3814</v>
      </c>
      <c r="E197" s="31" t="str">
        <f>SUBSTITUTE(NfsExports[[#This Row],[FMO Volume Name]],"_","-")</f>
        <v>vmpfbpf2dcx21-apps-pcehr</v>
      </c>
      <c r="F197" s="66" t="s">
        <v>3248</v>
      </c>
      <c r="G197" s="67">
        <v>30</v>
      </c>
      <c r="H197" s="31">
        <f>MAX(NfsExports[[#This Row],[Required Quota (GB)]],100)</f>
        <v>100</v>
      </c>
      <c r="I197">
        <v>12.8</v>
      </c>
      <c r="K197" s="66" t="s">
        <v>3249</v>
      </c>
      <c r="M19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10.98.73.43</v>
      </c>
      <c r="N197" t="str" cm="1">
        <f t="array" ref="N197">_xlfn.TEXTJOIN(",",TRUE,IF(NfsExports[[#This Row],[FMO Volume Name]]=NfsExportsVNets[FMO Volume Name],NfsExportsVNets[FMO Vnet Subnet],""))</f>
        <v/>
      </c>
      <c r="O197" t="str" cm="1">
        <f t="array" ref="O197">_xlfn.TEXTJOIN(",",TRUE,IF(NfsExports[[#This Row],[FMO Volume Name]]=NfsExportsSubnets[FMO Volume Name],NfsExportsSubnets[FMO Subnet CIDR],""))</f>
        <v/>
      </c>
      <c r="P197" t="str" cm="1">
        <f t="array" ref="P197">IFERROR(_xlfn.TEXTJOIN(",",TRUE,_xlfn._xlws.FILTER(NfsExportsServices[FMO VM Name Summary],NfsExports[[#This Row],[FMO Volume Name]]=NfsExportsServices[FMO Volume Name])),"")</f>
        <v/>
      </c>
      <c r="Q197" s="31" t="str">
        <f>_xlfn.TEXTJOIN(",",TRUE,NfsExports[[#This Row],[FMO Export Override]:[FMO Export Service IPs]])</f>
        <v>10.98.73.43</v>
      </c>
      <c r="R197" s="31" t="str">
        <f>NfsExports[[#This Row],[FMO Mount Path Estimated]]&amp;" "&amp;NfsExports[[#This Row],[Required Quota (GB)]]&amp;"GB"</f>
        <v>/apps/pcehr 30GB</v>
      </c>
      <c r="S197" s="31" t="s">
        <v>3250</v>
      </c>
      <c r="T197" s="31" t="s">
        <v>4723</v>
      </c>
      <c r="U197" s="32" t="s">
        <v>3815</v>
      </c>
      <c r="V197">
        <v>12.8</v>
      </c>
      <c r="W197" s="31">
        <f>MAX(0,NfsExports[[#This Row],[Prospective throughput]]-(NfsExports[[#This Row],[Configured Quota (GB)]]*0.064))</f>
        <v>6.4</v>
      </c>
    </row>
    <row r="198" spans="1:23" x14ac:dyDescent="0.35">
      <c r="A198" s="138" t="s">
        <v>3199</v>
      </c>
      <c r="B198" s="138" t="s">
        <v>3216</v>
      </c>
      <c r="C198" s="67" t="s">
        <v>3816</v>
      </c>
      <c r="D198" s="66" t="s">
        <v>3817</v>
      </c>
      <c r="E198" s="31" t="str">
        <f>SUBSTITUTE(NfsExports[[#This Row],[FMO Volume Name]],"_","-")</f>
        <v>vmpfbpf2dcx22-apps-pcehr</v>
      </c>
      <c r="F198" s="65" t="s">
        <v>3248</v>
      </c>
      <c r="G198" s="67">
        <v>30</v>
      </c>
      <c r="H198" s="31">
        <f>MAX(NfsExports[[#This Row],[Required Quota (GB)]],100)</f>
        <v>100</v>
      </c>
      <c r="I198">
        <v>12.8</v>
      </c>
      <c r="K198" s="66" t="s">
        <v>3249</v>
      </c>
      <c r="M19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10.98.73.44</v>
      </c>
      <c r="N198" t="str" cm="1">
        <f t="array" ref="N198">_xlfn.TEXTJOIN(",",TRUE,IF(NfsExports[[#This Row],[FMO Volume Name]]=NfsExportsVNets[FMO Volume Name],NfsExportsVNets[FMO Vnet Subnet],""))</f>
        <v/>
      </c>
      <c r="O198" t="str" cm="1">
        <f t="array" ref="O198">_xlfn.TEXTJOIN(",",TRUE,IF(NfsExports[[#This Row],[FMO Volume Name]]=NfsExportsSubnets[FMO Volume Name],NfsExportsSubnets[FMO Subnet CIDR],""))</f>
        <v/>
      </c>
      <c r="P198" t="str" cm="1">
        <f t="array" ref="P198">IFERROR(_xlfn.TEXTJOIN(",",TRUE,_xlfn._xlws.FILTER(NfsExportsServices[FMO VM Name Summary],NfsExports[[#This Row],[FMO Volume Name]]=NfsExportsServices[FMO Volume Name])),"")</f>
        <v/>
      </c>
      <c r="Q198" s="31" t="str">
        <f>_xlfn.TEXTJOIN(",",TRUE,NfsExports[[#This Row],[FMO Export Override]:[FMO Export Service IPs]])</f>
        <v>10.98.73.44</v>
      </c>
      <c r="R198" s="31" t="str">
        <f>NfsExports[[#This Row],[FMO Mount Path Estimated]]&amp;" "&amp;NfsExports[[#This Row],[Required Quota (GB)]]&amp;"GB"</f>
        <v>/apps/pcehr 30GB</v>
      </c>
      <c r="S198" s="31" t="s">
        <v>3250</v>
      </c>
      <c r="T198" s="31" t="s">
        <v>4723</v>
      </c>
      <c r="U198" s="32" t="s">
        <v>3818</v>
      </c>
      <c r="V198">
        <v>12.8</v>
      </c>
      <c r="W198" s="31">
        <f>MAX(0,NfsExports[[#This Row],[Prospective throughput]]-(NfsExports[[#This Row],[Configured Quota (GB)]]*0.064))</f>
        <v>6.4</v>
      </c>
    </row>
    <row r="199" spans="1:23" x14ac:dyDescent="0.35">
      <c r="A199" s="138" t="s">
        <v>3199</v>
      </c>
      <c r="B199" s="138" t="s">
        <v>3216</v>
      </c>
      <c r="C199" s="67" t="s">
        <v>3819</v>
      </c>
      <c r="D199" s="66" t="s">
        <v>3820</v>
      </c>
      <c r="E199" s="31" t="str">
        <f>SUBSTITUTE(NfsExports[[#This Row],[FMO Volume Name]],"_","-")</f>
        <v>vmpfbpf2dcx23-apps-pcehr</v>
      </c>
      <c r="F199" s="66" t="s">
        <v>3248</v>
      </c>
      <c r="G199" s="67">
        <v>30</v>
      </c>
      <c r="H199" s="31">
        <f>MAX(NfsExports[[#This Row],[Required Quota (GB)]],100)</f>
        <v>100</v>
      </c>
      <c r="I199">
        <v>12.8</v>
      </c>
      <c r="K199" s="66" t="s">
        <v>3249</v>
      </c>
      <c r="M19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10.98.73.45</v>
      </c>
      <c r="N199" t="str" cm="1">
        <f t="array" ref="N199">_xlfn.TEXTJOIN(",",TRUE,IF(NfsExports[[#This Row],[FMO Volume Name]]=NfsExportsVNets[FMO Volume Name],NfsExportsVNets[FMO Vnet Subnet],""))</f>
        <v/>
      </c>
      <c r="O199" t="str" cm="1">
        <f t="array" ref="O199">_xlfn.TEXTJOIN(",",TRUE,IF(NfsExports[[#This Row],[FMO Volume Name]]=NfsExportsSubnets[FMO Volume Name],NfsExportsSubnets[FMO Subnet CIDR],""))</f>
        <v/>
      </c>
      <c r="P199" t="str" cm="1">
        <f t="array" ref="P199">IFERROR(_xlfn.TEXTJOIN(",",TRUE,_xlfn._xlws.FILTER(NfsExportsServices[FMO VM Name Summary],NfsExports[[#This Row],[FMO Volume Name]]=NfsExportsServices[FMO Volume Name])),"")</f>
        <v/>
      </c>
      <c r="Q199" s="31" t="str">
        <f>_xlfn.TEXTJOIN(",",TRUE,NfsExports[[#This Row],[FMO Export Override]:[FMO Export Service IPs]])</f>
        <v>10.98.73.45</v>
      </c>
      <c r="R199" s="31" t="str">
        <f>NfsExports[[#This Row],[FMO Mount Path Estimated]]&amp;" "&amp;NfsExports[[#This Row],[Required Quota (GB)]]&amp;"GB"</f>
        <v>/apps/pcehr 30GB</v>
      </c>
      <c r="S199" s="31" t="s">
        <v>3250</v>
      </c>
      <c r="T199" s="31" t="s">
        <v>4723</v>
      </c>
      <c r="U199" s="32" t="s">
        <v>3821</v>
      </c>
      <c r="V199">
        <v>12.8</v>
      </c>
      <c r="W199" s="31">
        <f>MAX(0,NfsExports[[#This Row],[Prospective throughput]]-(NfsExports[[#This Row],[Configured Quota (GB)]]*0.064))</f>
        <v>6.4</v>
      </c>
    </row>
    <row r="200" spans="1:23" x14ac:dyDescent="0.35">
      <c r="A200" s="138" t="s">
        <v>3199</v>
      </c>
      <c r="B200" s="138" t="s">
        <v>3216</v>
      </c>
      <c r="C200" s="67" t="s">
        <v>3822</v>
      </c>
      <c r="D200" s="66" t="s">
        <v>3823</v>
      </c>
      <c r="E200" s="31" t="str">
        <f>SUBSTITUTE(NfsExports[[#This Row],[FMO Volume Name]],"_","-")</f>
        <v>vmpfbpf2dcx24-apps-pcehr</v>
      </c>
      <c r="F200" s="65" t="s">
        <v>3248</v>
      </c>
      <c r="G200" s="67">
        <v>30</v>
      </c>
      <c r="H200" s="31">
        <f>MAX(NfsExports[[#This Row],[Required Quota (GB)]],100)</f>
        <v>100</v>
      </c>
      <c r="I200">
        <v>12.8</v>
      </c>
      <c r="K200" s="66" t="s">
        <v>3249</v>
      </c>
      <c r="M20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10.98.73.46</v>
      </c>
      <c r="N200" t="str" cm="1">
        <f t="array" ref="N200">_xlfn.TEXTJOIN(",",TRUE,IF(NfsExports[[#This Row],[FMO Volume Name]]=NfsExportsVNets[FMO Volume Name],NfsExportsVNets[FMO Vnet Subnet],""))</f>
        <v/>
      </c>
      <c r="O200" t="str" cm="1">
        <f t="array" ref="O200">_xlfn.TEXTJOIN(",",TRUE,IF(NfsExports[[#This Row],[FMO Volume Name]]=NfsExportsSubnets[FMO Volume Name],NfsExportsSubnets[FMO Subnet CIDR],""))</f>
        <v/>
      </c>
      <c r="P200" t="str" cm="1">
        <f t="array" ref="P200">IFERROR(_xlfn.TEXTJOIN(",",TRUE,_xlfn._xlws.FILTER(NfsExportsServices[FMO VM Name Summary],NfsExports[[#This Row],[FMO Volume Name]]=NfsExportsServices[FMO Volume Name])),"")</f>
        <v/>
      </c>
      <c r="Q200" s="31" t="str">
        <f>_xlfn.TEXTJOIN(",",TRUE,NfsExports[[#This Row],[FMO Export Override]:[FMO Export Service IPs]])</f>
        <v>10.98.73.46</v>
      </c>
      <c r="R200" s="31" t="str">
        <f>NfsExports[[#This Row],[FMO Mount Path Estimated]]&amp;" "&amp;NfsExports[[#This Row],[Required Quota (GB)]]&amp;"GB"</f>
        <v>/apps/pcehr 30GB</v>
      </c>
      <c r="S200" s="31" t="s">
        <v>3250</v>
      </c>
      <c r="T200" s="31" t="s">
        <v>4723</v>
      </c>
      <c r="U200" s="32" t="s">
        <v>3824</v>
      </c>
      <c r="V200">
        <v>12.8</v>
      </c>
      <c r="W200" s="31">
        <f>MAX(0,NfsExports[[#This Row],[Prospective throughput]]-(NfsExports[[#This Row],[Configured Quota (GB)]]*0.064))</f>
        <v>6.4</v>
      </c>
    </row>
    <row r="201" spans="1:23" x14ac:dyDescent="0.35">
      <c r="A201" s="138" t="s">
        <v>3199</v>
      </c>
      <c r="B201" s="138" t="s">
        <v>3216</v>
      </c>
      <c r="C201" s="67" t="s">
        <v>3825</v>
      </c>
      <c r="D201" s="66" t="s">
        <v>3826</v>
      </c>
      <c r="E201" s="31" t="str">
        <f>SUBSTITUTE(NfsExports[[#This Row],[FMO Volume Name]],"_","-")</f>
        <v>vmpfbpf2hdr23-apps-pcehr</v>
      </c>
      <c r="F201" s="66" t="s">
        <v>3248</v>
      </c>
      <c r="G201" s="67">
        <v>45</v>
      </c>
      <c r="H201" s="31">
        <f>MAX(NfsExports[[#This Row],[Required Quota (GB)]],100)</f>
        <v>100</v>
      </c>
      <c r="I201">
        <v>12.8</v>
      </c>
      <c r="K201" s="66" t="s">
        <v>3249</v>
      </c>
      <c r="M20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10.98.73.70</v>
      </c>
      <c r="N201" t="str" cm="1">
        <f t="array" ref="N201">_xlfn.TEXTJOIN(",",TRUE,IF(NfsExports[[#This Row],[FMO Volume Name]]=NfsExportsVNets[FMO Volume Name],NfsExportsVNets[FMO Vnet Subnet],""))</f>
        <v/>
      </c>
      <c r="O201" t="str" cm="1">
        <f t="array" ref="O201">_xlfn.TEXTJOIN(",",TRUE,IF(NfsExports[[#This Row],[FMO Volume Name]]=NfsExportsSubnets[FMO Volume Name],NfsExportsSubnets[FMO Subnet CIDR],""))</f>
        <v/>
      </c>
      <c r="P201" t="str" cm="1">
        <f t="array" ref="P201">IFERROR(_xlfn.TEXTJOIN(",",TRUE,_xlfn._xlws.FILTER(NfsExportsServices[FMO VM Name Summary],NfsExports[[#This Row],[FMO Volume Name]]=NfsExportsServices[FMO Volume Name])),"")</f>
        <v/>
      </c>
      <c r="Q201" s="31" t="str">
        <f>_xlfn.TEXTJOIN(",",TRUE,NfsExports[[#This Row],[FMO Export Override]:[FMO Export Service IPs]])</f>
        <v>10.98.73.70</v>
      </c>
      <c r="R201" s="31" t="str">
        <f>NfsExports[[#This Row],[FMO Mount Path Estimated]]&amp;" "&amp;NfsExports[[#This Row],[Required Quota (GB)]]&amp;"GB"</f>
        <v>/apps/pcehr 45GB</v>
      </c>
      <c r="S201" s="31" t="s">
        <v>3366</v>
      </c>
      <c r="T201" s="31" t="s">
        <v>4723</v>
      </c>
      <c r="U201" s="32" t="s">
        <v>3827</v>
      </c>
      <c r="V201">
        <v>12.8</v>
      </c>
      <c r="W201" s="31">
        <f>MAX(0,NfsExports[[#This Row],[Prospective throughput]]-(NfsExports[[#This Row],[Configured Quota (GB)]]*0.064))</f>
        <v>6.4</v>
      </c>
    </row>
    <row r="202" spans="1:23" x14ac:dyDescent="0.35">
      <c r="A202" s="138" t="s">
        <v>3199</v>
      </c>
      <c r="B202" s="138" t="s">
        <v>3216</v>
      </c>
      <c r="C202" s="67" t="s">
        <v>3828</v>
      </c>
      <c r="D202" s="66" t="s">
        <v>3829</v>
      </c>
      <c r="E202" s="31" t="str">
        <f>SUBSTITUTE(NfsExports[[#This Row],[FMO Volume Name]],"_","-")</f>
        <v>vmpfbpf2hdr24-apps-pcehr</v>
      </c>
      <c r="F202" s="65" t="s">
        <v>3248</v>
      </c>
      <c r="G202" s="67">
        <v>45</v>
      </c>
      <c r="H202" s="31">
        <f>MAX(NfsExports[[#This Row],[Required Quota (GB)]],100)</f>
        <v>100</v>
      </c>
      <c r="I202">
        <v>12.8</v>
      </c>
      <c r="K202" s="66" t="s">
        <v>3249</v>
      </c>
      <c r="M20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10.98.73.71</v>
      </c>
      <c r="N202" t="str" cm="1">
        <f t="array" ref="N202">_xlfn.TEXTJOIN(",",TRUE,IF(NfsExports[[#This Row],[FMO Volume Name]]=NfsExportsVNets[FMO Volume Name],NfsExportsVNets[FMO Vnet Subnet],""))</f>
        <v/>
      </c>
      <c r="O202" t="str" cm="1">
        <f t="array" ref="O202">_xlfn.TEXTJOIN(",",TRUE,IF(NfsExports[[#This Row],[FMO Volume Name]]=NfsExportsSubnets[FMO Volume Name],NfsExportsSubnets[FMO Subnet CIDR],""))</f>
        <v/>
      </c>
      <c r="P202" t="str" cm="1">
        <f t="array" ref="P202">IFERROR(_xlfn.TEXTJOIN(",",TRUE,_xlfn._xlws.FILTER(NfsExportsServices[FMO VM Name Summary],NfsExports[[#This Row],[FMO Volume Name]]=NfsExportsServices[FMO Volume Name])),"")</f>
        <v/>
      </c>
      <c r="Q202" s="31" t="str">
        <f>_xlfn.TEXTJOIN(",",TRUE,NfsExports[[#This Row],[FMO Export Override]:[FMO Export Service IPs]])</f>
        <v>10.98.73.71</v>
      </c>
      <c r="R202" s="31" t="str">
        <f>NfsExports[[#This Row],[FMO Mount Path Estimated]]&amp;" "&amp;NfsExports[[#This Row],[Required Quota (GB)]]&amp;"GB"</f>
        <v>/apps/pcehr 45GB</v>
      </c>
      <c r="S202" s="31" t="s">
        <v>3366</v>
      </c>
      <c r="T202" s="31" t="s">
        <v>4723</v>
      </c>
      <c r="U202" s="32" t="s">
        <v>3830</v>
      </c>
      <c r="V202">
        <v>12.8</v>
      </c>
      <c r="W202" s="31">
        <f>MAX(0,NfsExports[[#This Row],[Prospective throughput]]-(NfsExports[[#This Row],[Configured Quota (GB)]]*0.064))</f>
        <v>6.4</v>
      </c>
    </row>
    <row r="203" spans="1:23" x14ac:dyDescent="0.35">
      <c r="A203" s="138" t="s">
        <v>3199</v>
      </c>
      <c r="B203" s="138" t="s">
        <v>3216</v>
      </c>
      <c r="C203" s="67" t="s">
        <v>3831</v>
      </c>
      <c r="D203" s="66" t="s">
        <v>3832</v>
      </c>
      <c r="E203" s="31" t="str">
        <f>SUBSTITUTE(NfsExports[[#This Row],[FMO Volume Name]],"_","-")</f>
        <v>vmpfbpf2hdr25-apps-pcehr</v>
      </c>
      <c r="F203" s="66" t="s">
        <v>3248</v>
      </c>
      <c r="G203" s="67">
        <v>45</v>
      </c>
      <c r="H203" s="31">
        <f>MAX(NfsExports[[#This Row],[Required Quota (GB)]],100)</f>
        <v>100</v>
      </c>
      <c r="I203">
        <v>12.8</v>
      </c>
      <c r="K203" s="66" t="s">
        <v>3249</v>
      </c>
      <c r="M20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10.98.73.73</v>
      </c>
      <c r="N203" t="str" cm="1">
        <f t="array" ref="N203">_xlfn.TEXTJOIN(",",TRUE,IF(NfsExports[[#This Row],[FMO Volume Name]]=NfsExportsVNets[FMO Volume Name],NfsExportsVNets[FMO Vnet Subnet],""))</f>
        <v/>
      </c>
      <c r="O203" t="str" cm="1">
        <f t="array" ref="O203">_xlfn.TEXTJOIN(",",TRUE,IF(NfsExports[[#This Row],[FMO Volume Name]]=NfsExportsSubnets[FMO Volume Name],NfsExportsSubnets[FMO Subnet CIDR],""))</f>
        <v/>
      </c>
      <c r="P203" t="str" cm="1">
        <f t="array" ref="P203">IFERROR(_xlfn.TEXTJOIN(",",TRUE,_xlfn._xlws.FILTER(NfsExportsServices[FMO VM Name Summary],NfsExports[[#This Row],[FMO Volume Name]]=NfsExportsServices[FMO Volume Name])),"")</f>
        <v/>
      </c>
      <c r="Q203" s="31" t="str">
        <f>_xlfn.TEXTJOIN(",",TRUE,NfsExports[[#This Row],[FMO Export Override]:[FMO Export Service IPs]])</f>
        <v>10.98.73.73</v>
      </c>
      <c r="R203" s="31" t="str">
        <f>NfsExports[[#This Row],[FMO Mount Path Estimated]]&amp;" "&amp;NfsExports[[#This Row],[Required Quota (GB)]]&amp;"GB"</f>
        <v>/apps/pcehr 45GB</v>
      </c>
      <c r="S203" s="31" t="s">
        <v>3366</v>
      </c>
      <c r="T203" s="31" t="s">
        <v>4723</v>
      </c>
      <c r="U203" s="32" t="s">
        <v>3833</v>
      </c>
      <c r="V203">
        <v>12.8</v>
      </c>
      <c r="W203" s="31">
        <f>MAX(0,NfsExports[[#This Row],[Prospective throughput]]-(NfsExports[[#This Row],[Configured Quota (GB)]]*0.064))</f>
        <v>6.4</v>
      </c>
    </row>
    <row r="204" spans="1:23" x14ac:dyDescent="0.35">
      <c r="A204" s="138" t="s">
        <v>3199</v>
      </c>
      <c r="B204" s="138" t="s">
        <v>3216</v>
      </c>
      <c r="C204" s="67" t="s">
        <v>3834</v>
      </c>
      <c r="D204" s="66" t="s">
        <v>3835</v>
      </c>
      <c r="E204" s="31" t="str">
        <f>SUBSTITUTE(NfsExports[[#This Row],[FMO Volume Name]],"_","-")</f>
        <v>vmpfbpf2hdr26-apps-pcehr</v>
      </c>
      <c r="F204" s="65" t="s">
        <v>3248</v>
      </c>
      <c r="G204" s="67">
        <v>45</v>
      </c>
      <c r="H204" s="31">
        <f>MAX(NfsExports[[#This Row],[Required Quota (GB)]],100)</f>
        <v>100</v>
      </c>
      <c r="I204">
        <v>12.8</v>
      </c>
      <c r="K204" s="66" t="s">
        <v>3249</v>
      </c>
      <c r="M20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10.98.73.74</v>
      </c>
      <c r="N204" t="str" cm="1">
        <f t="array" ref="N204">_xlfn.TEXTJOIN(",",TRUE,IF(NfsExports[[#This Row],[FMO Volume Name]]=NfsExportsVNets[FMO Volume Name],NfsExportsVNets[FMO Vnet Subnet],""))</f>
        <v/>
      </c>
      <c r="O204" t="str" cm="1">
        <f t="array" ref="O204">_xlfn.TEXTJOIN(",",TRUE,IF(NfsExports[[#This Row],[FMO Volume Name]]=NfsExportsSubnets[FMO Volume Name],NfsExportsSubnets[FMO Subnet CIDR],""))</f>
        <v/>
      </c>
      <c r="P204" t="str" cm="1">
        <f t="array" ref="P204">IFERROR(_xlfn.TEXTJOIN(",",TRUE,_xlfn._xlws.FILTER(NfsExportsServices[FMO VM Name Summary],NfsExports[[#This Row],[FMO Volume Name]]=NfsExportsServices[FMO Volume Name])),"")</f>
        <v/>
      </c>
      <c r="Q204" s="31" t="str">
        <f>_xlfn.TEXTJOIN(",",TRUE,NfsExports[[#This Row],[FMO Export Override]:[FMO Export Service IPs]])</f>
        <v>10.98.73.74</v>
      </c>
      <c r="R204" s="31" t="str">
        <f>NfsExports[[#This Row],[FMO Mount Path Estimated]]&amp;" "&amp;NfsExports[[#This Row],[Required Quota (GB)]]&amp;"GB"</f>
        <v>/apps/pcehr 45GB</v>
      </c>
      <c r="S204" s="31" t="s">
        <v>3366</v>
      </c>
      <c r="T204" s="31" t="s">
        <v>4723</v>
      </c>
      <c r="U204" s="32" t="s">
        <v>3836</v>
      </c>
      <c r="V204">
        <v>12.8</v>
      </c>
      <c r="W204" s="31">
        <f>MAX(0,NfsExports[[#This Row],[Prospective throughput]]-(NfsExports[[#This Row],[Configured Quota (GB)]]*0.064))</f>
        <v>6.4</v>
      </c>
    </row>
    <row r="205" spans="1:23" x14ac:dyDescent="0.35">
      <c r="A205" s="138" t="s">
        <v>3199</v>
      </c>
      <c r="B205" s="138" t="s">
        <v>3216</v>
      </c>
      <c r="C205" s="67" t="s">
        <v>3837</v>
      </c>
      <c r="D205" s="66" t="s">
        <v>3838</v>
      </c>
      <c r="E205" s="31" t="str">
        <f>SUBSTITUTE(NfsExports[[#This Row],[FMO Volume Name]],"_","-")</f>
        <v>vmpfbpf2hdr27-apps-pcehr</v>
      </c>
      <c r="F205" s="66" t="s">
        <v>3248</v>
      </c>
      <c r="G205" s="67">
        <v>45</v>
      </c>
      <c r="H205" s="31">
        <f>MAX(NfsExports[[#This Row],[Required Quota (GB)]],100)</f>
        <v>100</v>
      </c>
      <c r="I205">
        <v>12.8</v>
      </c>
      <c r="K205" s="66" t="s">
        <v>3249</v>
      </c>
      <c r="M20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10.98.73.75</v>
      </c>
      <c r="N205" t="str" cm="1">
        <f t="array" ref="N205">_xlfn.TEXTJOIN(",",TRUE,IF(NfsExports[[#This Row],[FMO Volume Name]]=NfsExportsVNets[FMO Volume Name],NfsExportsVNets[FMO Vnet Subnet],""))</f>
        <v/>
      </c>
      <c r="O205" t="str" cm="1">
        <f t="array" ref="O205">_xlfn.TEXTJOIN(",",TRUE,IF(NfsExports[[#This Row],[FMO Volume Name]]=NfsExportsSubnets[FMO Volume Name],NfsExportsSubnets[FMO Subnet CIDR],""))</f>
        <v/>
      </c>
      <c r="P205" t="str" cm="1">
        <f t="array" ref="P205">IFERROR(_xlfn.TEXTJOIN(",",TRUE,_xlfn._xlws.FILTER(NfsExportsServices[FMO VM Name Summary],NfsExports[[#This Row],[FMO Volume Name]]=NfsExportsServices[FMO Volume Name])),"")</f>
        <v/>
      </c>
      <c r="Q205" s="31" t="str">
        <f>_xlfn.TEXTJOIN(",",TRUE,NfsExports[[#This Row],[FMO Export Override]:[FMO Export Service IPs]])</f>
        <v>10.98.73.75</v>
      </c>
      <c r="R205" s="31" t="str">
        <f>NfsExports[[#This Row],[FMO Mount Path Estimated]]&amp;" "&amp;NfsExports[[#This Row],[Required Quota (GB)]]&amp;"GB"</f>
        <v>/apps/pcehr 45GB</v>
      </c>
      <c r="S205" s="31" t="s">
        <v>3366</v>
      </c>
      <c r="T205" s="31" t="s">
        <v>4723</v>
      </c>
      <c r="U205" s="32" t="s">
        <v>3839</v>
      </c>
      <c r="V205">
        <v>12.8</v>
      </c>
      <c r="W205" s="31">
        <f>MAX(0,NfsExports[[#This Row],[Prospective throughput]]-(NfsExports[[#This Row],[Configured Quota (GB)]]*0.064))</f>
        <v>6.4</v>
      </c>
    </row>
    <row r="206" spans="1:23" x14ac:dyDescent="0.35">
      <c r="A206" s="138" t="s">
        <v>3199</v>
      </c>
      <c r="B206" s="138" t="s">
        <v>3216</v>
      </c>
      <c r="C206" s="67" t="s">
        <v>3840</v>
      </c>
      <c r="D206" s="66" t="s">
        <v>3841</v>
      </c>
      <c r="E206" s="31" t="str">
        <f>SUBSTITUTE(NfsExports[[#This Row],[FMO Volume Name]],"_","-")</f>
        <v>vmpfbpf2hdr28-apps-pcehr</v>
      </c>
      <c r="F206" s="65" t="s">
        <v>3248</v>
      </c>
      <c r="G206" s="67">
        <v>45</v>
      </c>
      <c r="H206" s="31">
        <f>MAX(NfsExports[[#This Row],[Required Quota (GB)]],100)</f>
        <v>100</v>
      </c>
      <c r="I206">
        <v>12.8</v>
      </c>
      <c r="K206" s="66" t="s">
        <v>3249</v>
      </c>
      <c r="M20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10.98.73.76</v>
      </c>
      <c r="N206" t="str" cm="1">
        <f t="array" ref="N206">_xlfn.TEXTJOIN(",",TRUE,IF(NfsExports[[#This Row],[FMO Volume Name]]=NfsExportsVNets[FMO Volume Name],NfsExportsVNets[FMO Vnet Subnet],""))</f>
        <v/>
      </c>
      <c r="O206" t="str" cm="1">
        <f t="array" ref="O206">_xlfn.TEXTJOIN(",",TRUE,IF(NfsExports[[#This Row],[FMO Volume Name]]=NfsExportsSubnets[FMO Volume Name],NfsExportsSubnets[FMO Subnet CIDR],""))</f>
        <v/>
      </c>
      <c r="P206" t="str" cm="1">
        <f t="array" ref="P206">IFERROR(_xlfn.TEXTJOIN(",",TRUE,_xlfn._xlws.FILTER(NfsExportsServices[FMO VM Name Summary],NfsExports[[#This Row],[FMO Volume Name]]=NfsExportsServices[FMO Volume Name])),"")</f>
        <v/>
      </c>
      <c r="Q206" s="31" t="str">
        <f>_xlfn.TEXTJOIN(",",TRUE,NfsExports[[#This Row],[FMO Export Override]:[FMO Export Service IPs]])</f>
        <v>10.98.73.76</v>
      </c>
      <c r="R206" s="31" t="str">
        <f>NfsExports[[#This Row],[FMO Mount Path Estimated]]&amp;" "&amp;NfsExports[[#This Row],[Required Quota (GB)]]&amp;"GB"</f>
        <v>/apps/pcehr 45GB</v>
      </c>
      <c r="S206" s="31" t="s">
        <v>3366</v>
      </c>
      <c r="T206" s="31" t="s">
        <v>4723</v>
      </c>
      <c r="U206" s="32" t="s">
        <v>3842</v>
      </c>
      <c r="V206">
        <v>12.8</v>
      </c>
      <c r="W206" s="31">
        <f>MAX(0,NfsExports[[#This Row],[Prospective throughput]]-(NfsExports[[#This Row],[Configured Quota (GB)]]*0.064))</f>
        <v>6.4</v>
      </c>
    </row>
    <row r="207" spans="1:23" x14ac:dyDescent="0.35">
      <c r="A207" s="138" t="s">
        <v>3199</v>
      </c>
      <c r="B207" s="138" t="s">
        <v>3216</v>
      </c>
      <c r="C207" s="67" t="s">
        <v>3843</v>
      </c>
      <c r="D207" s="66" t="s">
        <v>3844</v>
      </c>
      <c r="E207" s="31" t="str">
        <f>SUBSTITUTE(NfsExports[[#This Row],[FMO Volume Name]],"_","-")</f>
        <v>vmpfbpf2hdr29-apps-pcehr</v>
      </c>
      <c r="F207" s="66" t="s">
        <v>3248</v>
      </c>
      <c r="G207" s="67">
        <v>45</v>
      </c>
      <c r="H207" s="31">
        <f>MAX(NfsExports[[#This Row],[Required Quota (GB)]],100)</f>
        <v>100</v>
      </c>
      <c r="I207">
        <v>12.8</v>
      </c>
      <c r="K207" s="66" t="s">
        <v>3249</v>
      </c>
      <c r="M20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10.98.73.77</v>
      </c>
      <c r="N207" t="str" cm="1">
        <f t="array" ref="N207">_xlfn.TEXTJOIN(",",TRUE,IF(NfsExports[[#This Row],[FMO Volume Name]]=NfsExportsVNets[FMO Volume Name],NfsExportsVNets[FMO Vnet Subnet],""))</f>
        <v/>
      </c>
      <c r="O207" t="str" cm="1">
        <f t="array" ref="O207">_xlfn.TEXTJOIN(",",TRUE,IF(NfsExports[[#This Row],[FMO Volume Name]]=NfsExportsSubnets[FMO Volume Name],NfsExportsSubnets[FMO Subnet CIDR],""))</f>
        <v/>
      </c>
      <c r="P207" t="str" cm="1">
        <f t="array" ref="P207">IFERROR(_xlfn.TEXTJOIN(",",TRUE,_xlfn._xlws.FILTER(NfsExportsServices[FMO VM Name Summary],NfsExports[[#This Row],[FMO Volume Name]]=NfsExportsServices[FMO Volume Name])),"")</f>
        <v/>
      </c>
      <c r="Q207" s="31" t="str">
        <f>_xlfn.TEXTJOIN(",",TRUE,NfsExports[[#This Row],[FMO Export Override]:[FMO Export Service IPs]])</f>
        <v>10.98.73.77</v>
      </c>
      <c r="R207" s="31" t="str">
        <f>NfsExports[[#This Row],[FMO Mount Path Estimated]]&amp;" "&amp;NfsExports[[#This Row],[Required Quota (GB)]]&amp;"GB"</f>
        <v>/apps/pcehr 45GB</v>
      </c>
      <c r="S207" s="31" t="s">
        <v>3366</v>
      </c>
      <c r="T207" s="31" t="s">
        <v>4723</v>
      </c>
      <c r="U207" s="32" t="s">
        <v>3845</v>
      </c>
      <c r="V207">
        <v>12.8</v>
      </c>
      <c r="W207" s="31">
        <f>MAX(0,NfsExports[[#This Row],[Prospective throughput]]-(NfsExports[[#This Row],[Configured Quota (GB)]]*0.064))</f>
        <v>6.4</v>
      </c>
    </row>
    <row r="208" spans="1:23" x14ac:dyDescent="0.35">
      <c r="A208" s="138" t="s">
        <v>3199</v>
      </c>
      <c r="B208" s="138" t="s">
        <v>3216</v>
      </c>
      <c r="C208" s="67" t="s">
        <v>3846</v>
      </c>
      <c r="D208" s="66" t="s">
        <v>3847</v>
      </c>
      <c r="E208" s="31" t="str">
        <f>SUBSTITUTE(NfsExports[[#This Row],[FMO Volume Name]],"_","-")</f>
        <v>vmpfbpf2hdr30-apps-pcehr</v>
      </c>
      <c r="F208" s="65" t="s">
        <v>3248</v>
      </c>
      <c r="G208" s="67">
        <v>45</v>
      </c>
      <c r="H208" s="31">
        <f>MAX(NfsExports[[#This Row],[Required Quota (GB)]],100)</f>
        <v>100</v>
      </c>
      <c r="I208">
        <v>12.8</v>
      </c>
      <c r="K208" s="66" t="s">
        <v>3249</v>
      </c>
      <c r="M20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10.98.73.78</v>
      </c>
      <c r="N208" t="str" cm="1">
        <f t="array" ref="N208">_xlfn.TEXTJOIN(",",TRUE,IF(NfsExports[[#This Row],[FMO Volume Name]]=NfsExportsVNets[FMO Volume Name],NfsExportsVNets[FMO Vnet Subnet],""))</f>
        <v/>
      </c>
      <c r="O208" t="str" cm="1">
        <f t="array" ref="O208">_xlfn.TEXTJOIN(",",TRUE,IF(NfsExports[[#This Row],[FMO Volume Name]]=NfsExportsSubnets[FMO Volume Name],NfsExportsSubnets[FMO Subnet CIDR],""))</f>
        <v/>
      </c>
      <c r="P208" t="str" cm="1">
        <f t="array" ref="P208">IFERROR(_xlfn.TEXTJOIN(",",TRUE,_xlfn._xlws.FILTER(NfsExportsServices[FMO VM Name Summary],NfsExports[[#This Row],[FMO Volume Name]]=NfsExportsServices[FMO Volume Name])),"")</f>
        <v/>
      </c>
      <c r="Q208" s="31" t="str">
        <f>_xlfn.TEXTJOIN(",",TRUE,NfsExports[[#This Row],[FMO Export Override]:[FMO Export Service IPs]])</f>
        <v>10.98.73.78</v>
      </c>
      <c r="R208" s="31" t="str">
        <f>NfsExports[[#This Row],[FMO Mount Path Estimated]]&amp;" "&amp;NfsExports[[#This Row],[Required Quota (GB)]]&amp;"GB"</f>
        <v>/apps/pcehr 45GB</v>
      </c>
      <c r="S208" s="31" t="s">
        <v>3366</v>
      </c>
      <c r="T208" s="31" t="s">
        <v>4723</v>
      </c>
      <c r="U208" s="32" t="s">
        <v>3848</v>
      </c>
      <c r="V208">
        <v>12.8</v>
      </c>
      <c r="W208" s="31">
        <f>MAX(0,NfsExports[[#This Row],[Prospective throughput]]-(NfsExports[[#This Row],[Configured Quota (GB)]]*0.064))</f>
        <v>6.4</v>
      </c>
    </row>
    <row r="209" spans="1:23" x14ac:dyDescent="0.35">
      <c r="A209" s="138" t="s">
        <v>3199</v>
      </c>
      <c r="B209" s="138" t="s">
        <v>3216</v>
      </c>
      <c r="C209" s="67" t="s">
        <v>3849</v>
      </c>
      <c r="D209" s="66" t="s">
        <v>3850</v>
      </c>
      <c r="E209" s="31" t="str">
        <f>SUBSTITUTE(NfsExports[[#This Row],[FMO Volume Name]],"_","-")</f>
        <v>vmpfbpf2hdr31-apps-pcehr</v>
      </c>
      <c r="F209" s="66" t="s">
        <v>3248</v>
      </c>
      <c r="G209" s="67">
        <v>45</v>
      </c>
      <c r="H209" s="31">
        <f>MAX(NfsExports[[#This Row],[Required Quota (GB)]],100)</f>
        <v>100</v>
      </c>
      <c r="I209">
        <v>12.8</v>
      </c>
      <c r="K209" s="66" t="s">
        <v>3249</v>
      </c>
      <c r="M20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10.98.73.79</v>
      </c>
      <c r="N209" t="str" cm="1">
        <f t="array" ref="N209">_xlfn.TEXTJOIN(",",TRUE,IF(NfsExports[[#This Row],[FMO Volume Name]]=NfsExportsVNets[FMO Volume Name],NfsExportsVNets[FMO Vnet Subnet],""))</f>
        <v/>
      </c>
      <c r="O209" t="str" cm="1">
        <f t="array" ref="O209">_xlfn.TEXTJOIN(",",TRUE,IF(NfsExports[[#This Row],[FMO Volume Name]]=NfsExportsSubnets[FMO Volume Name],NfsExportsSubnets[FMO Subnet CIDR],""))</f>
        <v/>
      </c>
      <c r="P209" t="str" cm="1">
        <f t="array" ref="P209">IFERROR(_xlfn.TEXTJOIN(",",TRUE,_xlfn._xlws.FILTER(NfsExportsServices[FMO VM Name Summary],NfsExports[[#This Row],[FMO Volume Name]]=NfsExportsServices[FMO Volume Name])),"")</f>
        <v/>
      </c>
      <c r="Q209" s="31" t="str">
        <f>_xlfn.TEXTJOIN(",",TRUE,NfsExports[[#This Row],[FMO Export Override]:[FMO Export Service IPs]])</f>
        <v>10.98.73.79</v>
      </c>
      <c r="R209" s="31" t="str">
        <f>NfsExports[[#This Row],[FMO Mount Path Estimated]]&amp;" "&amp;NfsExports[[#This Row],[Required Quota (GB)]]&amp;"GB"</f>
        <v>/apps/pcehr 45GB</v>
      </c>
      <c r="S209" s="31" t="s">
        <v>3366</v>
      </c>
      <c r="T209" s="31" t="s">
        <v>4723</v>
      </c>
      <c r="U209" s="32" t="s">
        <v>3851</v>
      </c>
      <c r="V209">
        <v>12.8</v>
      </c>
      <c r="W209" s="31">
        <f>MAX(0,NfsExports[[#This Row],[Prospective throughput]]-(NfsExports[[#This Row],[Configured Quota (GB)]]*0.064))</f>
        <v>6.4</v>
      </c>
    </row>
    <row r="210" spans="1:23" x14ac:dyDescent="0.35">
      <c r="A210" s="138" t="s">
        <v>3199</v>
      </c>
      <c r="B210" s="138" t="s">
        <v>3216</v>
      </c>
      <c r="C210" s="67" t="s">
        <v>3852</v>
      </c>
      <c r="D210" s="66" t="s">
        <v>3853</v>
      </c>
      <c r="E210" s="31" t="str">
        <f>SUBSTITUTE(NfsExports[[#This Row],[FMO Volume Name]],"_","-")</f>
        <v>vmpfbpf2hdr32-apps-pcehr</v>
      </c>
      <c r="F210" s="65" t="s">
        <v>3248</v>
      </c>
      <c r="G210" s="67">
        <v>45</v>
      </c>
      <c r="H210" s="31">
        <f>MAX(NfsExports[[#This Row],[Required Quota (GB)]],100)</f>
        <v>100</v>
      </c>
      <c r="I210">
        <v>12.8</v>
      </c>
      <c r="K210" s="66" t="s">
        <v>3249</v>
      </c>
      <c r="M21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10.98.73.80</v>
      </c>
      <c r="N210" t="str" cm="1">
        <f t="array" ref="N210">_xlfn.TEXTJOIN(",",TRUE,IF(NfsExports[[#This Row],[FMO Volume Name]]=NfsExportsVNets[FMO Volume Name],NfsExportsVNets[FMO Vnet Subnet],""))</f>
        <v/>
      </c>
      <c r="O210" t="str" cm="1">
        <f t="array" ref="O210">_xlfn.TEXTJOIN(",",TRUE,IF(NfsExports[[#This Row],[FMO Volume Name]]=NfsExportsSubnets[FMO Volume Name],NfsExportsSubnets[FMO Subnet CIDR],""))</f>
        <v/>
      </c>
      <c r="P210" t="str" cm="1">
        <f t="array" ref="P210">IFERROR(_xlfn.TEXTJOIN(",",TRUE,_xlfn._xlws.FILTER(NfsExportsServices[FMO VM Name Summary],NfsExports[[#This Row],[FMO Volume Name]]=NfsExportsServices[FMO Volume Name])),"")</f>
        <v/>
      </c>
      <c r="Q210" s="31" t="str">
        <f>_xlfn.TEXTJOIN(",",TRUE,NfsExports[[#This Row],[FMO Export Override]:[FMO Export Service IPs]])</f>
        <v>10.98.73.80</v>
      </c>
      <c r="R210" s="31" t="str">
        <f>NfsExports[[#This Row],[FMO Mount Path Estimated]]&amp;" "&amp;NfsExports[[#This Row],[Required Quota (GB)]]&amp;"GB"</f>
        <v>/apps/pcehr 45GB</v>
      </c>
      <c r="S210" s="31" t="s">
        <v>3366</v>
      </c>
      <c r="T210" s="31" t="s">
        <v>4723</v>
      </c>
      <c r="U210" s="32" t="s">
        <v>3854</v>
      </c>
      <c r="V210">
        <v>12.8</v>
      </c>
      <c r="W210" s="31">
        <f>MAX(0,NfsExports[[#This Row],[Prospective throughput]]-(NfsExports[[#This Row],[Configured Quota (GB)]]*0.064))</f>
        <v>6.4</v>
      </c>
    </row>
    <row r="211" spans="1:23" x14ac:dyDescent="0.35">
      <c r="A211" s="138" t="s">
        <v>3199</v>
      </c>
      <c r="B211" s="138" t="s">
        <v>3216</v>
      </c>
      <c r="C211" s="67" t="s">
        <v>3855</v>
      </c>
      <c r="D211" s="66" t="s">
        <v>3856</v>
      </c>
      <c r="E211" s="31" t="str">
        <f>SUBSTITUTE(NfsExports[[#This Row],[FMO Volume Name]],"_","-")</f>
        <v>vmpfbpf2hdr33-apps-pcehr</v>
      </c>
      <c r="F211" s="66" t="s">
        <v>3248</v>
      </c>
      <c r="G211" s="67">
        <v>45</v>
      </c>
      <c r="H211" s="31">
        <f>MAX(NfsExports[[#This Row],[Required Quota (GB)]],100)</f>
        <v>100</v>
      </c>
      <c r="I211">
        <v>12.8</v>
      </c>
      <c r="K211" s="66" t="s">
        <v>3249</v>
      </c>
      <c r="M21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10.98.73.81</v>
      </c>
      <c r="N211" t="str" cm="1">
        <f t="array" ref="N211">_xlfn.TEXTJOIN(",",TRUE,IF(NfsExports[[#This Row],[FMO Volume Name]]=NfsExportsVNets[FMO Volume Name],NfsExportsVNets[FMO Vnet Subnet],""))</f>
        <v/>
      </c>
      <c r="O211" t="str" cm="1">
        <f t="array" ref="O211">_xlfn.TEXTJOIN(",",TRUE,IF(NfsExports[[#This Row],[FMO Volume Name]]=NfsExportsSubnets[FMO Volume Name],NfsExportsSubnets[FMO Subnet CIDR],""))</f>
        <v/>
      </c>
      <c r="P211" t="str" cm="1">
        <f t="array" ref="P211">IFERROR(_xlfn.TEXTJOIN(",",TRUE,_xlfn._xlws.FILTER(NfsExportsServices[FMO VM Name Summary],NfsExports[[#This Row],[FMO Volume Name]]=NfsExportsServices[FMO Volume Name])),"")</f>
        <v/>
      </c>
      <c r="Q211" s="31" t="str">
        <f>_xlfn.TEXTJOIN(",",TRUE,NfsExports[[#This Row],[FMO Export Override]:[FMO Export Service IPs]])</f>
        <v>10.98.73.81</v>
      </c>
      <c r="R211" s="31" t="str">
        <f>NfsExports[[#This Row],[FMO Mount Path Estimated]]&amp;" "&amp;NfsExports[[#This Row],[Required Quota (GB)]]&amp;"GB"</f>
        <v>/apps/pcehr 45GB</v>
      </c>
      <c r="S211" s="31" t="s">
        <v>3366</v>
      </c>
      <c r="T211" s="31" t="s">
        <v>4723</v>
      </c>
      <c r="U211" s="32" t="s">
        <v>3857</v>
      </c>
      <c r="V211">
        <v>12.8</v>
      </c>
      <c r="W211" s="31">
        <f>MAX(0,NfsExports[[#This Row],[Prospective throughput]]-(NfsExports[[#This Row],[Configured Quota (GB)]]*0.064))</f>
        <v>6.4</v>
      </c>
    </row>
    <row r="212" spans="1:23" x14ac:dyDescent="0.35">
      <c r="A212" s="138" t="s">
        <v>3199</v>
      </c>
      <c r="B212" s="138" t="s">
        <v>3216</v>
      </c>
      <c r="C212" s="67" t="s">
        <v>3858</v>
      </c>
      <c r="D212" s="66" t="s">
        <v>3859</v>
      </c>
      <c r="E212" s="31" t="str">
        <f>SUBSTITUTE(NfsExports[[#This Row],[FMO Volume Name]],"_","-")</f>
        <v>vmpfbpf2hdr34-apps-pcehr</v>
      </c>
      <c r="F212" s="65" t="s">
        <v>3248</v>
      </c>
      <c r="G212" s="67">
        <v>45</v>
      </c>
      <c r="H212" s="31">
        <f>MAX(NfsExports[[#This Row],[Required Quota (GB)]],100)</f>
        <v>100</v>
      </c>
      <c r="I212">
        <v>12.8</v>
      </c>
      <c r="K212" s="66" t="s">
        <v>3249</v>
      </c>
      <c r="M21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10.98.73.82</v>
      </c>
      <c r="N212" t="str" cm="1">
        <f t="array" ref="N212">_xlfn.TEXTJOIN(",",TRUE,IF(NfsExports[[#This Row],[FMO Volume Name]]=NfsExportsVNets[FMO Volume Name],NfsExportsVNets[FMO Vnet Subnet],""))</f>
        <v/>
      </c>
      <c r="O212" t="str" cm="1">
        <f t="array" ref="O212">_xlfn.TEXTJOIN(",",TRUE,IF(NfsExports[[#This Row],[FMO Volume Name]]=NfsExportsSubnets[FMO Volume Name],NfsExportsSubnets[FMO Subnet CIDR],""))</f>
        <v/>
      </c>
      <c r="P212" t="str" cm="1">
        <f t="array" ref="P212">IFERROR(_xlfn.TEXTJOIN(",",TRUE,_xlfn._xlws.FILTER(NfsExportsServices[FMO VM Name Summary],NfsExports[[#This Row],[FMO Volume Name]]=NfsExportsServices[FMO Volume Name])),"")</f>
        <v/>
      </c>
      <c r="Q212" s="31" t="str">
        <f>_xlfn.TEXTJOIN(",",TRUE,NfsExports[[#This Row],[FMO Export Override]:[FMO Export Service IPs]])</f>
        <v>10.98.73.82</v>
      </c>
      <c r="R212" s="31" t="str">
        <f>NfsExports[[#This Row],[FMO Mount Path Estimated]]&amp;" "&amp;NfsExports[[#This Row],[Required Quota (GB)]]&amp;"GB"</f>
        <v>/apps/pcehr 45GB</v>
      </c>
      <c r="S212" s="31" t="s">
        <v>3366</v>
      </c>
      <c r="T212" s="31" t="s">
        <v>4723</v>
      </c>
      <c r="U212" s="32" t="s">
        <v>3860</v>
      </c>
      <c r="V212">
        <v>12.8</v>
      </c>
      <c r="W212" s="31">
        <f>MAX(0,NfsExports[[#This Row],[Prospective throughput]]-(NfsExports[[#This Row],[Configured Quota (GB)]]*0.064))</f>
        <v>6.4</v>
      </c>
    </row>
    <row r="213" spans="1:23" x14ac:dyDescent="0.35">
      <c r="A213" s="138" t="s">
        <v>3199</v>
      </c>
      <c r="B213" s="138" t="s">
        <v>3216</v>
      </c>
      <c r="C213" s="67" t="s">
        <v>3861</v>
      </c>
      <c r="D213" s="66" t="s">
        <v>3862</v>
      </c>
      <c r="E213" s="31" t="str">
        <f>SUBSTITUTE(NfsExports[[#This Row],[FMO Volume Name]],"_","-")</f>
        <v>vmpfbpf2hdr35-apps-pcehr</v>
      </c>
      <c r="F213" s="66" t="s">
        <v>3248</v>
      </c>
      <c r="G213" s="67">
        <v>45</v>
      </c>
      <c r="H213" s="31">
        <f>MAX(NfsExports[[#This Row],[Required Quota (GB)]],100)</f>
        <v>100</v>
      </c>
      <c r="I213">
        <v>12.8</v>
      </c>
      <c r="K213" s="66" t="s">
        <v>3249</v>
      </c>
      <c r="M21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10.98.73.83</v>
      </c>
      <c r="N213" t="str" cm="1">
        <f t="array" ref="N213">_xlfn.TEXTJOIN(",",TRUE,IF(NfsExports[[#This Row],[FMO Volume Name]]=NfsExportsVNets[FMO Volume Name],NfsExportsVNets[FMO Vnet Subnet],""))</f>
        <v/>
      </c>
      <c r="O213" t="str" cm="1">
        <f t="array" ref="O213">_xlfn.TEXTJOIN(",",TRUE,IF(NfsExports[[#This Row],[FMO Volume Name]]=NfsExportsSubnets[FMO Volume Name],NfsExportsSubnets[FMO Subnet CIDR],""))</f>
        <v/>
      </c>
      <c r="P213" t="str" cm="1">
        <f t="array" ref="P213">IFERROR(_xlfn.TEXTJOIN(",",TRUE,_xlfn._xlws.FILTER(NfsExportsServices[FMO VM Name Summary],NfsExports[[#This Row],[FMO Volume Name]]=NfsExportsServices[FMO Volume Name])),"")</f>
        <v/>
      </c>
      <c r="Q213" s="31" t="str">
        <f>_xlfn.TEXTJOIN(",",TRUE,NfsExports[[#This Row],[FMO Export Override]:[FMO Export Service IPs]])</f>
        <v>10.98.73.83</v>
      </c>
      <c r="R213" s="31" t="str">
        <f>NfsExports[[#This Row],[FMO Mount Path Estimated]]&amp;" "&amp;NfsExports[[#This Row],[Required Quota (GB)]]&amp;"GB"</f>
        <v>/apps/pcehr 45GB</v>
      </c>
      <c r="S213" s="31" t="s">
        <v>3366</v>
      </c>
      <c r="T213" s="31" t="s">
        <v>4723</v>
      </c>
      <c r="U213" s="32" t="s">
        <v>3863</v>
      </c>
      <c r="V213">
        <v>12.8</v>
      </c>
      <c r="W213" s="31">
        <f>MAX(0,NfsExports[[#This Row],[Prospective throughput]]-(NfsExports[[#This Row],[Configured Quota (GB)]]*0.064))</f>
        <v>6.4</v>
      </c>
    </row>
    <row r="214" spans="1:23" x14ac:dyDescent="0.35">
      <c r="A214" s="138" t="s">
        <v>3199</v>
      </c>
      <c r="B214" s="138" t="s">
        <v>3216</v>
      </c>
      <c r="C214" s="67" t="s">
        <v>3864</v>
      </c>
      <c r="D214" s="66" t="s">
        <v>3865</v>
      </c>
      <c r="E214" s="31" t="str">
        <f>SUBSTITUTE(NfsExports[[#This Row],[FMO Volume Name]],"_","-")</f>
        <v>vmpfbpf2hmr11-apps-pcehr</v>
      </c>
      <c r="F214" s="65" t="s">
        <v>3248</v>
      </c>
      <c r="G214" s="67">
        <v>50</v>
      </c>
      <c r="H214" s="31">
        <f>MAX(NfsExports[[#This Row],[Required Quota (GB)]],100)</f>
        <v>100</v>
      </c>
      <c r="I214">
        <v>12.8</v>
      </c>
      <c r="K214" s="66" t="s">
        <v>3249</v>
      </c>
      <c r="M21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10.98.73.94</v>
      </c>
      <c r="N214" t="str" cm="1">
        <f t="array" ref="N214">_xlfn.TEXTJOIN(",",TRUE,IF(NfsExports[[#This Row],[FMO Volume Name]]=NfsExportsVNets[FMO Volume Name],NfsExportsVNets[FMO Vnet Subnet],""))</f>
        <v/>
      </c>
      <c r="O214" t="str" cm="1">
        <f t="array" ref="O214">_xlfn.TEXTJOIN(",",TRUE,IF(NfsExports[[#This Row],[FMO Volume Name]]=NfsExportsSubnets[FMO Volume Name],NfsExportsSubnets[FMO Subnet CIDR],""))</f>
        <v/>
      </c>
      <c r="P214" t="str" cm="1">
        <f t="array" ref="P214">IFERROR(_xlfn.TEXTJOIN(",",TRUE,_xlfn._xlws.FILTER(NfsExportsServices[FMO VM Name Summary],NfsExports[[#This Row],[FMO Volume Name]]=NfsExportsServices[FMO Volume Name])),"")</f>
        <v/>
      </c>
      <c r="Q214" s="31" t="str">
        <f>_xlfn.TEXTJOIN(",",TRUE,NfsExports[[#This Row],[FMO Export Override]:[FMO Export Service IPs]])</f>
        <v>10.98.73.94</v>
      </c>
      <c r="R214" s="31" t="str">
        <f>NfsExports[[#This Row],[FMO Mount Path Estimated]]&amp;" "&amp;NfsExports[[#This Row],[Required Quota (GB)]]&amp;"GB"</f>
        <v>/apps/pcehr 50GB</v>
      </c>
      <c r="S214" s="31" t="s">
        <v>3250</v>
      </c>
      <c r="T214" s="31" t="s">
        <v>4723</v>
      </c>
      <c r="U214" s="32" t="s">
        <v>3866</v>
      </c>
      <c r="V214">
        <v>12.8</v>
      </c>
      <c r="W214" s="31">
        <f>MAX(0,NfsExports[[#This Row],[Prospective throughput]]-(NfsExports[[#This Row],[Configured Quota (GB)]]*0.064))</f>
        <v>6.4</v>
      </c>
    </row>
    <row r="215" spans="1:23" x14ac:dyDescent="0.35">
      <c r="A215" s="138" t="s">
        <v>3199</v>
      </c>
      <c r="B215" s="138" t="s">
        <v>3216</v>
      </c>
      <c r="C215" s="67" t="s">
        <v>3867</v>
      </c>
      <c r="D215" s="66" t="s">
        <v>3868</v>
      </c>
      <c r="E215" s="31" t="str">
        <f>SUBSTITUTE(NfsExports[[#This Row],[FMO Volume Name]],"_","-")</f>
        <v>vmpfbpf2hmr12-apps-pcehr</v>
      </c>
      <c r="F215" s="66" t="s">
        <v>3248</v>
      </c>
      <c r="G215" s="67">
        <v>50</v>
      </c>
      <c r="H215" s="31">
        <f>MAX(NfsExports[[#This Row],[Required Quota (GB)]],100)</f>
        <v>100</v>
      </c>
      <c r="I215">
        <v>12.8</v>
      </c>
      <c r="K215" s="66" t="s">
        <v>3249</v>
      </c>
      <c r="M21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10.98.73.95</v>
      </c>
      <c r="N215" t="str" cm="1">
        <f t="array" ref="N215">_xlfn.TEXTJOIN(",",TRUE,IF(NfsExports[[#This Row],[FMO Volume Name]]=NfsExportsVNets[FMO Volume Name],NfsExportsVNets[FMO Vnet Subnet],""))</f>
        <v/>
      </c>
      <c r="O215" t="str" cm="1">
        <f t="array" ref="O215">_xlfn.TEXTJOIN(",",TRUE,IF(NfsExports[[#This Row],[FMO Volume Name]]=NfsExportsSubnets[FMO Volume Name],NfsExportsSubnets[FMO Subnet CIDR],""))</f>
        <v/>
      </c>
      <c r="P215" t="str" cm="1">
        <f t="array" ref="P215">IFERROR(_xlfn.TEXTJOIN(",",TRUE,_xlfn._xlws.FILTER(NfsExportsServices[FMO VM Name Summary],NfsExports[[#This Row],[FMO Volume Name]]=NfsExportsServices[FMO Volume Name])),"")</f>
        <v/>
      </c>
      <c r="Q215" s="31" t="str">
        <f>_xlfn.TEXTJOIN(",",TRUE,NfsExports[[#This Row],[FMO Export Override]:[FMO Export Service IPs]])</f>
        <v>10.98.73.95</v>
      </c>
      <c r="R215" s="31" t="str">
        <f>NfsExports[[#This Row],[FMO Mount Path Estimated]]&amp;" "&amp;NfsExports[[#This Row],[Required Quota (GB)]]&amp;"GB"</f>
        <v>/apps/pcehr 50GB</v>
      </c>
      <c r="S215" s="31" t="s">
        <v>3250</v>
      </c>
      <c r="T215" s="31" t="s">
        <v>4723</v>
      </c>
      <c r="U215" s="32" t="s">
        <v>3869</v>
      </c>
      <c r="V215">
        <v>12.8</v>
      </c>
      <c r="W215" s="31">
        <f>MAX(0,NfsExports[[#This Row],[Prospective throughput]]-(NfsExports[[#This Row],[Configured Quota (GB)]]*0.064))</f>
        <v>6.4</v>
      </c>
    </row>
    <row r="216" spans="1:23" x14ac:dyDescent="0.35">
      <c r="A216" s="138" t="s">
        <v>3199</v>
      </c>
      <c r="B216" s="138" t="s">
        <v>3216</v>
      </c>
      <c r="C216" s="67" t="s">
        <v>3870</v>
      </c>
      <c r="D216" s="66" t="s">
        <v>3871</v>
      </c>
      <c r="E216" s="31" t="str">
        <f>SUBSTITUTE(NfsExports[[#This Row],[FMO Volume Name]],"_","-")</f>
        <v>vmpfbpf2oes19-apps-pcehr</v>
      </c>
      <c r="F216" s="66" t="s">
        <v>3248</v>
      </c>
      <c r="G216" s="67">
        <v>30</v>
      </c>
      <c r="H216" s="31">
        <f>MAX(NfsExports[[#This Row],[Required Quota (GB)]],100)</f>
        <v>100</v>
      </c>
      <c r="I216">
        <v>12.8</v>
      </c>
      <c r="K216" s="66" t="s">
        <v>3249</v>
      </c>
      <c r="M21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10.98.73.123</v>
      </c>
      <c r="N216" t="str" cm="1">
        <f t="array" ref="N216">_xlfn.TEXTJOIN(",",TRUE,IF(NfsExports[[#This Row],[FMO Volume Name]]=NfsExportsVNets[FMO Volume Name],NfsExportsVNets[FMO Vnet Subnet],""))</f>
        <v/>
      </c>
      <c r="O216" t="str" cm="1">
        <f t="array" ref="O216">_xlfn.TEXTJOIN(",",TRUE,IF(NfsExports[[#This Row],[FMO Volume Name]]=NfsExportsSubnets[FMO Volume Name],NfsExportsSubnets[FMO Subnet CIDR],""))</f>
        <v/>
      </c>
      <c r="P216" t="str" cm="1">
        <f t="array" ref="P216">IFERROR(_xlfn.TEXTJOIN(",",TRUE,_xlfn._xlws.FILTER(NfsExportsServices[FMO VM Name Summary],NfsExports[[#This Row],[FMO Volume Name]]=NfsExportsServices[FMO Volume Name])),"")</f>
        <v/>
      </c>
      <c r="Q216" s="31" t="str">
        <f>_xlfn.TEXTJOIN(",",TRUE,NfsExports[[#This Row],[FMO Export Override]:[FMO Export Service IPs]])</f>
        <v>10.98.73.123</v>
      </c>
      <c r="R216" s="31" t="str">
        <f>NfsExports[[#This Row],[FMO Mount Path Estimated]]&amp;" "&amp;NfsExports[[#This Row],[Required Quota (GB)]]&amp;"GB"</f>
        <v>/apps/pcehr 30GB</v>
      </c>
      <c r="S216" s="31" t="s">
        <v>3514</v>
      </c>
      <c r="T216" s="31" t="s">
        <v>4723</v>
      </c>
      <c r="U216" s="32" t="s">
        <v>3872</v>
      </c>
      <c r="V216">
        <v>12.8</v>
      </c>
      <c r="W216" s="31">
        <f>MAX(0,NfsExports[[#This Row],[Prospective throughput]]-(NfsExports[[#This Row],[Configured Quota (GB)]]*0.064))</f>
        <v>6.4</v>
      </c>
    </row>
    <row r="217" spans="1:23" x14ac:dyDescent="0.35">
      <c r="A217" s="138" t="s">
        <v>3199</v>
      </c>
      <c r="B217" s="138" t="s">
        <v>3216</v>
      </c>
      <c r="C217" s="67" t="s">
        <v>3873</v>
      </c>
      <c r="D217" s="66" t="s">
        <v>3874</v>
      </c>
      <c r="E217" s="31" t="str">
        <f>SUBSTITUTE(NfsExports[[#This Row],[FMO Volume Name]],"_","-")</f>
        <v>vmpfbpf2oes10-apps-pcehr</v>
      </c>
      <c r="F217" s="66" t="s">
        <v>3248</v>
      </c>
      <c r="G217" s="67">
        <v>30</v>
      </c>
      <c r="H217" s="31">
        <f>MAX(NfsExports[[#This Row],[Required Quota (GB)]],100)</f>
        <v>100</v>
      </c>
      <c r="I217">
        <v>12.8</v>
      </c>
      <c r="K217" s="66" t="s">
        <v>3249</v>
      </c>
      <c r="M21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10.98.73.114</v>
      </c>
      <c r="N217" t="str" cm="1">
        <f t="array" ref="N217">_xlfn.TEXTJOIN(",",TRUE,IF(NfsExports[[#This Row],[FMO Volume Name]]=NfsExportsVNets[FMO Volume Name],NfsExportsVNets[FMO Vnet Subnet],""))</f>
        <v/>
      </c>
      <c r="O217" t="str" cm="1">
        <f t="array" ref="O217">_xlfn.TEXTJOIN(",",TRUE,IF(NfsExports[[#This Row],[FMO Volume Name]]=NfsExportsSubnets[FMO Volume Name],NfsExportsSubnets[FMO Subnet CIDR],""))</f>
        <v/>
      </c>
      <c r="P217" t="str" cm="1">
        <f t="array" ref="P217">IFERROR(_xlfn.TEXTJOIN(",",TRUE,_xlfn._xlws.FILTER(NfsExportsServices[FMO VM Name Summary],NfsExports[[#This Row],[FMO Volume Name]]=NfsExportsServices[FMO Volume Name])),"")</f>
        <v/>
      </c>
      <c r="Q217" s="31" t="str">
        <f>_xlfn.TEXTJOIN(",",TRUE,NfsExports[[#This Row],[FMO Export Override]:[FMO Export Service IPs]])</f>
        <v>10.98.73.114</v>
      </c>
      <c r="R217" s="31" t="str">
        <f>NfsExports[[#This Row],[FMO Mount Path Estimated]]&amp;" "&amp;NfsExports[[#This Row],[Required Quota (GB)]]&amp;"GB"</f>
        <v>/apps/pcehr 30GB</v>
      </c>
      <c r="S217" s="31" t="s">
        <v>3514</v>
      </c>
      <c r="T217" s="31" t="s">
        <v>4723</v>
      </c>
      <c r="U217" s="32" t="s">
        <v>3875</v>
      </c>
      <c r="V217">
        <v>12.8</v>
      </c>
      <c r="W217" s="31">
        <f>MAX(0,NfsExports[[#This Row],[Prospective throughput]]-(NfsExports[[#This Row],[Configured Quota (GB)]]*0.064))</f>
        <v>6.4</v>
      </c>
    </row>
    <row r="218" spans="1:23" x14ac:dyDescent="0.35">
      <c r="A218" s="138" t="s">
        <v>3199</v>
      </c>
      <c r="B218" s="138" t="s">
        <v>3216</v>
      </c>
      <c r="C218" s="67" t="s">
        <v>3876</v>
      </c>
      <c r="D218" s="66" t="s">
        <v>3877</v>
      </c>
      <c r="E218" s="31" t="str">
        <f>SUBSTITUTE(NfsExports[[#This Row],[FMO Volume Name]],"_","-")</f>
        <v>vmpfbpf2oes11-apps-pcehr</v>
      </c>
      <c r="F218" s="66" t="s">
        <v>3248</v>
      </c>
      <c r="G218" s="67">
        <v>30</v>
      </c>
      <c r="H218" s="31">
        <f>MAX(NfsExports[[#This Row],[Required Quota (GB)]],100)</f>
        <v>100</v>
      </c>
      <c r="I218">
        <v>12.8</v>
      </c>
      <c r="K218" s="66" t="s">
        <v>3249</v>
      </c>
      <c r="M21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10.98.73.115</v>
      </c>
      <c r="N218" t="str" cm="1">
        <f t="array" ref="N218">_xlfn.TEXTJOIN(",",TRUE,IF(NfsExports[[#This Row],[FMO Volume Name]]=NfsExportsVNets[FMO Volume Name],NfsExportsVNets[FMO Vnet Subnet],""))</f>
        <v/>
      </c>
      <c r="O218" t="str" cm="1">
        <f t="array" ref="O218">_xlfn.TEXTJOIN(",",TRUE,IF(NfsExports[[#This Row],[FMO Volume Name]]=NfsExportsSubnets[FMO Volume Name],NfsExportsSubnets[FMO Subnet CIDR],""))</f>
        <v/>
      </c>
      <c r="P218" t="str" cm="1">
        <f t="array" ref="P218">IFERROR(_xlfn.TEXTJOIN(",",TRUE,_xlfn._xlws.FILTER(NfsExportsServices[FMO VM Name Summary],NfsExports[[#This Row],[FMO Volume Name]]=NfsExportsServices[FMO Volume Name])),"")</f>
        <v/>
      </c>
      <c r="Q218" s="31" t="str">
        <f>_xlfn.TEXTJOIN(",",TRUE,NfsExports[[#This Row],[FMO Export Override]:[FMO Export Service IPs]])</f>
        <v>10.98.73.115</v>
      </c>
      <c r="R218" s="31" t="str">
        <f>NfsExports[[#This Row],[FMO Mount Path Estimated]]&amp;" "&amp;NfsExports[[#This Row],[Required Quota (GB)]]&amp;"GB"</f>
        <v>/apps/pcehr 30GB</v>
      </c>
      <c r="S218" s="31" t="s">
        <v>3514</v>
      </c>
      <c r="T218" s="31" t="s">
        <v>4723</v>
      </c>
      <c r="U218" s="32" t="s">
        <v>3878</v>
      </c>
      <c r="V218">
        <v>12.8</v>
      </c>
      <c r="W218" s="31">
        <f>MAX(0,NfsExports[[#This Row],[Prospective throughput]]-(NfsExports[[#This Row],[Configured Quota (GB)]]*0.064))</f>
        <v>6.4</v>
      </c>
    </row>
    <row r="219" spans="1:23" x14ac:dyDescent="0.35">
      <c r="A219" s="138" t="s">
        <v>3199</v>
      </c>
      <c r="B219" s="138" t="s">
        <v>3216</v>
      </c>
      <c r="C219" s="67" t="s">
        <v>3879</v>
      </c>
      <c r="D219" s="66" t="s">
        <v>3880</v>
      </c>
      <c r="E219" s="31" t="str">
        <f>SUBSTITUTE(NfsExports[[#This Row],[FMO Volume Name]],"_","-")</f>
        <v>vmpfbpf2oes12-apps-pcehr</v>
      </c>
      <c r="F219" s="66" t="s">
        <v>3248</v>
      </c>
      <c r="G219" s="67">
        <v>30</v>
      </c>
      <c r="H219" s="31">
        <f>MAX(NfsExports[[#This Row],[Required Quota (GB)]],100)</f>
        <v>100</v>
      </c>
      <c r="I219">
        <v>12.8</v>
      </c>
      <c r="K219" s="66" t="s">
        <v>3249</v>
      </c>
      <c r="M21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10.98.73.116</v>
      </c>
      <c r="N219" t="str" cm="1">
        <f t="array" ref="N219">_xlfn.TEXTJOIN(",",TRUE,IF(NfsExports[[#This Row],[FMO Volume Name]]=NfsExportsVNets[FMO Volume Name],NfsExportsVNets[FMO Vnet Subnet],""))</f>
        <v/>
      </c>
      <c r="O219" t="str" cm="1">
        <f t="array" ref="O219">_xlfn.TEXTJOIN(",",TRUE,IF(NfsExports[[#This Row],[FMO Volume Name]]=NfsExportsSubnets[FMO Volume Name],NfsExportsSubnets[FMO Subnet CIDR],""))</f>
        <v/>
      </c>
      <c r="P219" t="str" cm="1">
        <f t="array" ref="P219">IFERROR(_xlfn.TEXTJOIN(",",TRUE,_xlfn._xlws.FILTER(NfsExportsServices[FMO VM Name Summary],NfsExports[[#This Row],[FMO Volume Name]]=NfsExportsServices[FMO Volume Name])),"")</f>
        <v/>
      </c>
      <c r="Q219" s="31" t="str">
        <f>_xlfn.TEXTJOIN(",",TRUE,NfsExports[[#This Row],[FMO Export Override]:[FMO Export Service IPs]])</f>
        <v>10.98.73.116</v>
      </c>
      <c r="R219" s="31" t="str">
        <f>NfsExports[[#This Row],[FMO Mount Path Estimated]]&amp;" "&amp;NfsExports[[#This Row],[Required Quota (GB)]]&amp;"GB"</f>
        <v>/apps/pcehr 30GB</v>
      </c>
      <c r="S219" s="31" t="s">
        <v>3514</v>
      </c>
      <c r="T219" s="31" t="s">
        <v>4723</v>
      </c>
      <c r="U219" s="32" t="s">
        <v>3881</v>
      </c>
      <c r="V219">
        <v>12.8</v>
      </c>
      <c r="W219" s="31">
        <f>MAX(0,NfsExports[[#This Row],[Prospective throughput]]-(NfsExports[[#This Row],[Configured Quota (GB)]]*0.064))</f>
        <v>6.4</v>
      </c>
    </row>
    <row r="220" spans="1:23" x14ac:dyDescent="0.35">
      <c r="A220" s="138" t="s">
        <v>3199</v>
      </c>
      <c r="B220" s="138" t="s">
        <v>3216</v>
      </c>
      <c r="C220" s="67" t="s">
        <v>3882</v>
      </c>
      <c r="D220" s="66" t="s">
        <v>3883</v>
      </c>
      <c r="E220" s="31" t="str">
        <f>SUBSTITUTE(NfsExports[[#This Row],[FMO Volume Name]],"_","-")</f>
        <v>vmpfbpf2oes13-apps-pcehr</v>
      </c>
      <c r="F220" s="66" t="s">
        <v>3248</v>
      </c>
      <c r="G220" s="67">
        <v>30</v>
      </c>
      <c r="H220" s="31">
        <f>MAX(NfsExports[[#This Row],[Required Quota (GB)]],100)</f>
        <v>100</v>
      </c>
      <c r="I220">
        <v>12.8</v>
      </c>
      <c r="K220" s="66" t="s">
        <v>3249</v>
      </c>
      <c r="M22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10.98.73.117</v>
      </c>
      <c r="N220" t="str" cm="1">
        <f t="array" ref="N220">_xlfn.TEXTJOIN(",",TRUE,IF(NfsExports[[#This Row],[FMO Volume Name]]=NfsExportsVNets[FMO Volume Name],NfsExportsVNets[FMO Vnet Subnet],""))</f>
        <v/>
      </c>
      <c r="O220" t="str" cm="1">
        <f t="array" ref="O220">_xlfn.TEXTJOIN(",",TRUE,IF(NfsExports[[#This Row],[FMO Volume Name]]=NfsExportsSubnets[FMO Volume Name],NfsExportsSubnets[FMO Subnet CIDR],""))</f>
        <v/>
      </c>
      <c r="P220" t="str" cm="1">
        <f t="array" ref="P220">IFERROR(_xlfn.TEXTJOIN(",",TRUE,_xlfn._xlws.FILTER(NfsExportsServices[FMO VM Name Summary],NfsExports[[#This Row],[FMO Volume Name]]=NfsExportsServices[FMO Volume Name])),"")</f>
        <v/>
      </c>
      <c r="Q220" s="31" t="str">
        <f>_xlfn.TEXTJOIN(",",TRUE,NfsExports[[#This Row],[FMO Export Override]:[FMO Export Service IPs]])</f>
        <v>10.98.73.117</v>
      </c>
      <c r="R220" s="31" t="str">
        <f>NfsExports[[#This Row],[FMO Mount Path Estimated]]&amp;" "&amp;NfsExports[[#This Row],[Required Quota (GB)]]&amp;"GB"</f>
        <v>/apps/pcehr 30GB</v>
      </c>
      <c r="S220" s="31" t="s">
        <v>3514</v>
      </c>
      <c r="T220" s="31" t="s">
        <v>4723</v>
      </c>
      <c r="U220" s="32" t="s">
        <v>3884</v>
      </c>
      <c r="V220">
        <v>12.8</v>
      </c>
      <c r="W220" s="31">
        <f>MAX(0,NfsExports[[#This Row],[Prospective throughput]]-(NfsExports[[#This Row],[Configured Quota (GB)]]*0.064))</f>
        <v>6.4</v>
      </c>
    </row>
    <row r="221" spans="1:23" x14ac:dyDescent="0.35">
      <c r="A221" s="138" t="s">
        <v>3199</v>
      </c>
      <c r="B221" s="138" t="s">
        <v>3216</v>
      </c>
      <c r="C221" s="67" t="s">
        <v>3885</v>
      </c>
      <c r="D221" s="66" t="s">
        <v>3886</v>
      </c>
      <c r="E221" s="31" t="str">
        <f>SUBSTITUTE(NfsExports[[#This Row],[FMO Volume Name]],"_","-")</f>
        <v>vmpfbpf2oes14-apps-pcehr</v>
      </c>
      <c r="F221" s="66" t="s">
        <v>3248</v>
      </c>
      <c r="G221" s="67">
        <v>30</v>
      </c>
      <c r="H221" s="31">
        <f>MAX(NfsExports[[#This Row],[Required Quota (GB)]],100)</f>
        <v>100</v>
      </c>
      <c r="I221">
        <v>12.8</v>
      </c>
      <c r="K221" s="66" t="s">
        <v>3249</v>
      </c>
      <c r="M22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10.98.73.118</v>
      </c>
      <c r="N221" t="str" cm="1">
        <f t="array" ref="N221">_xlfn.TEXTJOIN(",",TRUE,IF(NfsExports[[#This Row],[FMO Volume Name]]=NfsExportsVNets[FMO Volume Name],NfsExportsVNets[FMO Vnet Subnet],""))</f>
        <v/>
      </c>
      <c r="O221" t="str" cm="1">
        <f t="array" ref="O221">_xlfn.TEXTJOIN(",",TRUE,IF(NfsExports[[#This Row],[FMO Volume Name]]=NfsExportsSubnets[FMO Volume Name],NfsExportsSubnets[FMO Subnet CIDR],""))</f>
        <v/>
      </c>
      <c r="P221" t="str" cm="1">
        <f t="array" ref="P221">IFERROR(_xlfn.TEXTJOIN(",",TRUE,_xlfn._xlws.FILTER(NfsExportsServices[FMO VM Name Summary],NfsExports[[#This Row],[FMO Volume Name]]=NfsExportsServices[FMO Volume Name])),"")</f>
        <v/>
      </c>
      <c r="Q221" s="31" t="str">
        <f>_xlfn.TEXTJOIN(",",TRUE,NfsExports[[#This Row],[FMO Export Override]:[FMO Export Service IPs]])</f>
        <v>10.98.73.118</v>
      </c>
      <c r="R221" s="31" t="str">
        <f>NfsExports[[#This Row],[FMO Mount Path Estimated]]&amp;" "&amp;NfsExports[[#This Row],[Required Quota (GB)]]&amp;"GB"</f>
        <v>/apps/pcehr 30GB</v>
      </c>
      <c r="S221" s="31" t="s">
        <v>3514</v>
      </c>
      <c r="T221" s="31" t="s">
        <v>4723</v>
      </c>
      <c r="U221" s="32" t="s">
        <v>3887</v>
      </c>
      <c r="V221">
        <v>12.8</v>
      </c>
      <c r="W221" s="31">
        <f>MAX(0,NfsExports[[#This Row],[Prospective throughput]]-(NfsExports[[#This Row],[Configured Quota (GB)]]*0.064))</f>
        <v>6.4</v>
      </c>
    </row>
    <row r="222" spans="1:23" x14ac:dyDescent="0.35">
      <c r="A222" s="138" t="s">
        <v>3199</v>
      </c>
      <c r="B222" s="138" t="s">
        <v>3216</v>
      </c>
      <c r="C222" s="67" t="s">
        <v>3888</v>
      </c>
      <c r="D222" s="66" t="s">
        <v>3889</v>
      </c>
      <c r="E222" s="31" t="str">
        <f>SUBSTITUTE(NfsExports[[#This Row],[FMO Volume Name]],"_","-")</f>
        <v>vmpfbpf2oes15-apps-pcehr</v>
      </c>
      <c r="F222" s="66" t="s">
        <v>3248</v>
      </c>
      <c r="G222" s="67">
        <v>30</v>
      </c>
      <c r="H222" s="31">
        <f>MAX(NfsExports[[#This Row],[Required Quota (GB)]],100)</f>
        <v>100</v>
      </c>
      <c r="I222">
        <v>12.8</v>
      </c>
      <c r="K222" s="66" t="s">
        <v>3249</v>
      </c>
      <c r="M22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10.98.73.119</v>
      </c>
      <c r="N222" t="str" cm="1">
        <f t="array" ref="N222">_xlfn.TEXTJOIN(",",TRUE,IF(NfsExports[[#This Row],[FMO Volume Name]]=NfsExportsVNets[FMO Volume Name],NfsExportsVNets[FMO Vnet Subnet],""))</f>
        <v/>
      </c>
      <c r="O222" t="str" cm="1">
        <f t="array" ref="O222">_xlfn.TEXTJOIN(",",TRUE,IF(NfsExports[[#This Row],[FMO Volume Name]]=NfsExportsSubnets[FMO Volume Name],NfsExportsSubnets[FMO Subnet CIDR],""))</f>
        <v/>
      </c>
      <c r="P222" t="str" cm="1">
        <f t="array" ref="P222">IFERROR(_xlfn.TEXTJOIN(",",TRUE,_xlfn._xlws.FILTER(NfsExportsServices[FMO VM Name Summary],NfsExports[[#This Row],[FMO Volume Name]]=NfsExportsServices[FMO Volume Name])),"")</f>
        <v/>
      </c>
      <c r="Q222" s="31" t="str">
        <f>_xlfn.TEXTJOIN(",",TRUE,NfsExports[[#This Row],[FMO Export Override]:[FMO Export Service IPs]])</f>
        <v>10.98.73.119</v>
      </c>
      <c r="R222" s="31" t="str">
        <f>NfsExports[[#This Row],[FMO Mount Path Estimated]]&amp;" "&amp;NfsExports[[#This Row],[Required Quota (GB)]]&amp;"GB"</f>
        <v>/apps/pcehr 30GB</v>
      </c>
      <c r="S222" s="31" t="s">
        <v>3514</v>
      </c>
      <c r="T222" s="31" t="s">
        <v>4723</v>
      </c>
      <c r="U222" s="32" t="s">
        <v>3890</v>
      </c>
      <c r="V222">
        <v>12.8</v>
      </c>
      <c r="W222" s="31">
        <f>MAX(0,NfsExports[[#This Row],[Prospective throughput]]-(NfsExports[[#This Row],[Configured Quota (GB)]]*0.064))</f>
        <v>6.4</v>
      </c>
    </row>
    <row r="223" spans="1:23" x14ac:dyDescent="0.35">
      <c r="A223" s="138" t="s">
        <v>3199</v>
      </c>
      <c r="B223" s="138" t="s">
        <v>3216</v>
      </c>
      <c r="C223" s="67" t="s">
        <v>3891</v>
      </c>
      <c r="D223" s="66" t="s">
        <v>3892</v>
      </c>
      <c r="E223" s="31" t="str">
        <f>SUBSTITUTE(NfsExports[[#This Row],[FMO Volume Name]],"_","-")</f>
        <v>vmpfbpf2oes16-apps-pcehr</v>
      </c>
      <c r="F223" s="66" t="s">
        <v>3248</v>
      </c>
      <c r="G223" s="67">
        <v>30</v>
      </c>
      <c r="H223" s="31">
        <f>MAX(NfsExports[[#This Row],[Required Quota (GB)]],100)</f>
        <v>100</v>
      </c>
      <c r="I223">
        <v>12.8</v>
      </c>
      <c r="K223" s="66" t="s">
        <v>3249</v>
      </c>
      <c r="M22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10.98.73.120</v>
      </c>
      <c r="N223" t="str" cm="1">
        <f t="array" ref="N223">_xlfn.TEXTJOIN(",",TRUE,IF(NfsExports[[#This Row],[FMO Volume Name]]=NfsExportsVNets[FMO Volume Name],NfsExportsVNets[FMO Vnet Subnet],""))</f>
        <v/>
      </c>
      <c r="O223" t="str" cm="1">
        <f t="array" ref="O223">_xlfn.TEXTJOIN(",",TRUE,IF(NfsExports[[#This Row],[FMO Volume Name]]=NfsExportsSubnets[FMO Volume Name],NfsExportsSubnets[FMO Subnet CIDR],""))</f>
        <v/>
      </c>
      <c r="P223" t="str" cm="1">
        <f t="array" ref="P223">IFERROR(_xlfn.TEXTJOIN(",",TRUE,_xlfn._xlws.FILTER(NfsExportsServices[FMO VM Name Summary],NfsExports[[#This Row],[FMO Volume Name]]=NfsExportsServices[FMO Volume Name])),"")</f>
        <v/>
      </c>
      <c r="Q223" s="31" t="str">
        <f>_xlfn.TEXTJOIN(",",TRUE,NfsExports[[#This Row],[FMO Export Override]:[FMO Export Service IPs]])</f>
        <v>10.98.73.120</v>
      </c>
      <c r="R223" s="31" t="str">
        <f>NfsExports[[#This Row],[FMO Mount Path Estimated]]&amp;" "&amp;NfsExports[[#This Row],[Required Quota (GB)]]&amp;"GB"</f>
        <v>/apps/pcehr 30GB</v>
      </c>
      <c r="S223" s="31" t="s">
        <v>3514</v>
      </c>
      <c r="T223" s="31" t="s">
        <v>4723</v>
      </c>
      <c r="U223" s="32" t="s">
        <v>3893</v>
      </c>
      <c r="V223">
        <v>12.8</v>
      </c>
      <c r="W223" s="31">
        <f>MAX(0,NfsExports[[#This Row],[Prospective throughput]]-(NfsExports[[#This Row],[Configured Quota (GB)]]*0.064))</f>
        <v>6.4</v>
      </c>
    </row>
    <row r="224" spans="1:23" x14ac:dyDescent="0.35">
      <c r="A224" s="138" t="s">
        <v>3199</v>
      </c>
      <c r="B224" s="138" t="s">
        <v>3216</v>
      </c>
      <c r="C224" s="67" t="s">
        <v>3894</v>
      </c>
      <c r="D224" s="66" t="s">
        <v>3895</v>
      </c>
      <c r="E224" s="31" t="str">
        <f>SUBSTITUTE(NfsExports[[#This Row],[FMO Volume Name]],"_","-")</f>
        <v>vmpfbpf2oes17-apps-pcehr</v>
      </c>
      <c r="F224" s="66" t="s">
        <v>3248</v>
      </c>
      <c r="G224" s="67">
        <v>30</v>
      </c>
      <c r="H224" s="31">
        <f>MAX(NfsExports[[#This Row],[Required Quota (GB)]],100)</f>
        <v>100</v>
      </c>
      <c r="I224">
        <v>12.8</v>
      </c>
      <c r="K224" s="66" t="s">
        <v>3249</v>
      </c>
      <c r="M22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10.98.73.121</v>
      </c>
      <c r="N224" t="str" cm="1">
        <f t="array" ref="N224">_xlfn.TEXTJOIN(",",TRUE,IF(NfsExports[[#This Row],[FMO Volume Name]]=NfsExportsVNets[FMO Volume Name],NfsExportsVNets[FMO Vnet Subnet],""))</f>
        <v/>
      </c>
      <c r="O224" t="str" cm="1">
        <f t="array" ref="O224">_xlfn.TEXTJOIN(",",TRUE,IF(NfsExports[[#This Row],[FMO Volume Name]]=NfsExportsSubnets[FMO Volume Name],NfsExportsSubnets[FMO Subnet CIDR],""))</f>
        <v/>
      </c>
      <c r="P224" t="str" cm="1">
        <f t="array" ref="P224">IFERROR(_xlfn.TEXTJOIN(",",TRUE,_xlfn._xlws.FILTER(NfsExportsServices[FMO VM Name Summary],NfsExports[[#This Row],[FMO Volume Name]]=NfsExportsServices[FMO Volume Name])),"")</f>
        <v/>
      </c>
      <c r="Q224" s="31" t="str">
        <f>_xlfn.TEXTJOIN(",",TRUE,NfsExports[[#This Row],[FMO Export Override]:[FMO Export Service IPs]])</f>
        <v>10.98.73.121</v>
      </c>
      <c r="R224" s="31" t="str">
        <f>NfsExports[[#This Row],[FMO Mount Path Estimated]]&amp;" "&amp;NfsExports[[#This Row],[Required Quota (GB)]]&amp;"GB"</f>
        <v>/apps/pcehr 30GB</v>
      </c>
      <c r="S224" s="31" t="s">
        <v>3514</v>
      </c>
      <c r="T224" s="31" t="s">
        <v>4723</v>
      </c>
      <c r="U224" s="32" t="s">
        <v>3896</v>
      </c>
      <c r="V224">
        <v>12.8</v>
      </c>
      <c r="W224" s="31">
        <f>MAX(0,NfsExports[[#This Row],[Prospective throughput]]-(NfsExports[[#This Row],[Configured Quota (GB)]]*0.064))</f>
        <v>6.4</v>
      </c>
    </row>
    <row r="225" spans="1:23" x14ac:dyDescent="0.35">
      <c r="A225" s="138" t="s">
        <v>3199</v>
      </c>
      <c r="B225" s="138" t="s">
        <v>3216</v>
      </c>
      <c r="C225" s="67" t="s">
        <v>3897</v>
      </c>
      <c r="D225" s="66" t="s">
        <v>3898</v>
      </c>
      <c r="E225" s="31" t="str">
        <f>SUBSTITUTE(NfsExports[[#This Row],[FMO Volume Name]],"_","-")</f>
        <v>vmpfbpf2oes18-apps-pcehr</v>
      </c>
      <c r="F225" s="66" t="s">
        <v>3248</v>
      </c>
      <c r="G225" s="67">
        <v>30</v>
      </c>
      <c r="H225" s="31">
        <f>MAX(NfsExports[[#This Row],[Required Quota (GB)]],100)</f>
        <v>100</v>
      </c>
      <c r="I225">
        <v>12.8</v>
      </c>
      <c r="K225" s="66" t="s">
        <v>3249</v>
      </c>
      <c r="M22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10.98.73.122</v>
      </c>
      <c r="N225" t="str" cm="1">
        <f t="array" ref="N225">_xlfn.TEXTJOIN(",",TRUE,IF(NfsExports[[#This Row],[FMO Volume Name]]=NfsExportsVNets[FMO Volume Name],NfsExportsVNets[FMO Vnet Subnet],""))</f>
        <v/>
      </c>
      <c r="O225" t="str" cm="1">
        <f t="array" ref="O225">_xlfn.TEXTJOIN(",",TRUE,IF(NfsExports[[#This Row],[FMO Volume Name]]=NfsExportsSubnets[FMO Volume Name],NfsExportsSubnets[FMO Subnet CIDR],""))</f>
        <v/>
      </c>
      <c r="P225" t="str" cm="1">
        <f t="array" ref="P225">IFERROR(_xlfn.TEXTJOIN(",",TRUE,_xlfn._xlws.FILTER(NfsExportsServices[FMO VM Name Summary],NfsExports[[#This Row],[FMO Volume Name]]=NfsExportsServices[FMO Volume Name])),"")</f>
        <v/>
      </c>
      <c r="Q225" s="31" t="str">
        <f>_xlfn.TEXTJOIN(",",TRUE,NfsExports[[#This Row],[FMO Export Override]:[FMO Export Service IPs]])</f>
        <v>10.98.73.122</v>
      </c>
      <c r="R225" s="31" t="str">
        <f>NfsExports[[#This Row],[FMO Mount Path Estimated]]&amp;" "&amp;NfsExports[[#This Row],[Required Quota (GB)]]&amp;"GB"</f>
        <v>/apps/pcehr 30GB</v>
      </c>
      <c r="S225" s="31" t="s">
        <v>3514</v>
      </c>
      <c r="T225" s="31" t="s">
        <v>4723</v>
      </c>
      <c r="U225" s="32" t="s">
        <v>3899</v>
      </c>
      <c r="V225">
        <v>12.8</v>
      </c>
      <c r="W225" s="31">
        <f>MAX(0,NfsExports[[#This Row],[Prospective throughput]]-(NfsExports[[#This Row],[Configured Quota (GB)]]*0.064))</f>
        <v>6.4</v>
      </c>
    </row>
    <row r="226" spans="1:23" x14ac:dyDescent="0.35">
      <c r="A226" s="138" t="s">
        <v>3199</v>
      </c>
      <c r="B226" s="138" t="s">
        <v>3216</v>
      </c>
      <c r="C226" s="67" t="s">
        <v>3900</v>
      </c>
      <c r="D226" s="66" t="s">
        <v>3901</v>
      </c>
      <c r="E226" s="31" t="str">
        <f>SUBSTITUTE(NfsExports[[#This Row],[FMO Volume Name]],"_","-")</f>
        <v>vmpfbpf2oid19-apps-pcehr</v>
      </c>
      <c r="F226" s="66" t="s">
        <v>3248</v>
      </c>
      <c r="G226" s="67">
        <v>30</v>
      </c>
      <c r="H226" s="31">
        <f>MAX(NfsExports[[#This Row],[Required Quota (GB)]],100)</f>
        <v>100</v>
      </c>
      <c r="I226">
        <v>12.8</v>
      </c>
      <c r="K226" s="66" t="s">
        <v>3249</v>
      </c>
      <c r="M22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10.98.73.142</v>
      </c>
      <c r="N226" t="str" cm="1">
        <f t="array" ref="N226">_xlfn.TEXTJOIN(",",TRUE,IF(NfsExports[[#This Row],[FMO Volume Name]]=NfsExportsVNets[FMO Volume Name],NfsExportsVNets[FMO Vnet Subnet],""))</f>
        <v/>
      </c>
      <c r="O226" t="str" cm="1">
        <f t="array" ref="O226">_xlfn.TEXTJOIN(",",TRUE,IF(NfsExports[[#This Row],[FMO Volume Name]]=NfsExportsSubnets[FMO Volume Name],NfsExportsSubnets[FMO Subnet CIDR],""))</f>
        <v/>
      </c>
      <c r="P226" t="str" cm="1">
        <f t="array" ref="P226">IFERROR(_xlfn.TEXTJOIN(",",TRUE,_xlfn._xlws.FILTER(NfsExportsServices[FMO VM Name Summary],NfsExports[[#This Row],[FMO Volume Name]]=NfsExportsServices[FMO Volume Name])),"")</f>
        <v/>
      </c>
      <c r="Q226" s="31" t="str">
        <f>_xlfn.TEXTJOIN(",",TRUE,NfsExports[[#This Row],[FMO Export Override]:[FMO Export Service IPs]])</f>
        <v>10.98.73.142</v>
      </c>
      <c r="R226" s="31" t="str">
        <f>NfsExports[[#This Row],[FMO Mount Path Estimated]]&amp;" "&amp;NfsExports[[#This Row],[Required Quota (GB)]]&amp;"GB"</f>
        <v>/apps/pcehr 30GB</v>
      </c>
      <c r="S226" s="31" t="s">
        <v>3514</v>
      </c>
      <c r="T226" s="31" t="s">
        <v>4723</v>
      </c>
      <c r="U226" s="32" t="s">
        <v>3902</v>
      </c>
      <c r="V226">
        <v>12.8</v>
      </c>
      <c r="W226" s="31">
        <f>MAX(0,NfsExports[[#This Row],[Prospective throughput]]-(NfsExports[[#This Row],[Configured Quota (GB)]]*0.064))</f>
        <v>6.4</v>
      </c>
    </row>
    <row r="227" spans="1:23" x14ac:dyDescent="0.35">
      <c r="A227" s="138" t="s">
        <v>3199</v>
      </c>
      <c r="B227" s="138" t="s">
        <v>3216</v>
      </c>
      <c r="C227" s="67" t="s">
        <v>3903</v>
      </c>
      <c r="D227" s="66" t="s">
        <v>3904</v>
      </c>
      <c r="E227" s="31" t="str">
        <f>SUBSTITUTE(NfsExports[[#This Row],[FMO Volume Name]],"_","-")</f>
        <v>vmpfbpf2oid11-apps-pcehr</v>
      </c>
      <c r="F227" s="66" t="s">
        <v>3248</v>
      </c>
      <c r="G227" s="67">
        <v>30</v>
      </c>
      <c r="H227" s="31">
        <f>MAX(NfsExports[[#This Row],[Required Quota (GB)]],100)</f>
        <v>100</v>
      </c>
      <c r="I227">
        <v>12.8</v>
      </c>
      <c r="K227" s="66" t="s">
        <v>3249</v>
      </c>
      <c r="M22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10.98.73.134</v>
      </c>
      <c r="N227" t="str" cm="1">
        <f t="array" ref="N227">_xlfn.TEXTJOIN(",",TRUE,IF(NfsExports[[#This Row],[FMO Volume Name]]=NfsExportsVNets[FMO Volume Name],NfsExportsVNets[FMO Vnet Subnet],""))</f>
        <v/>
      </c>
      <c r="O227" t="str" cm="1">
        <f t="array" ref="O227">_xlfn.TEXTJOIN(",",TRUE,IF(NfsExports[[#This Row],[FMO Volume Name]]=NfsExportsSubnets[FMO Volume Name],NfsExportsSubnets[FMO Subnet CIDR],""))</f>
        <v/>
      </c>
      <c r="P227" t="str" cm="1">
        <f t="array" ref="P227">IFERROR(_xlfn.TEXTJOIN(",",TRUE,_xlfn._xlws.FILTER(NfsExportsServices[FMO VM Name Summary],NfsExports[[#This Row],[FMO Volume Name]]=NfsExportsServices[FMO Volume Name])),"")</f>
        <v/>
      </c>
      <c r="Q227" s="31" t="str">
        <f>_xlfn.TEXTJOIN(",",TRUE,NfsExports[[#This Row],[FMO Export Override]:[FMO Export Service IPs]])</f>
        <v>10.98.73.134</v>
      </c>
      <c r="R227" s="31" t="str">
        <f>NfsExports[[#This Row],[FMO Mount Path Estimated]]&amp;" "&amp;NfsExports[[#This Row],[Required Quota (GB)]]&amp;"GB"</f>
        <v>/apps/pcehr 30GB</v>
      </c>
      <c r="S227" s="31" t="s">
        <v>3514</v>
      </c>
      <c r="T227" s="31" t="s">
        <v>4723</v>
      </c>
      <c r="U227" s="32" t="s">
        <v>3905</v>
      </c>
      <c r="V227">
        <v>12.8</v>
      </c>
      <c r="W227" s="31">
        <f>MAX(0,NfsExports[[#This Row],[Prospective throughput]]-(NfsExports[[#This Row],[Configured Quota (GB)]]*0.064))</f>
        <v>6.4</v>
      </c>
    </row>
    <row r="228" spans="1:23" x14ac:dyDescent="0.35">
      <c r="A228" s="138" t="s">
        <v>3199</v>
      </c>
      <c r="B228" s="138" t="s">
        <v>3216</v>
      </c>
      <c r="C228" s="67" t="s">
        <v>3906</v>
      </c>
      <c r="D228" s="66" t="s">
        <v>3907</v>
      </c>
      <c r="E228" s="31" t="str">
        <f>SUBSTITUTE(NfsExports[[#This Row],[FMO Volume Name]],"_","-")</f>
        <v>vmpfbpf2oid12-apps-pcehr</v>
      </c>
      <c r="F228" s="66" t="s">
        <v>3248</v>
      </c>
      <c r="G228" s="67">
        <v>30</v>
      </c>
      <c r="H228" s="31">
        <f>MAX(NfsExports[[#This Row],[Required Quota (GB)]],100)</f>
        <v>100</v>
      </c>
      <c r="I228">
        <v>12.8</v>
      </c>
      <c r="K228" s="66" t="s">
        <v>3249</v>
      </c>
      <c r="M22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10.98.73.135</v>
      </c>
      <c r="N228" t="str" cm="1">
        <f t="array" ref="N228">_xlfn.TEXTJOIN(",",TRUE,IF(NfsExports[[#This Row],[FMO Volume Name]]=NfsExportsVNets[FMO Volume Name],NfsExportsVNets[FMO Vnet Subnet],""))</f>
        <v/>
      </c>
      <c r="O228" t="str" cm="1">
        <f t="array" ref="O228">_xlfn.TEXTJOIN(",",TRUE,IF(NfsExports[[#This Row],[FMO Volume Name]]=NfsExportsSubnets[FMO Volume Name],NfsExportsSubnets[FMO Subnet CIDR],""))</f>
        <v/>
      </c>
      <c r="P228" t="str" cm="1">
        <f t="array" ref="P228">IFERROR(_xlfn.TEXTJOIN(",",TRUE,_xlfn._xlws.FILTER(NfsExportsServices[FMO VM Name Summary],NfsExports[[#This Row],[FMO Volume Name]]=NfsExportsServices[FMO Volume Name])),"")</f>
        <v/>
      </c>
      <c r="Q228" s="31" t="str">
        <f>_xlfn.TEXTJOIN(",",TRUE,NfsExports[[#This Row],[FMO Export Override]:[FMO Export Service IPs]])</f>
        <v>10.98.73.135</v>
      </c>
      <c r="R228" s="31" t="str">
        <f>NfsExports[[#This Row],[FMO Mount Path Estimated]]&amp;" "&amp;NfsExports[[#This Row],[Required Quota (GB)]]&amp;"GB"</f>
        <v>/apps/pcehr 30GB</v>
      </c>
      <c r="S228" s="31" t="s">
        <v>3514</v>
      </c>
      <c r="T228" s="31" t="s">
        <v>4723</v>
      </c>
      <c r="U228" s="32" t="s">
        <v>3908</v>
      </c>
      <c r="V228">
        <v>12.8</v>
      </c>
      <c r="W228" s="31">
        <f>MAX(0,NfsExports[[#This Row],[Prospective throughput]]-(NfsExports[[#This Row],[Configured Quota (GB)]]*0.064))</f>
        <v>6.4</v>
      </c>
    </row>
    <row r="229" spans="1:23" x14ac:dyDescent="0.35">
      <c r="A229" s="138" t="s">
        <v>3199</v>
      </c>
      <c r="B229" s="138" t="s">
        <v>3216</v>
      </c>
      <c r="C229" s="67" t="s">
        <v>3909</v>
      </c>
      <c r="D229" s="66" t="s">
        <v>3910</v>
      </c>
      <c r="E229" s="31" t="str">
        <f>SUBSTITUTE(NfsExports[[#This Row],[FMO Volume Name]],"_","-")</f>
        <v>vmpfbpf2oid13-apps-pcehr</v>
      </c>
      <c r="F229" s="66" t="s">
        <v>3248</v>
      </c>
      <c r="G229" s="67">
        <v>30</v>
      </c>
      <c r="H229" s="31">
        <f>MAX(NfsExports[[#This Row],[Required Quota (GB)]],100)</f>
        <v>100</v>
      </c>
      <c r="I229">
        <v>12.8</v>
      </c>
      <c r="K229" s="66" t="s">
        <v>3249</v>
      </c>
      <c r="M22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10.98.73.136</v>
      </c>
      <c r="N229" t="str" cm="1">
        <f t="array" ref="N229">_xlfn.TEXTJOIN(",",TRUE,IF(NfsExports[[#This Row],[FMO Volume Name]]=NfsExportsVNets[FMO Volume Name],NfsExportsVNets[FMO Vnet Subnet],""))</f>
        <v/>
      </c>
      <c r="O229" t="str" cm="1">
        <f t="array" ref="O229">_xlfn.TEXTJOIN(",",TRUE,IF(NfsExports[[#This Row],[FMO Volume Name]]=NfsExportsSubnets[FMO Volume Name],NfsExportsSubnets[FMO Subnet CIDR],""))</f>
        <v/>
      </c>
      <c r="P229" t="str" cm="1">
        <f t="array" ref="P229">IFERROR(_xlfn.TEXTJOIN(",",TRUE,_xlfn._xlws.FILTER(NfsExportsServices[FMO VM Name Summary],NfsExports[[#This Row],[FMO Volume Name]]=NfsExportsServices[FMO Volume Name])),"")</f>
        <v/>
      </c>
      <c r="Q229" s="31" t="str">
        <f>_xlfn.TEXTJOIN(",",TRUE,NfsExports[[#This Row],[FMO Export Override]:[FMO Export Service IPs]])</f>
        <v>10.98.73.136</v>
      </c>
      <c r="R229" s="31" t="str">
        <f>NfsExports[[#This Row],[FMO Mount Path Estimated]]&amp;" "&amp;NfsExports[[#This Row],[Required Quota (GB)]]&amp;"GB"</f>
        <v>/apps/pcehr 30GB</v>
      </c>
      <c r="S229" s="31" t="s">
        <v>3514</v>
      </c>
      <c r="T229" s="31" t="s">
        <v>4723</v>
      </c>
      <c r="U229" s="32" t="s">
        <v>3911</v>
      </c>
      <c r="V229">
        <v>12.8</v>
      </c>
      <c r="W229" s="31">
        <f>MAX(0,NfsExports[[#This Row],[Prospective throughput]]-(NfsExports[[#This Row],[Configured Quota (GB)]]*0.064))</f>
        <v>6.4</v>
      </c>
    </row>
    <row r="230" spans="1:23" x14ac:dyDescent="0.35">
      <c r="A230" s="138" t="s">
        <v>3199</v>
      </c>
      <c r="B230" s="138" t="s">
        <v>3216</v>
      </c>
      <c r="C230" s="67" t="s">
        <v>3912</v>
      </c>
      <c r="D230" s="66" t="s">
        <v>3913</v>
      </c>
      <c r="E230" s="31" t="str">
        <f>SUBSTITUTE(NfsExports[[#This Row],[FMO Volume Name]],"_","-")</f>
        <v>vmpfbpf2oid14-apps-pcehr</v>
      </c>
      <c r="F230" s="66" t="s">
        <v>3248</v>
      </c>
      <c r="G230" s="67">
        <v>30</v>
      </c>
      <c r="H230" s="31">
        <f>MAX(NfsExports[[#This Row],[Required Quota (GB)]],100)</f>
        <v>100</v>
      </c>
      <c r="I230">
        <v>12.8</v>
      </c>
      <c r="K230" s="66" t="s">
        <v>3249</v>
      </c>
      <c r="M23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10.98.73.137</v>
      </c>
      <c r="N230" t="str" cm="1">
        <f t="array" ref="N230">_xlfn.TEXTJOIN(",",TRUE,IF(NfsExports[[#This Row],[FMO Volume Name]]=NfsExportsVNets[FMO Volume Name],NfsExportsVNets[FMO Vnet Subnet],""))</f>
        <v/>
      </c>
      <c r="O230" t="str" cm="1">
        <f t="array" ref="O230">_xlfn.TEXTJOIN(",",TRUE,IF(NfsExports[[#This Row],[FMO Volume Name]]=NfsExportsSubnets[FMO Volume Name],NfsExportsSubnets[FMO Subnet CIDR],""))</f>
        <v/>
      </c>
      <c r="P230" t="str" cm="1">
        <f t="array" ref="P230">IFERROR(_xlfn.TEXTJOIN(",",TRUE,_xlfn._xlws.FILTER(NfsExportsServices[FMO VM Name Summary],NfsExports[[#This Row],[FMO Volume Name]]=NfsExportsServices[FMO Volume Name])),"")</f>
        <v/>
      </c>
      <c r="Q230" s="31" t="str">
        <f>_xlfn.TEXTJOIN(",",TRUE,NfsExports[[#This Row],[FMO Export Override]:[FMO Export Service IPs]])</f>
        <v>10.98.73.137</v>
      </c>
      <c r="R230" s="31" t="str">
        <f>NfsExports[[#This Row],[FMO Mount Path Estimated]]&amp;" "&amp;NfsExports[[#This Row],[Required Quota (GB)]]&amp;"GB"</f>
        <v>/apps/pcehr 30GB</v>
      </c>
      <c r="S230" s="31" t="s">
        <v>3514</v>
      </c>
      <c r="T230" s="31" t="s">
        <v>4723</v>
      </c>
      <c r="U230" s="32" t="s">
        <v>3914</v>
      </c>
      <c r="V230">
        <v>12.8</v>
      </c>
      <c r="W230" s="31">
        <f>MAX(0,NfsExports[[#This Row],[Prospective throughput]]-(NfsExports[[#This Row],[Configured Quota (GB)]]*0.064))</f>
        <v>6.4</v>
      </c>
    </row>
    <row r="231" spans="1:23" x14ac:dyDescent="0.35">
      <c r="A231" s="138" t="s">
        <v>3199</v>
      </c>
      <c r="B231" s="138" t="s">
        <v>3216</v>
      </c>
      <c r="C231" s="67" t="s">
        <v>3915</v>
      </c>
      <c r="D231" s="66" t="s">
        <v>3916</v>
      </c>
      <c r="E231" s="31" t="str">
        <f>SUBSTITUTE(NfsExports[[#This Row],[FMO Volume Name]],"_","-")</f>
        <v>vmpfbpf2oid15-apps-pcehr</v>
      </c>
      <c r="F231" s="66" t="s">
        <v>3248</v>
      </c>
      <c r="G231" s="67">
        <v>30</v>
      </c>
      <c r="H231" s="31">
        <f>MAX(NfsExports[[#This Row],[Required Quota (GB)]],100)</f>
        <v>100</v>
      </c>
      <c r="I231">
        <v>12.8</v>
      </c>
      <c r="K231" s="66" t="s">
        <v>3249</v>
      </c>
      <c r="M23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10.98.73.138</v>
      </c>
      <c r="N231" t="str" cm="1">
        <f t="array" ref="N231">_xlfn.TEXTJOIN(",",TRUE,IF(NfsExports[[#This Row],[FMO Volume Name]]=NfsExportsVNets[FMO Volume Name],NfsExportsVNets[FMO Vnet Subnet],""))</f>
        <v/>
      </c>
      <c r="O231" t="str" cm="1">
        <f t="array" ref="O231">_xlfn.TEXTJOIN(",",TRUE,IF(NfsExports[[#This Row],[FMO Volume Name]]=NfsExportsSubnets[FMO Volume Name],NfsExportsSubnets[FMO Subnet CIDR],""))</f>
        <v/>
      </c>
      <c r="P231" t="str" cm="1">
        <f t="array" ref="P231">IFERROR(_xlfn.TEXTJOIN(",",TRUE,_xlfn._xlws.FILTER(NfsExportsServices[FMO VM Name Summary],NfsExports[[#This Row],[FMO Volume Name]]=NfsExportsServices[FMO Volume Name])),"")</f>
        <v/>
      </c>
      <c r="Q231" s="31" t="str">
        <f>_xlfn.TEXTJOIN(",",TRUE,NfsExports[[#This Row],[FMO Export Override]:[FMO Export Service IPs]])</f>
        <v>10.98.73.138</v>
      </c>
      <c r="R231" s="31" t="str">
        <f>NfsExports[[#This Row],[FMO Mount Path Estimated]]&amp;" "&amp;NfsExports[[#This Row],[Required Quota (GB)]]&amp;"GB"</f>
        <v>/apps/pcehr 30GB</v>
      </c>
      <c r="S231" s="31" t="s">
        <v>3514</v>
      </c>
      <c r="T231" s="31" t="s">
        <v>4723</v>
      </c>
      <c r="U231" s="32" t="s">
        <v>3917</v>
      </c>
      <c r="V231">
        <v>12.8</v>
      </c>
      <c r="W231" s="31">
        <f>MAX(0,NfsExports[[#This Row],[Prospective throughput]]-(NfsExports[[#This Row],[Configured Quota (GB)]]*0.064))</f>
        <v>6.4</v>
      </c>
    </row>
    <row r="232" spans="1:23" x14ac:dyDescent="0.35">
      <c r="A232" s="138" t="s">
        <v>3199</v>
      </c>
      <c r="B232" s="138" t="s">
        <v>3216</v>
      </c>
      <c r="C232" s="67" t="s">
        <v>3918</v>
      </c>
      <c r="D232" s="66" t="s">
        <v>3919</v>
      </c>
      <c r="E232" s="31" t="str">
        <f>SUBSTITUTE(NfsExports[[#This Row],[FMO Volume Name]],"_","-")</f>
        <v>vmpfbpf2oid16-apps-pcehr</v>
      </c>
      <c r="F232" s="66" t="s">
        <v>3248</v>
      </c>
      <c r="G232" s="67">
        <v>30</v>
      </c>
      <c r="H232" s="31">
        <f>MAX(NfsExports[[#This Row],[Required Quota (GB)]],100)</f>
        <v>100</v>
      </c>
      <c r="I232">
        <v>12.8</v>
      </c>
      <c r="K232" s="66" t="s">
        <v>3249</v>
      </c>
      <c r="M23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10.98.73.139</v>
      </c>
      <c r="N232" t="str" cm="1">
        <f t="array" ref="N232">_xlfn.TEXTJOIN(",",TRUE,IF(NfsExports[[#This Row],[FMO Volume Name]]=NfsExportsVNets[FMO Volume Name],NfsExportsVNets[FMO Vnet Subnet],""))</f>
        <v/>
      </c>
      <c r="O232" t="str" cm="1">
        <f t="array" ref="O232">_xlfn.TEXTJOIN(",",TRUE,IF(NfsExports[[#This Row],[FMO Volume Name]]=NfsExportsSubnets[FMO Volume Name],NfsExportsSubnets[FMO Subnet CIDR],""))</f>
        <v/>
      </c>
      <c r="P232" t="str" cm="1">
        <f t="array" ref="P232">IFERROR(_xlfn.TEXTJOIN(",",TRUE,_xlfn._xlws.FILTER(NfsExportsServices[FMO VM Name Summary],NfsExports[[#This Row],[FMO Volume Name]]=NfsExportsServices[FMO Volume Name])),"")</f>
        <v/>
      </c>
      <c r="Q232" s="31" t="str">
        <f>_xlfn.TEXTJOIN(",",TRUE,NfsExports[[#This Row],[FMO Export Override]:[FMO Export Service IPs]])</f>
        <v>10.98.73.139</v>
      </c>
      <c r="R232" s="31" t="str">
        <f>NfsExports[[#This Row],[FMO Mount Path Estimated]]&amp;" "&amp;NfsExports[[#This Row],[Required Quota (GB)]]&amp;"GB"</f>
        <v>/apps/pcehr 30GB</v>
      </c>
      <c r="S232" s="31" t="s">
        <v>3514</v>
      </c>
      <c r="T232" s="31" t="s">
        <v>4723</v>
      </c>
      <c r="U232" s="32" t="s">
        <v>3920</v>
      </c>
      <c r="V232">
        <v>12.8</v>
      </c>
      <c r="W232" s="31">
        <f>MAX(0,NfsExports[[#This Row],[Prospective throughput]]-(NfsExports[[#This Row],[Configured Quota (GB)]]*0.064))</f>
        <v>6.4</v>
      </c>
    </row>
    <row r="233" spans="1:23" x14ac:dyDescent="0.35">
      <c r="A233" s="138" t="s">
        <v>3199</v>
      </c>
      <c r="B233" s="138" t="s">
        <v>3216</v>
      </c>
      <c r="C233" s="67" t="s">
        <v>3921</v>
      </c>
      <c r="D233" s="66" t="s">
        <v>3922</v>
      </c>
      <c r="E233" s="31" t="str">
        <f>SUBSTITUTE(NfsExports[[#This Row],[FMO Volume Name]],"_","-")</f>
        <v>vmpfbpf2oid17-apps-pcehr</v>
      </c>
      <c r="F233" s="66" t="s">
        <v>3248</v>
      </c>
      <c r="G233" s="67">
        <v>30</v>
      </c>
      <c r="H233" s="31">
        <f>MAX(NfsExports[[#This Row],[Required Quota (GB)]],100)</f>
        <v>100</v>
      </c>
      <c r="I233">
        <v>12.8</v>
      </c>
      <c r="K233" s="66" t="s">
        <v>3249</v>
      </c>
      <c r="M23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10.98.73.140</v>
      </c>
      <c r="N233" t="str" cm="1">
        <f t="array" ref="N233">_xlfn.TEXTJOIN(",",TRUE,IF(NfsExports[[#This Row],[FMO Volume Name]]=NfsExportsVNets[FMO Volume Name],NfsExportsVNets[FMO Vnet Subnet],""))</f>
        <v/>
      </c>
      <c r="O233" t="str" cm="1">
        <f t="array" ref="O233">_xlfn.TEXTJOIN(",",TRUE,IF(NfsExports[[#This Row],[FMO Volume Name]]=NfsExportsSubnets[FMO Volume Name],NfsExportsSubnets[FMO Subnet CIDR],""))</f>
        <v/>
      </c>
      <c r="P233" t="str" cm="1">
        <f t="array" ref="P233">IFERROR(_xlfn.TEXTJOIN(",",TRUE,_xlfn._xlws.FILTER(NfsExportsServices[FMO VM Name Summary],NfsExports[[#This Row],[FMO Volume Name]]=NfsExportsServices[FMO Volume Name])),"")</f>
        <v/>
      </c>
      <c r="Q233" s="31" t="str">
        <f>_xlfn.TEXTJOIN(",",TRUE,NfsExports[[#This Row],[FMO Export Override]:[FMO Export Service IPs]])</f>
        <v>10.98.73.140</v>
      </c>
      <c r="R233" s="31" t="str">
        <f>NfsExports[[#This Row],[FMO Mount Path Estimated]]&amp;" "&amp;NfsExports[[#This Row],[Required Quota (GB)]]&amp;"GB"</f>
        <v>/apps/pcehr 30GB</v>
      </c>
      <c r="S233" s="31" t="s">
        <v>3514</v>
      </c>
      <c r="T233" s="31" t="s">
        <v>4723</v>
      </c>
      <c r="U233" s="32" t="s">
        <v>3923</v>
      </c>
      <c r="V233">
        <v>12.8</v>
      </c>
      <c r="W233" s="31">
        <f>MAX(0,NfsExports[[#This Row],[Prospective throughput]]-(NfsExports[[#This Row],[Configured Quota (GB)]]*0.064))</f>
        <v>6.4</v>
      </c>
    </row>
    <row r="234" spans="1:23" x14ac:dyDescent="0.35">
      <c r="A234" s="138" t="s">
        <v>3199</v>
      </c>
      <c r="B234" s="138" t="s">
        <v>3216</v>
      </c>
      <c r="C234" s="67" t="s">
        <v>3924</v>
      </c>
      <c r="D234" s="66" t="s">
        <v>3925</v>
      </c>
      <c r="E234" s="31" t="str">
        <f>SUBSTITUTE(NfsExports[[#This Row],[FMO Volume Name]],"_","-")</f>
        <v>vmpfbpf2oid18-apps-pcehr</v>
      </c>
      <c r="F234" s="66" t="s">
        <v>3248</v>
      </c>
      <c r="G234" s="67">
        <v>30</v>
      </c>
      <c r="H234" s="31">
        <f>MAX(NfsExports[[#This Row],[Required Quota (GB)]],100)</f>
        <v>100</v>
      </c>
      <c r="I234">
        <v>12.8</v>
      </c>
      <c r="K234" s="66" t="s">
        <v>3249</v>
      </c>
      <c r="M23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10.98.73.141</v>
      </c>
      <c r="N234" t="str" cm="1">
        <f t="array" ref="N234">_xlfn.TEXTJOIN(",",TRUE,IF(NfsExports[[#This Row],[FMO Volume Name]]=NfsExportsVNets[FMO Volume Name],NfsExportsVNets[FMO Vnet Subnet],""))</f>
        <v/>
      </c>
      <c r="O234" t="str" cm="1">
        <f t="array" ref="O234">_xlfn.TEXTJOIN(",",TRUE,IF(NfsExports[[#This Row],[FMO Volume Name]]=NfsExportsSubnets[FMO Volume Name],NfsExportsSubnets[FMO Subnet CIDR],""))</f>
        <v/>
      </c>
      <c r="P234" t="str" cm="1">
        <f t="array" ref="P234">IFERROR(_xlfn.TEXTJOIN(",",TRUE,_xlfn._xlws.FILTER(NfsExportsServices[FMO VM Name Summary],NfsExports[[#This Row],[FMO Volume Name]]=NfsExportsServices[FMO Volume Name])),"")</f>
        <v/>
      </c>
      <c r="Q234" s="31" t="str">
        <f>_xlfn.TEXTJOIN(",",TRUE,NfsExports[[#This Row],[FMO Export Override]:[FMO Export Service IPs]])</f>
        <v>10.98.73.141</v>
      </c>
      <c r="R234" s="31" t="str">
        <f>NfsExports[[#This Row],[FMO Mount Path Estimated]]&amp;" "&amp;NfsExports[[#This Row],[Required Quota (GB)]]&amp;"GB"</f>
        <v>/apps/pcehr 30GB</v>
      </c>
      <c r="S234" s="31" t="s">
        <v>3514</v>
      </c>
      <c r="T234" s="31" t="s">
        <v>4723</v>
      </c>
      <c r="U234" s="32" t="s">
        <v>3926</v>
      </c>
      <c r="V234">
        <v>12.8</v>
      </c>
      <c r="W234" s="31">
        <f>MAX(0,NfsExports[[#This Row],[Prospective throughput]]-(NfsExports[[#This Row],[Configured Quota (GB)]]*0.064))</f>
        <v>6.4</v>
      </c>
    </row>
    <row r="235" spans="1:23" x14ac:dyDescent="0.35">
      <c r="A235" s="138" t="s">
        <v>3199</v>
      </c>
      <c r="B235" s="138" t="s">
        <v>3216</v>
      </c>
      <c r="C235" s="66" t="s">
        <v>3927</v>
      </c>
      <c r="D235" s="66" t="s">
        <v>3928</v>
      </c>
      <c r="E235" s="31" t="str">
        <f>SUBSTITUTE(NfsExports[[#This Row],[FMO Volume Name]],"_","-")</f>
        <v>vmpfbpf2olg31-apps-pcehr</v>
      </c>
      <c r="F235" s="66" t="s">
        <v>3248</v>
      </c>
      <c r="G235" s="66">
        <v>30</v>
      </c>
      <c r="H235" s="31">
        <f>MAX(NfsExports[[#This Row],[Required Quota (GB)]],100)</f>
        <v>100</v>
      </c>
      <c r="I235">
        <v>12.8</v>
      </c>
      <c r="K235" s="66" t="s">
        <v>3249</v>
      </c>
      <c r="M23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10.98.73.173</v>
      </c>
      <c r="N235" t="str" cm="1">
        <f t="array" ref="N235">_xlfn.TEXTJOIN(",",TRUE,IF(NfsExports[[#This Row],[FMO Volume Name]]=NfsExportsVNets[FMO Volume Name],NfsExportsVNets[FMO Vnet Subnet],""))</f>
        <v/>
      </c>
      <c r="O235" t="str" cm="1">
        <f t="array" ref="O235">_xlfn.TEXTJOIN(",",TRUE,IF(NfsExports[[#This Row],[FMO Volume Name]]=NfsExportsSubnets[FMO Volume Name],NfsExportsSubnets[FMO Subnet CIDR],""))</f>
        <v/>
      </c>
      <c r="P235" t="str" cm="1">
        <f t="array" ref="P235">IFERROR(_xlfn.TEXTJOIN(",",TRUE,_xlfn._xlws.FILTER(NfsExportsServices[FMO VM Name Summary],NfsExports[[#This Row],[FMO Volume Name]]=NfsExportsServices[FMO Volume Name])),"")</f>
        <v/>
      </c>
      <c r="Q235" s="31" t="str">
        <f>_xlfn.TEXTJOIN(",",TRUE,NfsExports[[#This Row],[FMO Export Override]:[FMO Export Service IPs]])</f>
        <v>10.98.73.173</v>
      </c>
      <c r="R235" s="31" t="str">
        <f>NfsExports[[#This Row],[FMO Mount Path Estimated]]&amp;" "&amp;NfsExports[[#This Row],[Required Quota (GB)]]&amp;"GB"</f>
        <v>/apps/pcehr 30GB</v>
      </c>
      <c r="S235" s="31" t="s">
        <v>3349</v>
      </c>
      <c r="T235" s="31" t="s">
        <v>4723</v>
      </c>
      <c r="U235" s="32" t="s">
        <v>3929</v>
      </c>
      <c r="V235">
        <v>12.8</v>
      </c>
      <c r="W235" s="31">
        <f>MAX(0,NfsExports[[#This Row],[Prospective throughput]]-(NfsExports[[#This Row],[Configured Quota (GB)]]*0.064))</f>
        <v>6.4</v>
      </c>
    </row>
    <row r="236" spans="1:23" x14ac:dyDescent="0.35">
      <c r="A236" s="138" t="s">
        <v>3199</v>
      </c>
      <c r="B236" s="138" t="s">
        <v>3216</v>
      </c>
      <c r="C236" s="66" t="s">
        <v>3930</v>
      </c>
      <c r="D236" s="66" t="s">
        <v>3931</v>
      </c>
      <c r="E236" s="31" t="str">
        <f>SUBSTITUTE(NfsExports[[#This Row],[FMO Volume Name]],"_","-")</f>
        <v>vmpfbpf2olg11-apps-pcehr</v>
      </c>
      <c r="F236" s="66" t="s">
        <v>3248</v>
      </c>
      <c r="G236" s="66">
        <v>30</v>
      </c>
      <c r="H236" s="31">
        <f>MAX(NfsExports[[#This Row],[Required Quota (GB)]],100)</f>
        <v>100</v>
      </c>
      <c r="I236">
        <v>12.8</v>
      </c>
      <c r="K236" s="66" t="s">
        <v>3249</v>
      </c>
      <c r="M23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10.98.73.153</v>
      </c>
      <c r="N236" t="str" cm="1">
        <f t="array" ref="N236">_xlfn.TEXTJOIN(",",TRUE,IF(NfsExports[[#This Row],[FMO Volume Name]]=NfsExportsVNets[FMO Volume Name],NfsExportsVNets[FMO Vnet Subnet],""))</f>
        <v/>
      </c>
      <c r="O236" t="str" cm="1">
        <f t="array" ref="O236">_xlfn.TEXTJOIN(",",TRUE,IF(NfsExports[[#This Row],[FMO Volume Name]]=NfsExportsSubnets[FMO Volume Name],NfsExportsSubnets[FMO Subnet CIDR],""))</f>
        <v/>
      </c>
      <c r="P236" t="str" cm="1">
        <f t="array" ref="P236">IFERROR(_xlfn.TEXTJOIN(",",TRUE,_xlfn._xlws.FILTER(NfsExportsServices[FMO VM Name Summary],NfsExports[[#This Row],[FMO Volume Name]]=NfsExportsServices[FMO Volume Name])),"")</f>
        <v/>
      </c>
      <c r="Q236" s="31" t="str">
        <f>_xlfn.TEXTJOIN(",",TRUE,NfsExports[[#This Row],[FMO Export Override]:[FMO Export Service IPs]])</f>
        <v>10.98.73.153</v>
      </c>
      <c r="R236" s="31" t="str">
        <f>NfsExports[[#This Row],[FMO Mount Path Estimated]]&amp;" "&amp;NfsExports[[#This Row],[Required Quota (GB)]]&amp;"GB"</f>
        <v>/apps/pcehr 30GB</v>
      </c>
      <c r="S236" s="31" t="s">
        <v>3349</v>
      </c>
      <c r="T236" s="31" t="s">
        <v>4723</v>
      </c>
      <c r="U236" s="32" t="s">
        <v>3932</v>
      </c>
      <c r="V236">
        <v>12.8</v>
      </c>
      <c r="W236" s="31">
        <f>MAX(0,NfsExports[[#This Row],[Prospective throughput]]-(NfsExports[[#This Row],[Configured Quota (GB)]]*0.064))</f>
        <v>6.4</v>
      </c>
    </row>
    <row r="237" spans="1:23" x14ac:dyDescent="0.35">
      <c r="A237" s="138" t="s">
        <v>3199</v>
      </c>
      <c r="B237" s="138" t="s">
        <v>3216</v>
      </c>
      <c r="C237" s="66" t="s">
        <v>3933</v>
      </c>
      <c r="D237" s="66" t="s">
        <v>3934</v>
      </c>
      <c r="E237" s="31" t="str">
        <f>SUBSTITUTE(NfsExports[[#This Row],[FMO Volume Name]],"_","-")</f>
        <v>vmpfbpf2olg12-apps-pcehr</v>
      </c>
      <c r="F237" s="66" t="s">
        <v>3248</v>
      </c>
      <c r="G237" s="66">
        <v>30</v>
      </c>
      <c r="H237" s="31">
        <f>MAX(NfsExports[[#This Row],[Required Quota (GB)]],100)</f>
        <v>100</v>
      </c>
      <c r="I237">
        <v>12.8</v>
      </c>
      <c r="K237" s="66" t="s">
        <v>3249</v>
      </c>
      <c r="M23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10.98.73.154</v>
      </c>
      <c r="N237" t="str" cm="1">
        <f t="array" ref="N237">_xlfn.TEXTJOIN(",",TRUE,IF(NfsExports[[#This Row],[FMO Volume Name]]=NfsExportsVNets[FMO Volume Name],NfsExportsVNets[FMO Vnet Subnet],""))</f>
        <v/>
      </c>
      <c r="O237" t="str" cm="1">
        <f t="array" ref="O237">_xlfn.TEXTJOIN(",",TRUE,IF(NfsExports[[#This Row],[FMO Volume Name]]=NfsExportsSubnets[FMO Volume Name],NfsExportsSubnets[FMO Subnet CIDR],""))</f>
        <v/>
      </c>
      <c r="P237" t="str" cm="1">
        <f t="array" ref="P237">IFERROR(_xlfn.TEXTJOIN(",",TRUE,_xlfn._xlws.FILTER(NfsExportsServices[FMO VM Name Summary],NfsExports[[#This Row],[FMO Volume Name]]=NfsExportsServices[FMO Volume Name])),"")</f>
        <v/>
      </c>
      <c r="Q237" s="31" t="str">
        <f>_xlfn.TEXTJOIN(",",TRUE,NfsExports[[#This Row],[FMO Export Override]:[FMO Export Service IPs]])</f>
        <v>10.98.73.154</v>
      </c>
      <c r="R237" s="31" t="str">
        <f>NfsExports[[#This Row],[FMO Mount Path Estimated]]&amp;" "&amp;NfsExports[[#This Row],[Required Quota (GB)]]&amp;"GB"</f>
        <v>/apps/pcehr 30GB</v>
      </c>
      <c r="S237" s="31" t="s">
        <v>3349</v>
      </c>
      <c r="T237" s="31" t="s">
        <v>4723</v>
      </c>
      <c r="U237" s="32" t="s">
        <v>3935</v>
      </c>
      <c r="V237">
        <v>12.8</v>
      </c>
      <c r="W237" s="31">
        <f>MAX(0,NfsExports[[#This Row],[Prospective throughput]]-(NfsExports[[#This Row],[Configured Quota (GB)]]*0.064))</f>
        <v>6.4</v>
      </c>
    </row>
    <row r="238" spans="1:23" x14ac:dyDescent="0.35">
      <c r="A238" s="138" t="s">
        <v>3199</v>
      </c>
      <c r="B238" s="138" t="s">
        <v>3216</v>
      </c>
      <c r="C238" s="66" t="s">
        <v>3936</v>
      </c>
      <c r="D238" s="66" t="s">
        <v>3937</v>
      </c>
      <c r="E238" s="31" t="str">
        <f>SUBSTITUTE(NfsExports[[#This Row],[FMO Volume Name]],"_","-")</f>
        <v>vmpfbpf2olg13-apps-pcehr</v>
      </c>
      <c r="F238" s="66" t="s">
        <v>3248</v>
      </c>
      <c r="G238" s="66">
        <v>30</v>
      </c>
      <c r="H238" s="31">
        <f>MAX(NfsExports[[#This Row],[Required Quota (GB)]],100)</f>
        <v>100</v>
      </c>
      <c r="I238">
        <v>12.8</v>
      </c>
      <c r="K238" s="66" t="s">
        <v>3249</v>
      </c>
      <c r="M23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10.98.73.155</v>
      </c>
      <c r="N238" t="str" cm="1">
        <f t="array" ref="N238">_xlfn.TEXTJOIN(",",TRUE,IF(NfsExports[[#This Row],[FMO Volume Name]]=NfsExportsVNets[FMO Volume Name],NfsExportsVNets[FMO Vnet Subnet],""))</f>
        <v/>
      </c>
      <c r="O238" t="str" cm="1">
        <f t="array" ref="O238">_xlfn.TEXTJOIN(",",TRUE,IF(NfsExports[[#This Row],[FMO Volume Name]]=NfsExportsSubnets[FMO Volume Name],NfsExportsSubnets[FMO Subnet CIDR],""))</f>
        <v/>
      </c>
      <c r="P238" t="str" cm="1">
        <f t="array" ref="P238">IFERROR(_xlfn.TEXTJOIN(",",TRUE,_xlfn._xlws.FILTER(NfsExportsServices[FMO VM Name Summary],NfsExports[[#This Row],[FMO Volume Name]]=NfsExportsServices[FMO Volume Name])),"")</f>
        <v/>
      </c>
      <c r="Q238" s="31" t="str">
        <f>_xlfn.TEXTJOIN(",",TRUE,NfsExports[[#This Row],[FMO Export Override]:[FMO Export Service IPs]])</f>
        <v>10.98.73.155</v>
      </c>
      <c r="R238" s="31" t="str">
        <f>NfsExports[[#This Row],[FMO Mount Path Estimated]]&amp;" "&amp;NfsExports[[#This Row],[Required Quota (GB)]]&amp;"GB"</f>
        <v>/apps/pcehr 30GB</v>
      </c>
      <c r="S238" s="31" t="s">
        <v>3349</v>
      </c>
      <c r="T238" s="31" t="s">
        <v>4723</v>
      </c>
      <c r="U238" s="32" t="s">
        <v>3938</v>
      </c>
      <c r="V238">
        <v>12.8</v>
      </c>
      <c r="W238" s="31">
        <f>MAX(0,NfsExports[[#This Row],[Prospective throughput]]-(NfsExports[[#This Row],[Configured Quota (GB)]]*0.064))</f>
        <v>6.4</v>
      </c>
    </row>
    <row r="239" spans="1:23" x14ac:dyDescent="0.35">
      <c r="A239" s="138" t="s">
        <v>3199</v>
      </c>
      <c r="B239" s="138" t="s">
        <v>3216</v>
      </c>
      <c r="C239" s="66" t="s">
        <v>3939</v>
      </c>
      <c r="D239" s="66" t="s">
        <v>3940</v>
      </c>
      <c r="E239" s="31" t="str">
        <f>SUBSTITUTE(NfsExports[[#This Row],[FMO Volume Name]],"_","-")</f>
        <v>vmpfbpf2olg14-apps-pcehr</v>
      </c>
      <c r="F239" s="66" t="s">
        <v>3248</v>
      </c>
      <c r="G239" s="66">
        <v>30</v>
      </c>
      <c r="H239" s="31">
        <f>MAX(NfsExports[[#This Row],[Required Quota (GB)]],100)</f>
        <v>100</v>
      </c>
      <c r="I239">
        <v>12.8</v>
      </c>
      <c r="K239" s="66" t="s">
        <v>3249</v>
      </c>
      <c r="M23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10.98.73.156</v>
      </c>
      <c r="N239" t="str" cm="1">
        <f t="array" ref="N239">_xlfn.TEXTJOIN(",",TRUE,IF(NfsExports[[#This Row],[FMO Volume Name]]=NfsExportsVNets[FMO Volume Name],NfsExportsVNets[FMO Vnet Subnet],""))</f>
        <v/>
      </c>
      <c r="O239" t="str" cm="1">
        <f t="array" ref="O239">_xlfn.TEXTJOIN(",",TRUE,IF(NfsExports[[#This Row],[FMO Volume Name]]=NfsExportsSubnets[FMO Volume Name],NfsExportsSubnets[FMO Subnet CIDR],""))</f>
        <v/>
      </c>
      <c r="P239" t="str" cm="1">
        <f t="array" ref="P239">IFERROR(_xlfn.TEXTJOIN(",",TRUE,_xlfn._xlws.FILTER(NfsExportsServices[FMO VM Name Summary],NfsExports[[#This Row],[FMO Volume Name]]=NfsExportsServices[FMO Volume Name])),"")</f>
        <v/>
      </c>
      <c r="Q239" s="31" t="str">
        <f>_xlfn.TEXTJOIN(",",TRUE,NfsExports[[#This Row],[FMO Export Override]:[FMO Export Service IPs]])</f>
        <v>10.98.73.156</v>
      </c>
      <c r="R239" s="31" t="str">
        <f>NfsExports[[#This Row],[FMO Mount Path Estimated]]&amp;" "&amp;NfsExports[[#This Row],[Required Quota (GB)]]&amp;"GB"</f>
        <v>/apps/pcehr 30GB</v>
      </c>
      <c r="S239" s="31" t="s">
        <v>3349</v>
      </c>
      <c r="T239" s="31" t="s">
        <v>4723</v>
      </c>
      <c r="U239" s="32" t="s">
        <v>3941</v>
      </c>
      <c r="V239">
        <v>12.8</v>
      </c>
      <c r="W239" s="31">
        <f>MAX(0,NfsExports[[#This Row],[Prospective throughput]]-(NfsExports[[#This Row],[Configured Quota (GB)]]*0.064))</f>
        <v>6.4</v>
      </c>
    </row>
    <row r="240" spans="1:23" x14ac:dyDescent="0.35">
      <c r="A240" s="138" t="s">
        <v>3199</v>
      </c>
      <c r="B240" s="138" t="s">
        <v>3216</v>
      </c>
      <c r="C240" s="66" t="s">
        <v>3942</v>
      </c>
      <c r="D240" s="66" t="s">
        <v>3943</v>
      </c>
      <c r="E240" s="31" t="str">
        <f>SUBSTITUTE(NfsExports[[#This Row],[FMO Volume Name]],"_","-")</f>
        <v>vmpfbpf2olg15-apps-pcehr</v>
      </c>
      <c r="F240" s="66" t="s">
        <v>3248</v>
      </c>
      <c r="G240" s="66">
        <v>30</v>
      </c>
      <c r="H240" s="31">
        <f>MAX(NfsExports[[#This Row],[Required Quota (GB)]],100)</f>
        <v>100</v>
      </c>
      <c r="I240">
        <v>12.8</v>
      </c>
      <c r="K240" s="66" t="s">
        <v>3249</v>
      </c>
      <c r="M24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10.98.73.157</v>
      </c>
      <c r="N240" t="str" cm="1">
        <f t="array" ref="N240">_xlfn.TEXTJOIN(",",TRUE,IF(NfsExports[[#This Row],[FMO Volume Name]]=NfsExportsVNets[FMO Volume Name],NfsExportsVNets[FMO Vnet Subnet],""))</f>
        <v/>
      </c>
      <c r="O240" t="str" cm="1">
        <f t="array" ref="O240">_xlfn.TEXTJOIN(",",TRUE,IF(NfsExports[[#This Row],[FMO Volume Name]]=NfsExportsSubnets[FMO Volume Name],NfsExportsSubnets[FMO Subnet CIDR],""))</f>
        <v/>
      </c>
      <c r="P240" t="str" cm="1">
        <f t="array" ref="P240">IFERROR(_xlfn.TEXTJOIN(",",TRUE,_xlfn._xlws.FILTER(NfsExportsServices[FMO VM Name Summary],NfsExports[[#This Row],[FMO Volume Name]]=NfsExportsServices[FMO Volume Name])),"")</f>
        <v/>
      </c>
      <c r="Q240" s="31" t="str">
        <f>_xlfn.TEXTJOIN(",",TRUE,NfsExports[[#This Row],[FMO Export Override]:[FMO Export Service IPs]])</f>
        <v>10.98.73.157</v>
      </c>
      <c r="R240" s="31" t="str">
        <f>NfsExports[[#This Row],[FMO Mount Path Estimated]]&amp;" "&amp;NfsExports[[#This Row],[Required Quota (GB)]]&amp;"GB"</f>
        <v>/apps/pcehr 30GB</v>
      </c>
      <c r="S240" s="31" t="s">
        <v>3349</v>
      </c>
      <c r="T240" s="31" t="s">
        <v>4723</v>
      </c>
      <c r="U240" s="32" t="s">
        <v>3944</v>
      </c>
      <c r="V240">
        <v>12.8</v>
      </c>
      <c r="W240" s="31">
        <f>MAX(0,NfsExports[[#This Row],[Prospective throughput]]-(NfsExports[[#This Row],[Configured Quota (GB)]]*0.064))</f>
        <v>6.4</v>
      </c>
    </row>
    <row r="241" spans="1:23" x14ac:dyDescent="0.35">
      <c r="A241" s="138" t="s">
        <v>3199</v>
      </c>
      <c r="B241" s="138" t="s">
        <v>3216</v>
      </c>
      <c r="C241" s="66" t="s">
        <v>3945</v>
      </c>
      <c r="D241" s="66" t="s">
        <v>3946</v>
      </c>
      <c r="E241" s="31" t="str">
        <f>SUBSTITUTE(NfsExports[[#This Row],[FMO Volume Name]],"_","-")</f>
        <v>vmpfbpf2olg16-apps-pcehr</v>
      </c>
      <c r="F241" s="66" t="s">
        <v>3248</v>
      </c>
      <c r="G241" s="66">
        <v>30</v>
      </c>
      <c r="H241" s="31">
        <f>MAX(NfsExports[[#This Row],[Required Quota (GB)]],100)</f>
        <v>100</v>
      </c>
      <c r="I241">
        <v>12.8</v>
      </c>
      <c r="K241" s="66" t="s">
        <v>3249</v>
      </c>
      <c r="M24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10.98.73.158</v>
      </c>
      <c r="N241" t="str" cm="1">
        <f t="array" ref="N241">_xlfn.TEXTJOIN(",",TRUE,IF(NfsExports[[#This Row],[FMO Volume Name]]=NfsExportsVNets[FMO Volume Name],NfsExportsVNets[FMO Vnet Subnet],""))</f>
        <v/>
      </c>
      <c r="O241" t="str" cm="1">
        <f t="array" ref="O241">_xlfn.TEXTJOIN(",",TRUE,IF(NfsExports[[#This Row],[FMO Volume Name]]=NfsExportsSubnets[FMO Volume Name],NfsExportsSubnets[FMO Subnet CIDR],""))</f>
        <v/>
      </c>
      <c r="P241" t="str" cm="1">
        <f t="array" ref="P241">IFERROR(_xlfn.TEXTJOIN(",",TRUE,_xlfn._xlws.FILTER(NfsExportsServices[FMO VM Name Summary],NfsExports[[#This Row],[FMO Volume Name]]=NfsExportsServices[FMO Volume Name])),"")</f>
        <v/>
      </c>
      <c r="Q241" s="31" t="str">
        <f>_xlfn.TEXTJOIN(",",TRUE,NfsExports[[#This Row],[FMO Export Override]:[FMO Export Service IPs]])</f>
        <v>10.98.73.158</v>
      </c>
      <c r="R241" s="31" t="str">
        <f>NfsExports[[#This Row],[FMO Mount Path Estimated]]&amp;" "&amp;NfsExports[[#This Row],[Required Quota (GB)]]&amp;"GB"</f>
        <v>/apps/pcehr 30GB</v>
      </c>
      <c r="S241" s="31" t="s">
        <v>3349</v>
      </c>
      <c r="T241" s="31" t="s">
        <v>4723</v>
      </c>
      <c r="U241" s="32" t="s">
        <v>3947</v>
      </c>
      <c r="V241">
        <v>12.8</v>
      </c>
      <c r="W241" s="31">
        <f>MAX(0,NfsExports[[#This Row],[Prospective throughput]]-(NfsExports[[#This Row],[Configured Quota (GB)]]*0.064))</f>
        <v>6.4</v>
      </c>
    </row>
    <row r="242" spans="1:23" x14ac:dyDescent="0.35">
      <c r="A242" s="138" t="s">
        <v>3199</v>
      </c>
      <c r="B242" s="138" t="s">
        <v>3216</v>
      </c>
      <c r="C242" s="66" t="s">
        <v>3948</v>
      </c>
      <c r="D242" s="66" t="s">
        <v>3949</v>
      </c>
      <c r="E242" s="31" t="str">
        <f>SUBSTITUTE(NfsExports[[#This Row],[FMO Volume Name]],"_","-")</f>
        <v>vmpfbpf2olg17-apps-pcehr</v>
      </c>
      <c r="F242" s="66" t="s">
        <v>3248</v>
      </c>
      <c r="G242" s="66">
        <v>30</v>
      </c>
      <c r="H242" s="31">
        <f>MAX(NfsExports[[#This Row],[Required Quota (GB)]],100)</f>
        <v>100</v>
      </c>
      <c r="I242">
        <v>12.8</v>
      </c>
      <c r="K242" s="66" t="s">
        <v>3249</v>
      </c>
      <c r="M24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10.98.73.159</v>
      </c>
      <c r="N242" t="str" cm="1">
        <f t="array" ref="N242">_xlfn.TEXTJOIN(",",TRUE,IF(NfsExports[[#This Row],[FMO Volume Name]]=NfsExportsVNets[FMO Volume Name],NfsExportsVNets[FMO Vnet Subnet],""))</f>
        <v/>
      </c>
      <c r="O242" t="str" cm="1">
        <f t="array" ref="O242">_xlfn.TEXTJOIN(",",TRUE,IF(NfsExports[[#This Row],[FMO Volume Name]]=NfsExportsSubnets[FMO Volume Name],NfsExportsSubnets[FMO Subnet CIDR],""))</f>
        <v/>
      </c>
      <c r="P242" t="str" cm="1">
        <f t="array" ref="P242">IFERROR(_xlfn.TEXTJOIN(",",TRUE,_xlfn._xlws.FILTER(NfsExportsServices[FMO VM Name Summary],NfsExports[[#This Row],[FMO Volume Name]]=NfsExportsServices[FMO Volume Name])),"")</f>
        <v/>
      </c>
      <c r="Q242" s="31" t="str">
        <f>_xlfn.TEXTJOIN(",",TRUE,NfsExports[[#This Row],[FMO Export Override]:[FMO Export Service IPs]])</f>
        <v>10.98.73.159</v>
      </c>
      <c r="R242" s="31" t="str">
        <f>NfsExports[[#This Row],[FMO Mount Path Estimated]]&amp;" "&amp;NfsExports[[#This Row],[Required Quota (GB)]]&amp;"GB"</f>
        <v>/apps/pcehr 30GB</v>
      </c>
      <c r="S242" s="31" t="s">
        <v>3349</v>
      </c>
      <c r="T242" s="31" t="s">
        <v>4723</v>
      </c>
      <c r="U242" s="32" t="s">
        <v>3950</v>
      </c>
      <c r="V242">
        <v>12.8</v>
      </c>
      <c r="W242" s="31">
        <f>MAX(0,NfsExports[[#This Row],[Prospective throughput]]-(NfsExports[[#This Row],[Configured Quota (GB)]]*0.064))</f>
        <v>6.4</v>
      </c>
    </row>
    <row r="243" spans="1:23" x14ac:dyDescent="0.35">
      <c r="A243" s="138" t="s">
        <v>3199</v>
      </c>
      <c r="B243" s="138" t="s">
        <v>3216</v>
      </c>
      <c r="C243" s="66" t="s">
        <v>3951</v>
      </c>
      <c r="D243" s="66" t="s">
        <v>3952</v>
      </c>
      <c r="E243" s="31" t="str">
        <f>SUBSTITUTE(NfsExports[[#This Row],[FMO Volume Name]],"_","-")</f>
        <v>vmpfbpf2olg18-apps-pcehr</v>
      </c>
      <c r="F243" s="66" t="s">
        <v>3248</v>
      </c>
      <c r="G243" s="66">
        <v>30</v>
      </c>
      <c r="H243" s="31">
        <f>MAX(NfsExports[[#This Row],[Required Quota (GB)]],100)</f>
        <v>100</v>
      </c>
      <c r="I243">
        <v>12.8</v>
      </c>
      <c r="K243" s="66" t="s">
        <v>3249</v>
      </c>
      <c r="M24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10.98.73.160</v>
      </c>
      <c r="N243" t="str" cm="1">
        <f t="array" ref="N243">_xlfn.TEXTJOIN(",",TRUE,IF(NfsExports[[#This Row],[FMO Volume Name]]=NfsExportsVNets[FMO Volume Name],NfsExportsVNets[FMO Vnet Subnet],""))</f>
        <v/>
      </c>
      <c r="O243" t="str" cm="1">
        <f t="array" ref="O243">_xlfn.TEXTJOIN(",",TRUE,IF(NfsExports[[#This Row],[FMO Volume Name]]=NfsExportsSubnets[FMO Volume Name],NfsExportsSubnets[FMO Subnet CIDR],""))</f>
        <v/>
      </c>
      <c r="P243" t="str" cm="1">
        <f t="array" ref="P243">IFERROR(_xlfn.TEXTJOIN(",",TRUE,_xlfn._xlws.FILTER(NfsExportsServices[FMO VM Name Summary],NfsExports[[#This Row],[FMO Volume Name]]=NfsExportsServices[FMO Volume Name])),"")</f>
        <v/>
      </c>
      <c r="Q243" s="31" t="str">
        <f>_xlfn.TEXTJOIN(",",TRUE,NfsExports[[#This Row],[FMO Export Override]:[FMO Export Service IPs]])</f>
        <v>10.98.73.160</v>
      </c>
      <c r="R243" s="31" t="str">
        <f>NfsExports[[#This Row],[FMO Mount Path Estimated]]&amp;" "&amp;NfsExports[[#This Row],[Required Quota (GB)]]&amp;"GB"</f>
        <v>/apps/pcehr 30GB</v>
      </c>
      <c r="S243" s="31" t="s">
        <v>3349</v>
      </c>
      <c r="T243" s="31" t="s">
        <v>4723</v>
      </c>
      <c r="U243" s="32" t="s">
        <v>3953</v>
      </c>
      <c r="V243">
        <v>12.8</v>
      </c>
      <c r="W243" s="31">
        <f>MAX(0,NfsExports[[#This Row],[Prospective throughput]]-(NfsExports[[#This Row],[Configured Quota (GB)]]*0.064))</f>
        <v>6.4</v>
      </c>
    </row>
    <row r="244" spans="1:23" x14ac:dyDescent="0.35">
      <c r="A244" s="138" t="s">
        <v>3199</v>
      </c>
      <c r="B244" s="138" t="s">
        <v>3216</v>
      </c>
      <c r="C244" s="66" t="s">
        <v>3954</v>
      </c>
      <c r="D244" s="66" t="s">
        <v>3955</v>
      </c>
      <c r="E244" s="31" t="str">
        <f>SUBSTITUTE(NfsExports[[#This Row],[FMO Volume Name]],"_","-")</f>
        <v>vmpfbpf2olg19-apps-pcehr</v>
      </c>
      <c r="F244" s="66" t="s">
        <v>3248</v>
      </c>
      <c r="G244" s="66">
        <v>30</v>
      </c>
      <c r="H244" s="31">
        <f>MAX(NfsExports[[#This Row],[Required Quota (GB)]],100)</f>
        <v>100</v>
      </c>
      <c r="I244">
        <v>12.8</v>
      </c>
      <c r="K244" s="66" t="s">
        <v>3249</v>
      </c>
      <c r="M24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10.98.73.161</v>
      </c>
      <c r="N244" t="str" cm="1">
        <f t="array" ref="N244">_xlfn.TEXTJOIN(",",TRUE,IF(NfsExports[[#This Row],[FMO Volume Name]]=NfsExportsVNets[FMO Volume Name],NfsExportsVNets[FMO Vnet Subnet],""))</f>
        <v/>
      </c>
      <c r="O244" t="str" cm="1">
        <f t="array" ref="O244">_xlfn.TEXTJOIN(",",TRUE,IF(NfsExports[[#This Row],[FMO Volume Name]]=NfsExportsSubnets[FMO Volume Name],NfsExportsSubnets[FMO Subnet CIDR],""))</f>
        <v/>
      </c>
      <c r="P244" t="str" cm="1">
        <f t="array" ref="P244">IFERROR(_xlfn.TEXTJOIN(",",TRUE,_xlfn._xlws.FILTER(NfsExportsServices[FMO VM Name Summary],NfsExports[[#This Row],[FMO Volume Name]]=NfsExportsServices[FMO Volume Name])),"")</f>
        <v/>
      </c>
      <c r="Q244" s="31" t="str">
        <f>_xlfn.TEXTJOIN(",",TRUE,NfsExports[[#This Row],[FMO Export Override]:[FMO Export Service IPs]])</f>
        <v>10.98.73.161</v>
      </c>
      <c r="R244" s="31" t="str">
        <f>NfsExports[[#This Row],[FMO Mount Path Estimated]]&amp;" "&amp;NfsExports[[#This Row],[Required Quota (GB)]]&amp;"GB"</f>
        <v>/apps/pcehr 30GB</v>
      </c>
      <c r="S244" s="31" t="s">
        <v>3349</v>
      </c>
      <c r="T244" s="31" t="s">
        <v>4723</v>
      </c>
      <c r="U244" s="32" t="s">
        <v>3956</v>
      </c>
      <c r="V244">
        <v>12.8</v>
      </c>
      <c r="W244" s="31">
        <f>MAX(0,NfsExports[[#This Row],[Prospective throughput]]-(NfsExports[[#This Row],[Configured Quota (GB)]]*0.064))</f>
        <v>6.4</v>
      </c>
    </row>
    <row r="245" spans="1:23" x14ac:dyDescent="0.35">
      <c r="A245" s="138" t="s">
        <v>3199</v>
      </c>
      <c r="B245" s="138" t="s">
        <v>3216</v>
      </c>
      <c r="C245" s="66" t="s">
        <v>3957</v>
      </c>
      <c r="D245" s="66" t="s">
        <v>3958</v>
      </c>
      <c r="E245" s="31" t="str">
        <f>SUBSTITUTE(NfsExports[[#This Row],[FMO Volume Name]],"_","-")</f>
        <v>vmpfbpf2olg20-apps-pcehr</v>
      </c>
      <c r="F245" s="66" t="s">
        <v>3248</v>
      </c>
      <c r="G245" s="66">
        <v>30</v>
      </c>
      <c r="H245" s="31">
        <f>MAX(NfsExports[[#This Row],[Required Quota (GB)]],100)</f>
        <v>100</v>
      </c>
      <c r="I245">
        <v>12.8</v>
      </c>
      <c r="K245" s="66" t="s">
        <v>3249</v>
      </c>
      <c r="M24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10.98.73.162</v>
      </c>
      <c r="N245" t="str" cm="1">
        <f t="array" ref="N245">_xlfn.TEXTJOIN(",",TRUE,IF(NfsExports[[#This Row],[FMO Volume Name]]=NfsExportsVNets[FMO Volume Name],NfsExportsVNets[FMO Vnet Subnet],""))</f>
        <v/>
      </c>
      <c r="O245" t="str" cm="1">
        <f t="array" ref="O245">_xlfn.TEXTJOIN(",",TRUE,IF(NfsExports[[#This Row],[FMO Volume Name]]=NfsExportsSubnets[FMO Volume Name],NfsExportsSubnets[FMO Subnet CIDR],""))</f>
        <v/>
      </c>
      <c r="P245" t="str" cm="1">
        <f t="array" ref="P245">IFERROR(_xlfn.TEXTJOIN(",",TRUE,_xlfn._xlws.FILTER(NfsExportsServices[FMO VM Name Summary],NfsExports[[#This Row],[FMO Volume Name]]=NfsExportsServices[FMO Volume Name])),"")</f>
        <v/>
      </c>
      <c r="Q245" s="31" t="str">
        <f>_xlfn.TEXTJOIN(",",TRUE,NfsExports[[#This Row],[FMO Export Override]:[FMO Export Service IPs]])</f>
        <v>10.98.73.162</v>
      </c>
      <c r="R245" s="31" t="str">
        <f>NfsExports[[#This Row],[FMO Mount Path Estimated]]&amp;" "&amp;NfsExports[[#This Row],[Required Quota (GB)]]&amp;"GB"</f>
        <v>/apps/pcehr 30GB</v>
      </c>
      <c r="S245" s="31" t="s">
        <v>3349</v>
      </c>
      <c r="T245" s="31" t="s">
        <v>4723</v>
      </c>
      <c r="U245" s="32" t="s">
        <v>3959</v>
      </c>
      <c r="V245">
        <v>12.8</v>
      </c>
      <c r="W245" s="31">
        <f>MAX(0,NfsExports[[#This Row],[Prospective throughput]]-(NfsExports[[#This Row],[Configured Quota (GB)]]*0.064))</f>
        <v>6.4</v>
      </c>
    </row>
    <row r="246" spans="1:23" x14ac:dyDescent="0.35">
      <c r="A246" s="138" t="s">
        <v>3199</v>
      </c>
      <c r="B246" s="138" t="s">
        <v>3216</v>
      </c>
      <c r="C246" s="66" t="s">
        <v>3960</v>
      </c>
      <c r="D246" s="66" t="s">
        <v>3961</v>
      </c>
      <c r="E246" s="31" t="str">
        <f>SUBSTITUTE(NfsExports[[#This Row],[FMO Volume Name]],"_","-")</f>
        <v>vmpfbpf2olg21-apps-pcehr</v>
      </c>
      <c r="F246" s="66" t="s">
        <v>3248</v>
      </c>
      <c r="G246" s="66">
        <v>30</v>
      </c>
      <c r="H246" s="31">
        <f>MAX(NfsExports[[#This Row],[Required Quota (GB)]],100)</f>
        <v>100</v>
      </c>
      <c r="I246">
        <v>12.8</v>
      </c>
      <c r="K246" s="66" t="s">
        <v>3249</v>
      </c>
      <c r="M24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10.98.73.163</v>
      </c>
      <c r="N246" t="str" cm="1">
        <f t="array" ref="N246">_xlfn.TEXTJOIN(",",TRUE,IF(NfsExports[[#This Row],[FMO Volume Name]]=NfsExportsVNets[FMO Volume Name],NfsExportsVNets[FMO Vnet Subnet],""))</f>
        <v/>
      </c>
      <c r="O246" t="str" cm="1">
        <f t="array" ref="O246">_xlfn.TEXTJOIN(",",TRUE,IF(NfsExports[[#This Row],[FMO Volume Name]]=NfsExportsSubnets[FMO Volume Name],NfsExportsSubnets[FMO Subnet CIDR],""))</f>
        <v/>
      </c>
      <c r="P246" t="str" cm="1">
        <f t="array" ref="P246">IFERROR(_xlfn.TEXTJOIN(",",TRUE,_xlfn._xlws.FILTER(NfsExportsServices[FMO VM Name Summary],NfsExports[[#This Row],[FMO Volume Name]]=NfsExportsServices[FMO Volume Name])),"")</f>
        <v/>
      </c>
      <c r="Q246" s="31" t="str">
        <f>_xlfn.TEXTJOIN(",",TRUE,NfsExports[[#This Row],[FMO Export Override]:[FMO Export Service IPs]])</f>
        <v>10.98.73.163</v>
      </c>
      <c r="R246" s="31" t="str">
        <f>NfsExports[[#This Row],[FMO Mount Path Estimated]]&amp;" "&amp;NfsExports[[#This Row],[Required Quota (GB)]]&amp;"GB"</f>
        <v>/apps/pcehr 30GB</v>
      </c>
      <c r="S246" s="31" t="s">
        <v>3349</v>
      </c>
      <c r="T246" s="31" t="s">
        <v>4723</v>
      </c>
      <c r="U246" s="32" t="s">
        <v>3962</v>
      </c>
      <c r="V246">
        <v>12.8</v>
      </c>
      <c r="W246" s="31">
        <f>MAX(0,NfsExports[[#This Row],[Prospective throughput]]-(NfsExports[[#This Row],[Configured Quota (GB)]]*0.064))</f>
        <v>6.4</v>
      </c>
    </row>
    <row r="247" spans="1:23" x14ac:dyDescent="0.35">
      <c r="A247" s="138" t="s">
        <v>3199</v>
      </c>
      <c r="B247" s="138" t="s">
        <v>3216</v>
      </c>
      <c r="C247" s="66" t="s">
        <v>3963</v>
      </c>
      <c r="D247" s="66" t="s">
        <v>3964</v>
      </c>
      <c r="E247" s="31" t="str">
        <f>SUBSTITUTE(NfsExports[[#This Row],[FMO Volume Name]],"_","-")</f>
        <v>vmpfbpf2olg22-apps-pcehr</v>
      </c>
      <c r="F247" s="66" t="s">
        <v>3248</v>
      </c>
      <c r="G247" s="66">
        <v>30</v>
      </c>
      <c r="H247" s="31">
        <f>MAX(NfsExports[[#This Row],[Required Quota (GB)]],100)</f>
        <v>100</v>
      </c>
      <c r="I247">
        <v>12.8</v>
      </c>
      <c r="K247" s="66" t="s">
        <v>3249</v>
      </c>
      <c r="M24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10.98.73.164</v>
      </c>
      <c r="N247" t="str" cm="1">
        <f t="array" ref="N247">_xlfn.TEXTJOIN(",",TRUE,IF(NfsExports[[#This Row],[FMO Volume Name]]=NfsExportsVNets[FMO Volume Name],NfsExportsVNets[FMO Vnet Subnet],""))</f>
        <v/>
      </c>
      <c r="O247" t="str" cm="1">
        <f t="array" ref="O247">_xlfn.TEXTJOIN(",",TRUE,IF(NfsExports[[#This Row],[FMO Volume Name]]=NfsExportsSubnets[FMO Volume Name],NfsExportsSubnets[FMO Subnet CIDR],""))</f>
        <v/>
      </c>
      <c r="P247" t="str" cm="1">
        <f t="array" ref="P247">IFERROR(_xlfn.TEXTJOIN(",",TRUE,_xlfn._xlws.FILTER(NfsExportsServices[FMO VM Name Summary],NfsExports[[#This Row],[FMO Volume Name]]=NfsExportsServices[FMO Volume Name])),"")</f>
        <v/>
      </c>
      <c r="Q247" s="31" t="str">
        <f>_xlfn.TEXTJOIN(",",TRUE,NfsExports[[#This Row],[FMO Export Override]:[FMO Export Service IPs]])</f>
        <v>10.98.73.164</v>
      </c>
      <c r="R247" s="31" t="str">
        <f>NfsExports[[#This Row],[FMO Mount Path Estimated]]&amp;" "&amp;NfsExports[[#This Row],[Required Quota (GB)]]&amp;"GB"</f>
        <v>/apps/pcehr 30GB</v>
      </c>
      <c r="S247" s="31" t="s">
        <v>3349</v>
      </c>
      <c r="T247" s="31" t="s">
        <v>4723</v>
      </c>
      <c r="U247" s="32" t="s">
        <v>3965</v>
      </c>
      <c r="V247">
        <v>12.8</v>
      </c>
      <c r="W247" s="31">
        <f>MAX(0,NfsExports[[#This Row],[Prospective throughput]]-(NfsExports[[#This Row],[Configured Quota (GB)]]*0.064))</f>
        <v>6.4</v>
      </c>
    </row>
    <row r="248" spans="1:23" x14ac:dyDescent="0.35">
      <c r="A248" s="138" t="s">
        <v>3199</v>
      </c>
      <c r="B248" s="138" t="s">
        <v>3216</v>
      </c>
      <c r="C248" s="66" t="s">
        <v>3966</v>
      </c>
      <c r="D248" s="66" t="s">
        <v>3967</v>
      </c>
      <c r="E248" s="31" t="str">
        <f>SUBSTITUTE(NfsExports[[#This Row],[FMO Volume Name]],"_","-")</f>
        <v>vmpfbpf2olg23-apps-pcehr</v>
      </c>
      <c r="F248" s="66" t="s">
        <v>3248</v>
      </c>
      <c r="G248" s="66">
        <v>30</v>
      </c>
      <c r="H248" s="31">
        <f>MAX(NfsExports[[#This Row],[Required Quota (GB)]],100)</f>
        <v>100</v>
      </c>
      <c r="I248">
        <v>12.8</v>
      </c>
      <c r="K248" s="66" t="s">
        <v>3249</v>
      </c>
      <c r="M24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10.98.73.165</v>
      </c>
      <c r="N248" t="str" cm="1">
        <f t="array" ref="N248">_xlfn.TEXTJOIN(",",TRUE,IF(NfsExports[[#This Row],[FMO Volume Name]]=NfsExportsVNets[FMO Volume Name],NfsExportsVNets[FMO Vnet Subnet],""))</f>
        <v/>
      </c>
      <c r="O248" t="str" cm="1">
        <f t="array" ref="O248">_xlfn.TEXTJOIN(",",TRUE,IF(NfsExports[[#This Row],[FMO Volume Name]]=NfsExportsSubnets[FMO Volume Name],NfsExportsSubnets[FMO Subnet CIDR],""))</f>
        <v/>
      </c>
      <c r="P248" t="str" cm="1">
        <f t="array" ref="P248">IFERROR(_xlfn.TEXTJOIN(",",TRUE,_xlfn._xlws.FILTER(NfsExportsServices[FMO VM Name Summary],NfsExports[[#This Row],[FMO Volume Name]]=NfsExportsServices[FMO Volume Name])),"")</f>
        <v/>
      </c>
      <c r="Q248" s="31" t="str">
        <f>_xlfn.TEXTJOIN(",",TRUE,NfsExports[[#This Row],[FMO Export Override]:[FMO Export Service IPs]])</f>
        <v>10.98.73.165</v>
      </c>
      <c r="R248" s="31" t="str">
        <f>NfsExports[[#This Row],[FMO Mount Path Estimated]]&amp;" "&amp;NfsExports[[#This Row],[Required Quota (GB)]]&amp;"GB"</f>
        <v>/apps/pcehr 30GB</v>
      </c>
      <c r="S248" s="31" t="s">
        <v>3349</v>
      </c>
      <c r="T248" s="31" t="s">
        <v>4723</v>
      </c>
      <c r="U248" s="32" t="s">
        <v>3968</v>
      </c>
      <c r="V248">
        <v>12.8</v>
      </c>
      <c r="W248" s="31">
        <f>MAX(0,NfsExports[[#This Row],[Prospective throughput]]-(NfsExports[[#This Row],[Configured Quota (GB)]]*0.064))</f>
        <v>6.4</v>
      </c>
    </row>
    <row r="249" spans="1:23" x14ac:dyDescent="0.35">
      <c r="A249" s="138" t="s">
        <v>3199</v>
      </c>
      <c r="B249" s="138" t="s">
        <v>3216</v>
      </c>
      <c r="C249" s="66" t="s">
        <v>3969</v>
      </c>
      <c r="D249" s="66" t="s">
        <v>3970</v>
      </c>
      <c r="E249" s="31" t="str">
        <f>SUBSTITUTE(NfsExports[[#This Row],[FMO Volume Name]],"_","-")</f>
        <v>vmpfbpf2olg24-apps-pcehr</v>
      </c>
      <c r="F249" s="66" t="s">
        <v>3248</v>
      </c>
      <c r="G249" s="66">
        <v>30</v>
      </c>
      <c r="H249" s="31">
        <f>MAX(NfsExports[[#This Row],[Required Quota (GB)]],100)</f>
        <v>100</v>
      </c>
      <c r="I249">
        <v>12.8</v>
      </c>
      <c r="K249" s="66" t="s">
        <v>3249</v>
      </c>
      <c r="M24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10.98.73.166</v>
      </c>
      <c r="N249" t="str" cm="1">
        <f t="array" ref="N249">_xlfn.TEXTJOIN(",",TRUE,IF(NfsExports[[#This Row],[FMO Volume Name]]=NfsExportsVNets[FMO Volume Name],NfsExportsVNets[FMO Vnet Subnet],""))</f>
        <v/>
      </c>
      <c r="O249" t="str" cm="1">
        <f t="array" ref="O249">_xlfn.TEXTJOIN(",",TRUE,IF(NfsExports[[#This Row],[FMO Volume Name]]=NfsExportsSubnets[FMO Volume Name],NfsExportsSubnets[FMO Subnet CIDR],""))</f>
        <v/>
      </c>
      <c r="P249" t="str" cm="1">
        <f t="array" ref="P249">IFERROR(_xlfn.TEXTJOIN(",",TRUE,_xlfn._xlws.FILTER(NfsExportsServices[FMO VM Name Summary],NfsExports[[#This Row],[FMO Volume Name]]=NfsExportsServices[FMO Volume Name])),"")</f>
        <v/>
      </c>
      <c r="Q249" s="31" t="str">
        <f>_xlfn.TEXTJOIN(",",TRUE,NfsExports[[#This Row],[FMO Export Override]:[FMO Export Service IPs]])</f>
        <v>10.98.73.166</v>
      </c>
      <c r="R249" s="31" t="str">
        <f>NfsExports[[#This Row],[FMO Mount Path Estimated]]&amp;" "&amp;NfsExports[[#This Row],[Required Quota (GB)]]&amp;"GB"</f>
        <v>/apps/pcehr 30GB</v>
      </c>
      <c r="S249" s="31" t="s">
        <v>3349</v>
      </c>
      <c r="T249" s="31" t="s">
        <v>4723</v>
      </c>
      <c r="U249" s="32" t="s">
        <v>3971</v>
      </c>
      <c r="V249">
        <v>12.8</v>
      </c>
      <c r="W249" s="31">
        <f>MAX(0,NfsExports[[#This Row],[Prospective throughput]]-(NfsExports[[#This Row],[Configured Quota (GB)]]*0.064))</f>
        <v>6.4</v>
      </c>
    </row>
    <row r="250" spans="1:23" x14ac:dyDescent="0.35">
      <c r="A250" s="138" t="s">
        <v>3199</v>
      </c>
      <c r="B250" s="138" t="s">
        <v>3216</v>
      </c>
      <c r="C250" s="66" t="s">
        <v>3972</v>
      </c>
      <c r="D250" s="66" t="s">
        <v>3973</v>
      </c>
      <c r="E250" s="31" t="str">
        <f>SUBSTITUTE(NfsExports[[#This Row],[FMO Volume Name]],"_","-")</f>
        <v>vmpfbpf2olg25-apps-pcehr</v>
      </c>
      <c r="F250" s="66" t="s">
        <v>3248</v>
      </c>
      <c r="G250" s="66">
        <v>30</v>
      </c>
      <c r="H250" s="31">
        <f>MAX(NfsExports[[#This Row],[Required Quota (GB)]],100)</f>
        <v>100</v>
      </c>
      <c r="I250">
        <v>12.8</v>
      </c>
      <c r="K250" s="66" t="s">
        <v>3249</v>
      </c>
      <c r="M25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10.98.73.167</v>
      </c>
      <c r="N250" t="str" cm="1">
        <f t="array" ref="N250">_xlfn.TEXTJOIN(",",TRUE,IF(NfsExports[[#This Row],[FMO Volume Name]]=NfsExportsVNets[FMO Volume Name],NfsExportsVNets[FMO Vnet Subnet],""))</f>
        <v/>
      </c>
      <c r="O250" t="str" cm="1">
        <f t="array" ref="O250">_xlfn.TEXTJOIN(",",TRUE,IF(NfsExports[[#This Row],[FMO Volume Name]]=NfsExportsSubnets[FMO Volume Name],NfsExportsSubnets[FMO Subnet CIDR],""))</f>
        <v/>
      </c>
      <c r="P250" t="str" cm="1">
        <f t="array" ref="P250">IFERROR(_xlfn.TEXTJOIN(",",TRUE,_xlfn._xlws.FILTER(NfsExportsServices[FMO VM Name Summary],NfsExports[[#This Row],[FMO Volume Name]]=NfsExportsServices[FMO Volume Name])),"")</f>
        <v/>
      </c>
      <c r="Q250" s="31" t="str">
        <f>_xlfn.TEXTJOIN(",",TRUE,NfsExports[[#This Row],[FMO Export Override]:[FMO Export Service IPs]])</f>
        <v>10.98.73.167</v>
      </c>
      <c r="R250" s="31" t="str">
        <f>NfsExports[[#This Row],[FMO Mount Path Estimated]]&amp;" "&amp;NfsExports[[#This Row],[Required Quota (GB)]]&amp;"GB"</f>
        <v>/apps/pcehr 30GB</v>
      </c>
      <c r="S250" s="31" t="s">
        <v>3349</v>
      </c>
      <c r="T250" s="31" t="s">
        <v>4723</v>
      </c>
      <c r="U250" s="32" t="s">
        <v>3974</v>
      </c>
      <c r="V250">
        <v>12.8</v>
      </c>
      <c r="W250" s="31">
        <f>MAX(0,NfsExports[[#This Row],[Prospective throughput]]-(NfsExports[[#This Row],[Configured Quota (GB)]]*0.064))</f>
        <v>6.4</v>
      </c>
    </row>
    <row r="251" spans="1:23" x14ac:dyDescent="0.35">
      <c r="A251" s="138" t="s">
        <v>3199</v>
      </c>
      <c r="B251" s="138" t="s">
        <v>3216</v>
      </c>
      <c r="C251" s="66" t="s">
        <v>3975</v>
      </c>
      <c r="D251" s="66" t="s">
        <v>3976</v>
      </c>
      <c r="E251" s="31" t="str">
        <f>SUBSTITUTE(NfsExports[[#This Row],[FMO Volume Name]],"_","-")</f>
        <v>vmpfbpf2olg26-apps-pcehr</v>
      </c>
      <c r="F251" s="66" t="s">
        <v>3248</v>
      </c>
      <c r="G251" s="66">
        <v>30</v>
      </c>
      <c r="H251" s="31">
        <f>MAX(NfsExports[[#This Row],[Required Quota (GB)]],100)</f>
        <v>100</v>
      </c>
      <c r="I251">
        <v>12.8</v>
      </c>
      <c r="K251" s="66" t="s">
        <v>3249</v>
      </c>
      <c r="M25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10.98.73.168</v>
      </c>
      <c r="N251" t="str" cm="1">
        <f t="array" ref="N251">_xlfn.TEXTJOIN(",",TRUE,IF(NfsExports[[#This Row],[FMO Volume Name]]=NfsExportsVNets[FMO Volume Name],NfsExportsVNets[FMO Vnet Subnet],""))</f>
        <v/>
      </c>
      <c r="O251" t="str" cm="1">
        <f t="array" ref="O251">_xlfn.TEXTJOIN(",",TRUE,IF(NfsExports[[#This Row],[FMO Volume Name]]=NfsExportsSubnets[FMO Volume Name],NfsExportsSubnets[FMO Subnet CIDR],""))</f>
        <v/>
      </c>
      <c r="P251" t="str" cm="1">
        <f t="array" ref="P251">IFERROR(_xlfn.TEXTJOIN(",",TRUE,_xlfn._xlws.FILTER(NfsExportsServices[FMO VM Name Summary],NfsExports[[#This Row],[FMO Volume Name]]=NfsExportsServices[FMO Volume Name])),"")</f>
        <v/>
      </c>
      <c r="Q251" s="31" t="str">
        <f>_xlfn.TEXTJOIN(",",TRUE,NfsExports[[#This Row],[FMO Export Override]:[FMO Export Service IPs]])</f>
        <v>10.98.73.168</v>
      </c>
      <c r="R251" s="31" t="str">
        <f>NfsExports[[#This Row],[FMO Mount Path Estimated]]&amp;" "&amp;NfsExports[[#This Row],[Required Quota (GB)]]&amp;"GB"</f>
        <v>/apps/pcehr 30GB</v>
      </c>
      <c r="S251" s="31" t="s">
        <v>3349</v>
      </c>
      <c r="T251" s="31" t="s">
        <v>4723</v>
      </c>
      <c r="U251" s="32" t="s">
        <v>3977</v>
      </c>
      <c r="V251">
        <v>12.8</v>
      </c>
      <c r="W251" s="31">
        <f>MAX(0,NfsExports[[#This Row],[Prospective throughput]]-(NfsExports[[#This Row],[Configured Quota (GB)]]*0.064))</f>
        <v>6.4</v>
      </c>
    </row>
    <row r="252" spans="1:23" x14ac:dyDescent="0.35">
      <c r="A252" s="138" t="s">
        <v>3199</v>
      </c>
      <c r="B252" s="138" t="s">
        <v>3216</v>
      </c>
      <c r="C252" s="66" t="s">
        <v>3978</v>
      </c>
      <c r="D252" s="66" t="s">
        <v>3979</v>
      </c>
      <c r="E252" s="31" t="str">
        <f>SUBSTITUTE(NfsExports[[#This Row],[FMO Volume Name]],"_","-")</f>
        <v>vmpfbpf2olg27-apps-pcehr</v>
      </c>
      <c r="F252" s="66" t="s">
        <v>3248</v>
      </c>
      <c r="G252" s="66">
        <v>30</v>
      </c>
      <c r="H252" s="31">
        <f>MAX(NfsExports[[#This Row],[Required Quota (GB)]],100)</f>
        <v>100</v>
      </c>
      <c r="I252">
        <v>12.8</v>
      </c>
      <c r="K252" s="66" t="s">
        <v>3249</v>
      </c>
      <c r="M25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10.98.73.169</v>
      </c>
      <c r="N252" t="str" cm="1">
        <f t="array" ref="N252">_xlfn.TEXTJOIN(",",TRUE,IF(NfsExports[[#This Row],[FMO Volume Name]]=NfsExportsVNets[FMO Volume Name],NfsExportsVNets[FMO Vnet Subnet],""))</f>
        <v/>
      </c>
      <c r="O252" t="str" cm="1">
        <f t="array" ref="O252">_xlfn.TEXTJOIN(",",TRUE,IF(NfsExports[[#This Row],[FMO Volume Name]]=NfsExportsSubnets[FMO Volume Name],NfsExportsSubnets[FMO Subnet CIDR],""))</f>
        <v/>
      </c>
      <c r="P252" t="str" cm="1">
        <f t="array" ref="P252">IFERROR(_xlfn.TEXTJOIN(",",TRUE,_xlfn._xlws.FILTER(NfsExportsServices[FMO VM Name Summary],NfsExports[[#This Row],[FMO Volume Name]]=NfsExportsServices[FMO Volume Name])),"")</f>
        <v/>
      </c>
      <c r="Q252" s="31" t="str">
        <f>_xlfn.TEXTJOIN(",",TRUE,NfsExports[[#This Row],[FMO Export Override]:[FMO Export Service IPs]])</f>
        <v>10.98.73.169</v>
      </c>
      <c r="R252" s="31" t="str">
        <f>NfsExports[[#This Row],[FMO Mount Path Estimated]]&amp;" "&amp;NfsExports[[#This Row],[Required Quota (GB)]]&amp;"GB"</f>
        <v>/apps/pcehr 30GB</v>
      </c>
      <c r="S252" s="31" t="s">
        <v>3349</v>
      </c>
      <c r="T252" s="31" t="s">
        <v>4723</v>
      </c>
      <c r="U252" s="32" t="s">
        <v>3980</v>
      </c>
      <c r="V252">
        <v>12.8</v>
      </c>
      <c r="W252" s="31">
        <f>MAX(0,NfsExports[[#This Row],[Prospective throughput]]-(NfsExports[[#This Row],[Configured Quota (GB)]]*0.064))</f>
        <v>6.4</v>
      </c>
    </row>
    <row r="253" spans="1:23" x14ac:dyDescent="0.35">
      <c r="A253" s="138" t="s">
        <v>3199</v>
      </c>
      <c r="B253" s="138" t="s">
        <v>3216</v>
      </c>
      <c r="C253" s="66" t="s">
        <v>3981</v>
      </c>
      <c r="D253" s="66" t="s">
        <v>3982</v>
      </c>
      <c r="E253" s="31" t="str">
        <f>SUBSTITUTE(NfsExports[[#This Row],[FMO Volume Name]],"_","-")</f>
        <v>vmpfbpf2olg28-apps-pcehr</v>
      </c>
      <c r="F253" s="66" t="s">
        <v>3248</v>
      </c>
      <c r="G253" s="66">
        <v>30</v>
      </c>
      <c r="H253" s="31">
        <f>MAX(NfsExports[[#This Row],[Required Quota (GB)]],100)</f>
        <v>100</v>
      </c>
      <c r="I253">
        <v>12.8</v>
      </c>
      <c r="K253" s="66" t="s">
        <v>3249</v>
      </c>
      <c r="M25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10.98.73.170</v>
      </c>
      <c r="N253" t="str" cm="1">
        <f t="array" ref="N253">_xlfn.TEXTJOIN(",",TRUE,IF(NfsExports[[#This Row],[FMO Volume Name]]=NfsExportsVNets[FMO Volume Name],NfsExportsVNets[FMO Vnet Subnet],""))</f>
        <v/>
      </c>
      <c r="O253" t="str" cm="1">
        <f t="array" ref="O253">_xlfn.TEXTJOIN(",",TRUE,IF(NfsExports[[#This Row],[FMO Volume Name]]=NfsExportsSubnets[FMO Volume Name],NfsExportsSubnets[FMO Subnet CIDR],""))</f>
        <v/>
      </c>
      <c r="P253" t="str" cm="1">
        <f t="array" ref="P253">IFERROR(_xlfn.TEXTJOIN(",",TRUE,_xlfn._xlws.FILTER(NfsExportsServices[FMO VM Name Summary],NfsExports[[#This Row],[FMO Volume Name]]=NfsExportsServices[FMO Volume Name])),"")</f>
        <v/>
      </c>
      <c r="Q253" s="31" t="str">
        <f>_xlfn.TEXTJOIN(",",TRUE,NfsExports[[#This Row],[FMO Export Override]:[FMO Export Service IPs]])</f>
        <v>10.98.73.170</v>
      </c>
      <c r="R253" s="31" t="str">
        <f>NfsExports[[#This Row],[FMO Mount Path Estimated]]&amp;" "&amp;NfsExports[[#This Row],[Required Quota (GB)]]&amp;"GB"</f>
        <v>/apps/pcehr 30GB</v>
      </c>
      <c r="S253" s="31" t="s">
        <v>3349</v>
      </c>
      <c r="T253" s="31" t="s">
        <v>4723</v>
      </c>
      <c r="U253" s="32" t="s">
        <v>3983</v>
      </c>
      <c r="V253">
        <v>12.8</v>
      </c>
      <c r="W253" s="31">
        <f>MAX(0,NfsExports[[#This Row],[Prospective throughput]]-(NfsExports[[#This Row],[Configured Quota (GB)]]*0.064))</f>
        <v>6.4</v>
      </c>
    </row>
    <row r="254" spans="1:23" x14ac:dyDescent="0.35">
      <c r="A254" s="138" t="s">
        <v>3199</v>
      </c>
      <c r="B254" s="138" t="s">
        <v>3216</v>
      </c>
      <c r="C254" s="66" t="s">
        <v>3984</v>
      </c>
      <c r="D254" s="66" t="s">
        <v>3985</v>
      </c>
      <c r="E254" s="31" t="str">
        <f>SUBSTITUTE(NfsExports[[#This Row],[FMO Volume Name]],"_","-")</f>
        <v>vmpfbpf2olg29-apps-pcehr</v>
      </c>
      <c r="F254" s="66" t="s">
        <v>3248</v>
      </c>
      <c r="G254" s="66">
        <v>30</v>
      </c>
      <c r="H254" s="31">
        <f>MAX(NfsExports[[#This Row],[Required Quota (GB)]],100)</f>
        <v>100</v>
      </c>
      <c r="I254">
        <v>12.8</v>
      </c>
      <c r="K254" s="66" t="s">
        <v>3249</v>
      </c>
      <c r="M25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10.98.73.171</v>
      </c>
      <c r="N254" t="str" cm="1">
        <f t="array" ref="N254">_xlfn.TEXTJOIN(",",TRUE,IF(NfsExports[[#This Row],[FMO Volume Name]]=NfsExportsVNets[FMO Volume Name],NfsExportsVNets[FMO Vnet Subnet],""))</f>
        <v/>
      </c>
      <c r="O254" t="str" cm="1">
        <f t="array" ref="O254">_xlfn.TEXTJOIN(",",TRUE,IF(NfsExports[[#This Row],[FMO Volume Name]]=NfsExportsSubnets[FMO Volume Name],NfsExportsSubnets[FMO Subnet CIDR],""))</f>
        <v/>
      </c>
      <c r="P254" t="str" cm="1">
        <f t="array" ref="P254">IFERROR(_xlfn.TEXTJOIN(",",TRUE,_xlfn._xlws.FILTER(NfsExportsServices[FMO VM Name Summary],NfsExports[[#This Row],[FMO Volume Name]]=NfsExportsServices[FMO Volume Name])),"")</f>
        <v/>
      </c>
      <c r="Q254" s="31" t="str">
        <f>_xlfn.TEXTJOIN(",",TRUE,NfsExports[[#This Row],[FMO Export Override]:[FMO Export Service IPs]])</f>
        <v>10.98.73.171</v>
      </c>
      <c r="R254" s="31" t="str">
        <f>NfsExports[[#This Row],[FMO Mount Path Estimated]]&amp;" "&amp;NfsExports[[#This Row],[Required Quota (GB)]]&amp;"GB"</f>
        <v>/apps/pcehr 30GB</v>
      </c>
      <c r="S254" s="31" t="s">
        <v>3349</v>
      </c>
      <c r="T254" s="31" t="s">
        <v>4723</v>
      </c>
      <c r="U254" s="32" t="s">
        <v>3986</v>
      </c>
      <c r="V254">
        <v>12.8</v>
      </c>
      <c r="W254" s="31">
        <f>MAX(0,NfsExports[[#This Row],[Prospective throughput]]-(NfsExports[[#This Row],[Configured Quota (GB)]]*0.064))</f>
        <v>6.4</v>
      </c>
    </row>
    <row r="255" spans="1:23" x14ac:dyDescent="0.35">
      <c r="A255" s="138" t="s">
        <v>3199</v>
      </c>
      <c r="B255" s="138" t="s">
        <v>3216</v>
      </c>
      <c r="C255" s="66" t="s">
        <v>3987</v>
      </c>
      <c r="D255" s="66" t="s">
        <v>3988</v>
      </c>
      <c r="E255" s="31" t="str">
        <f>SUBSTITUTE(NfsExports[[#This Row],[FMO Volume Name]],"_","-")</f>
        <v>vmpfbpf2olg30-apps-pcehr</v>
      </c>
      <c r="F255" s="66" t="s">
        <v>3248</v>
      </c>
      <c r="G255" s="66">
        <v>30</v>
      </c>
      <c r="H255" s="31">
        <f>MAX(NfsExports[[#This Row],[Required Quota (GB)]],100)</f>
        <v>100</v>
      </c>
      <c r="I255">
        <v>12.8</v>
      </c>
      <c r="K255" s="66" t="s">
        <v>3249</v>
      </c>
      <c r="M25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10.98.73.172</v>
      </c>
      <c r="N255" t="str" cm="1">
        <f t="array" ref="N255">_xlfn.TEXTJOIN(",",TRUE,IF(NfsExports[[#This Row],[FMO Volume Name]]=NfsExportsVNets[FMO Volume Name],NfsExportsVNets[FMO Vnet Subnet],""))</f>
        <v/>
      </c>
      <c r="O255" t="str" cm="1">
        <f t="array" ref="O255">_xlfn.TEXTJOIN(",",TRUE,IF(NfsExports[[#This Row],[FMO Volume Name]]=NfsExportsSubnets[FMO Volume Name],NfsExportsSubnets[FMO Subnet CIDR],""))</f>
        <v/>
      </c>
      <c r="P255" t="str" cm="1">
        <f t="array" ref="P255">IFERROR(_xlfn.TEXTJOIN(",",TRUE,_xlfn._xlws.FILTER(NfsExportsServices[FMO VM Name Summary],NfsExports[[#This Row],[FMO Volume Name]]=NfsExportsServices[FMO Volume Name])),"")</f>
        <v/>
      </c>
      <c r="Q255" s="31" t="str">
        <f>_xlfn.TEXTJOIN(",",TRUE,NfsExports[[#This Row],[FMO Export Override]:[FMO Export Service IPs]])</f>
        <v>10.98.73.172</v>
      </c>
      <c r="R255" s="31" t="str">
        <f>NfsExports[[#This Row],[FMO Mount Path Estimated]]&amp;" "&amp;NfsExports[[#This Row],[Required Quota (GB)]]&amp;"GB"</f>
        <v>/apps/pcehr 30GB</v>
      </c>
      <c r="S255" s="31" t="s">
        <v>3349</v>
      </c>
      <c r="T255" s="31" t="s">
        <v>4723</v>
      </c>
      <c r="U255" s="32" t="s">
        <v>3989</v>
      </c>
      <c r="V255">
        <v>12.8</v>
      </c>
      <c r="W255" s="31">
        <f>MAX(0,NfsExports[[#This Row],[Prospective throughput]]-(NfsExports[[#This Row],[Configured Quota (GB)]]*0.064))</f>
        <v>6.4</v>
      </c>
    </row>
    <row r="256" spans="1:23" x14ac:dyDescent="0.35">
      <c r="A256" s="138" t="s">
        <v>3199</v>
      </c>
      <c r="B256" s="138" t="s">
        <v>3216</v>
      </c>
      <c r="C256" s="66" t="s">
        <v>3990</v>
      </c>
      <c r="D256" s="66" t="s">
        <v>3991</v>
      </c>
      <c r="E256" s="31" t="str">
        <f>SUBSTITUTE(NfsExports[[#This Row],[FMO Volume Name]],"_","-")</f>
        <v>vmpfbpf2osb09-apps-pcehr</v>
      </c>
      <c r="F256" s="66" t="s">
        <v>3248</v>
      </c>
      <c r="G256" s="66">
        <v>30</v>
      </c>
      <c r="H256" s="31">
        <f>MAX(NfsExports[[#This Row],[Required Quota (GB)]],100)</f>
        <v>100</v>
      </c>
      <c r="I256">
        <v>12.8</v>
      </c>
      <c r="K256" s="66" t="s">
        <v>3249</v>
      </c>
      <c r="M25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10.98.73.183</v>
      </c>
      <c r="N256" t="str" cm="1">
        <f t="array" ref="N256">_xlfn.TEXTJOIN(",",TRUE,IF(NfsExports[[#This Row],[FMO Volume Name]]=NfsExportsVNets[FMO Volume Name],NfsExportsVNets[FMO Vnet Subnet],""))</f>
        <v/>
      </c>
      <c r="O256" t="str" cm="1">
        <f t="array" ref="O256">_xlfn.TEXTJOIN(",",TRUE,IF(NfsExports[[#This Row],[FMO Volume Name]]=NfsExportsSubnets[FMO Volume Name],NfsExportsSubnets[FMO Subnet CIDR],""))</f>
        <v/>
      </c>
      <c r="P256" t="str" cm="1">
        <f t="array" ref="P256">IFERROR(_xlfn.TEXTJOIN(",",TRUE,_xlfn._xlws.FILTER(NfsExportsServices[FMO VM Name Summary],NfsExports[[#This Row],[FMO Volume Name]]=NfsExportsServices[FMO Volume Name])),"")</f>
        <v/>
      </c>
      <c r="Q256" s="31" t="str">
        <f>_xlfn.TEXTJOIN(",",TRUE,NfsExports[[#This Row],[FMO Export Override]:[FMO Export Service IPs]])</f>
        <v>10.98.73.183</v>
      </c>
      <c r="R256" s="31" t="str">
        <f>NfsExports[[#This Row],[FMO Mount Path Estimated]]&amp;" "&amp;NfsExports[[#This Row],[Required Quota (GB)]]&amp;"GB"</f>
        <v>/apps/pcehr 30GB</v>
      </c>
      <c r="S256" s="31" t="s">
        <v>3250</v>
      </c>
      <c r="T256" s="31" t="s">
        <v>4723</v>
      </c>
      <c r="U256" s="32" t="s">
        <v>3992</v>
      </c>
      <c r="V256">
        <v>12.8</v>
      </c>
      <c r="W256" s="31">
        <f>MAX(0,NfsExports[[#This Row],[Prospective throughput]]-(NfsExports[[#This Row],[Configured Quota (GB)]]*0.064))</f>
        <v>6.4</v>
      </c>
    </row>
    <row r="257" spans="1:23" x14ac:dyDescent="0.35">
      <c r="A257" s="138" t="s">
        <v>3199</v>
      </c>
      <c r="B257" s="138" t="s">
        <v>3216</v>
      </c>
      <c r="C257" s="95" t="s">
        <v>3993</v>
      </c>
      <c r="D257" s="66" t="s">
        <v>3994</v>
      </c>
      <c r="E257" s="79" t="str">
        <f>SUBSTITUTE(NfsExports[[#This Row],[FMO Volume Name]],"_","-")</f>
        <v>vmpfbpf2osb10-apps-pcehr</v>
      </c>
      <c r="F257" s="66" t="s">
        <v>3248</v>
      </c>
      <c r="G257" s="66">
        <v>30</v>
      </c>
      <c r="H257" s="79">
        <f>MAX(NfsExports[[#This Row],[Required Quota (GB)]],100)</f>
        <v>100</v>
      </c>
      <c r="I257">
        <v>12.8</v>
      </c>
      <c r="K257" s="66" t="s">
        <v>3249</v>
      </c>
      <c r="M257" s="79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10.98.73.184</v>
      </c>
      <c r="N257" t="str" cm="1">
        <f t="array" ref="N257">_xlfn.TEXTJOIN(",",TRUE,IF(NfsExports[[#This Row],[FMO Volume Name]]=NfsExportsVNets[FMO Volume Name],NfsExportsVNets[FMO Vnet Subnet],""))</f>
        <v/>
      </c>
      <c r="O257" t="str" cm="1">
        <f t="array" ref="O257">_xlfn.TEXTJOIN(",",TRUE,IF(NfsExports[[#This Row],[FMO Volume Name]]=NfsExportsSubnets[FMO Volume Name],NfsExportsSubnets[FMO Subnet CIDR],""))</f>
        <v/>
      </c>
      <c r="P257" t="str" cm="1">
        <f t="array" ref="P257">IFERROR(_xlfn.TEXTJOIN(",",TRUE,_xlfn._xlws.FILTER(NfsExportsServices[FMO VM Name Summary],NfsExports[[#This Row],[FMO Volume Name]]=NfsExportsServices[FMO Volume Name])),"")</f>
        <v/>
      </c>
      <c r="Q257" s="79" t="str">
        <f>_xlfn.TEXTJOIN(",",TRUE,NfsExports[[#This Row],[FMO Export Override]:[FMO Export Service IPs]])</f>
        <v>10.98.73.184</v>
      </c>
      <c r="R257" s="79" t="str">
        <f>NfsExports[[#This Row],[FMO Mount Path Estimated]]&amp;" "&amp;NfsExports[[#This Row],[Required Quota (GB)]]&amp;"GB"</f>
        <v>/apps/pcehr 30GB</v>
      </c>
      <c r="S257" s="31" t="s">
        <v>3250</v>
      </c>
      <c r="T257" s="31" t="s">
        <v>4723</v>
      </c>
      <c r="U257" s="32" t="s">
        <v>3995</v>
      </c>
      <c r="V257">
        <v>12.8</v>
      </c>
      <c r="W257" s="31">
        <f>MAX(0,NfsExports[[#This Row],[Prospective throughput]]-(NfsExports[[#This Row],[Configured Quota (GB)]]*0.064))</f>
        <v>6.4</v>
      </c>
    </row>
    <row r="258" spans="1:23" x14ac:dyDescent="0.35">
      <c r="A258" s="138" t="s">
        <v>3199</v>
      </c>
      <c r="B258" s="138" t="s">
        <v>3216</v>
      </c>
      <c r="C258" t="s">
        <v>3996</v>
      </c>
      <c r="D258" t="s">
        <v>3997</v>
      </c>
      <c r="E258" s="31" t="str">
        <f>SUBSTITUTE(NfsExports[[#This Row],[FMO Volume Name]],"_","-")</f>
        <v>vmpfbpf2sol01-apps-pcehr</v>
      </c>
      <c r="F258" s="66" t="s">
        <v>3248</v>
      </c>
      <c r="G258">
        <v>30</v>
      </c>
      <c r="H258" s="31">
        <f>MAX(NfsExports[[#This Row],[Required Quota (GB)]],100)</f>
        <v>100</v>
      </c>
      <c r="I258">
        <v>12.8</v>
      </c>
      <c r="K258" s="66" t="s">
        <v>3249</v>
      </c>
      <c r="M25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10.98.73.185</v>
      </c>
      <c r="N258" t="str" cm="1">
        <f t="array" ref="N258">_xlfn.TEXTJOIN(",",TRUE,IF(NfsExports[[#This Row],[FMO Volume Name]]=NfsExportsVNets[FMO Volume Name],NfsExportsVNets[FMO Vnet Subnet],""))</f>
        <v/>
      </c>
      <c r="O258" t="str" cm="1">
        <f t="array" ref="O258">_xlfn.TEXTJOIN(",",TRUE,IF(NfsExports[[#This Row],[FMO Volume Name]]=NfsExportsSubnets[FMO Volume Name],NfsExportsSubnets[FMO Subnet CIDR],""))</f>
        <v/>
      </c>
      <c r="P258" t="str" cm="1">
        <f t="array" ref="P258">IFERROR(_xlfn.TEXTJOIN(",",TRUE,_xlfn._xlws.FILTER(NfsExportsServices[FMO VM Name Summary],NfsExports[[#This Row],[FMO Volume Name]]=NfsExportsServices[FMO Volume Name])),"")</f>
        <v/>
      </c>
      <c r="Q258" s="31" t="str">
        <f>_xlfn.TEXTJOIN(",",TRUE,NfsExports[[#This Row],[FMO Export Override]:[FMO Export Service IPs]])</f>
        <v>10.98.73.185</v>
      </c>
      <c r="R258" s="31" t="str">
        <f>NfsExports[[#This Row],[FMO Mount Path Estimated]]&amp;" "&amp;NfsExports[[#This Row],[Required Quota (GB)]]&amp;"GB"</f>
        <v>/apps/pcehr 30GB</v>
      </c>
      <c r="S258" s="31" t="s">
        <v>3250</v>
      </c>
      <c r="T258" s="31" t="s">
        <v>4723</v>
      </c>
      <c r="U258" s="32" t="s">
        <v>3998</v>
      </c>
      <c r="V258">
        <v>12.8</v>
      </c>
      <c r="W258" s="31">
        <f>MAX(0,NfsExports[[#This Row],[Prospective throughput]]-(NfsExports[[#This Row],[Configured Quota (GB)]]*0.064))</f>
        <v>6.4</v>
      </c>
    </row>
    <row r="259" spans="1:23" x14ac:dyDescent="0.35">
      <c r="A259" s="138" t="s">
        <v>3199</v>
      </c>
      <c r="B259" s="138" t="s">
        <v>3216</v>
      </c>
      <c r="C259" t="s">
        <v>3999</v>
      </c>
      <c r="D259" t="s">
        <v>4000</v>
      </c>
      <c r="E259" s="31" t="str">
        <f>SUBSTITUTE(NfsExports[[#This Row],[FMO Volume Name]],"_","-")</f>
        <v>vmpfbpf2sol02-apps-pcehr</v>
      </c>
      <c r="F259" s="66" t="s">
        <v>3248</v>
      </c>
      <c r="G259">
        <v>30</v>
      </c>
      <c r="H259" s="31">
        <f>MAX(NfsExports[[#This Row],[Required Quota (GB)]],100)</f>
        <v>100</v>
      </c>
      <c r="I259">
        <v>12.8</v>
      </c>
      <c r="K259" s="66" t="s">
        <v>3249</v>
      </c>
      <c r="M25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10.98.73.186</v>
      </c>
      <c r="N259" t="str" cm="1">
        <f t="array" ref="N259">_xlfn.TEXTJOIN(",",TRUE,IF(NfsExports[[#This Row],[FMO Volume Name]]=NfsExportsVNets[FMO Volume Name],NfsExportsVNets[FMO Vnet Subnet],""))</f>
        <v/>
      </c>
      <c r="O259" t="str" cm="1">
        <f t="array" ref="O259">_xlfn.TEXTJOIN(",",TRUE,IF(NfsExports[[#This Row],[FMO Volume Name]]=NfsExportsSubnets[FMO Volume Name],NfsExportsSubnets[FMO Subnet CIDR],""))</f>
        <v/>
      </c>
      <c r="P259" t="str" cm="1">
        <f t="array" ref="P259">IFERROR(_xlfn.TEXTJOIN(",",TRUE,_xlfn._xlws.FILTER(NfsExportsServices[FMO VM Name Summary],NfsExports[[#This Row],[FMO Volume Name]]=NfsExportsServices[FMO Volume Name])),"")</f>
        <v/>
      </c>
      <c r="Q259" s="31" t="str">
        <f>_xlfn.TEXTJOIN(",",TRUE,NfsExports[[#This Row],[FMO Export Override]:[FMO Export Service IPs]])</f>
        <v>10.98.73.186</v>
      </c>
      <c r="R259" s="31" t="str">
        <f>NfsExports[[#This Row],[FMO Mount Path Estimated]]&amp;" "&amp;NfsExports[[#This Row],[Required Quota (GB)]]&amp;"GB"</f>
        <v>/apps/pcehr 30GB</v>
      </c>
      <c r="S259" s="31" t="s">
        <v>3250</v>
      </c>
      <c r="T259" s="31" t="s">
        <v>4723</v>
      </c>
      <c r="U259" s="32" t="s">
        <v>4001</v>
      </c>
      <c r="V259">
        <v>12.8</v>
      </c>
      <c r="W259" s="31">
        <f>MAX(0,NfsExports[[#This Row],[Prospective throughput]]-(NfsExports[[#This Row],[Configured Quota (GB)]]*0.064))</f>
        <v>6.4</v>
      </c>
    </row>
    <row r="260" spans="1:23" x14ac:dyDescent="0.35">
      <c r="A260" s="138" t="s">
        <v>3199</v>
      </c>
      <c r="B260" s="138" t="s">
        <v>3216</v>
      </c>
      <c r="C260" t="s">
        <v>4002</v>
      </c>
      <c r="D260" t="s">
        <v>4003</v>
      </c>
      <c r="E260" s="31" t="str">
        <f>SUBSTITUTE(NfsExports[[#This Row],[FMO Volume Name]],"_","-")</f>
        <v>vmpfbpf2fhi05-apps-pcehr</v>
      </c>
      <c r="F260" s="66" t="s">
        <v>3248</v>
      </c>
      <c r="G260">
        <v>40</v>
      </c>
      <c r="H260" s="31">
        <f>MAX(NfsExports[[#This Row],[Required Quota (GB)]],100)</f>
        <v>100</v>
      </c>
      <c r="I260">
        <v>12.8</v>
      </c>
      <c r="K260" s="66" t="s">
        <v>3249</v>
      </c>
      <c r="M26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10.98.72.15</v>
      </c>
      <c r="N260" t="str" cm="1">
        <f t="array" ref="N260">_xlfn.TEXTJOIN(",",TRUE,IF(NfsExports[[#This Row],[FMO Volume Name]]=NfsExportsVNets[FMO Volume Name],NfsExportsVNets[FMO Vnet Subnet],""))</f>
        <v/>
      </c>
      <c r="O260" t="str" cm="1">
        <f t="array" ref="O260">_xlfn.TEXTJOIN(",",TRUE,IF(NfsExports[[#This Row],[FMO Volume Name]]=NfsExportsSubnets[FMO Volume Name],NfsExportsSubnets[FMO Subnet CIDR],""))</f>
        <v/>
      </c>
      <c r="P260" t="str" cm="1">
        <f t="array" ref="P260">IFERROR(_xlfn.TEXTJOIN(",",TRUE,_xlfn._xlws.FILTER(NfsExportsServices[FMO VM Name Summary],NfsExports[[#This Row],[FMO Volume Name]]=NfsExportsServices[FMO Volume Name])),"")</f>
        <v/>
      </c>
      <c r="Q260" s="31" t="str">
        <f>_xlfn.TEXTJOIN(",",TRUE,NfsExports[[#This Row],[FMO Export Override]:[FMO Export Service IPs]])</f>
        <v>10.98.72.15</v>
      </c>
      <c r="R260" s="31" t="str">
        <f>NfsExports[[#This Row],[FMO Mount Path Estimated]]&amp;" "&amp;NfsExports[[#This Row],[Required Quota (GB)]]&amp;"GB"</f>
        <v>/apps/pcehr 40GB</v>
      </c>
      <c r="S260" s="31" t="s">
        <v>3250</v>
      </c>
      <c r="T260" s="31" t="s">
        <v>4723</v>
      </c>
      <c r="U260" s="32" t="s">
        <v>4004</v>
      </c>
      <c r="V260">
        <v>12.8</v>
      </c>
      <c r="W260" s="31">
        <f>MAX(0,NfsExports[[#This Row],[Prospective throughput]]-(NfsExports[[#This Row],[Configured Quota (GB)]]*0.064))</f>
        <v>6.4</v>
      </c>
    </row>
    <row r="261" spans="1:23" x14ac:dyDescent="0.35">
      <c r="A261" s="138" t="s">
        <v>3199</v>
      </c>
      <c r="B261" s="138" t="s">
        <v>3216</v>
      </c>
      <c r="C261" t="s">
        <v>4005</v>
      </c>
      <c r="D261" t="s">
        <v>4006</v>
      </c>
      <c r="E261" s="31" t="str">
        <f>SUBSTITUTE(NfsExports[[#This Row],[FMO Volume Name]],"_","-")</f>
        <v>vmpfbpf2fhi06-apps-pcehr</v>
      </c>
      <c r="F261" s="66" t="s">
        <v>3248</v>
      </c>
      <c r="G261">
        <v>40</v>
      </c>
      <c r="H261" s="31">
        <f>MAX(NfsExports[[#This Row],[Required Quota (GB)]],100)</f>
        <v>100</v>
      </c>
      <c r="I261">
        <v>12.8</v>
      </c>
      <c r="K261" s="66" t="s">
        <v>3249</v>
      </c>
      <c r="M26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10.98.72.16</v>
      </c>
      <c r="N261" t="str" cm="1">
        <f t="array" ref="N261">_xlfn.TEXTJOIN(",",TRUE,IF(NfsExports[[#This Row],[FMO Volume Name]]=NfsExportsVNets[FMO Volume Name],NfsExportsVNets[FMO Vnet Subnet],""))</f>
        <v/>
      </c>
      <c r="O261" t="str" cm="1">
        <f t="array" ref="O261">_xlfn.TEXTJOIN(",",TRUE,IF(NfsExports[[#This Row],[FMO Volume Name]]=NfsExportsSubnets[FMO Volume Name],NfsExportsSubnets[FMO Subnet CIDR],""))</f>
        <v/>
      </c>
      <c r="P261" t="str" cm="1">
        <f t="array" ref="P261">IFERROR(_xlfn.TEXTJOIN(",",TRUE,_xlfn._xlws.FILTER(NfsExportsServices[FMO VM Name Summary],NfsExports[[#This Row],[FMO Volume Name]]=NfsExportsServices[FMO Volume Name])),"")</f>
        <v/>
      </c>
      <c r="Q261" s="31" t="str">
        <f>_xlfn.TEXTJOIN(",",TRUE,NfsExports[[#This Row],[FMO Export Override]:[FMO Export Service IPs]])</f>
        <v>10.98.72.16</v>
      </c>
      <c r="R261" s="31" t="str">
        <f>NfsExports[[#This Row],[FMO Mount Path Estimated]]&amp;" "&amp;NfsExports[[#This Row],[Required Quota (GB)]]&amp;"GB"</f>
        <v>/apps/pcehr 40GB</v>
      </c>
      <c r="S261" s="31" t="s">
        <v>3250</v>
      </c>
      <c r="T261" s="31" t="s">
        <v>4723</v>
      </c>
      <c r="U261" s="32" t="s">
        <v>4007</v>
      </c>
      <c r="V261">
        <v>12.8</v>
      </c>
      <c r="W261" s="31">
        <f>MAX(0,NfsExports[[#This Row],[Prospective throughput]]-(NfsExports[[#This Row],[Configured Quota (GB)]]*0.064))</f>
        <v>6.4</v>
      </c>
    </row>
    <row r="262" spans="1:23" x14ac:dyDescent="0.35">
      <c r="A262" s="138" t="s">
        <v>3199</v>
      </c>
      <c r="B262" s="138" t="s">
        <v>3216</v>
      </c>
      <c r="C262" t="s">
        <v>4008</v>
      </c>
      <c r="D262" t="s">
        <v>4009</v>
      </c>
      <c r="E262" s="31" t="str">
        <f>SUBSTITUTE(NfsExports[[#This Row],[FMO Volume Name]],"_","-")</f>
        <v>vmpfbpf2fhi07-apps-pcehr</v>
      </c>
      <c r="F262" s="66" t="s">
        <v>3248</v>
      </c>
      <c r="G262">
        <v>40</v>
      </c>
      <c r="H262" s="31">
        <f>MAX(NfsExports[[#This Row],[Required Quota (GB)]],100)</f>
        <v>100</v>
      </c>
      <c r="I262">
        <v>12.8</v>
      </c>
      <c r="K262" s="66" t="s">
        <v>3249</v>
      </c>
      <c r="M26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10.98.72.17</v>
      </c>
      <c r="N262" t="str" cm="1">
        <f t="array" ref="N262">_xlfn.TEXTJOIN(",",TRUE,IF(NfsExports[[#This Row],[FMO Volume Name]]=NfsExportsVNets[FMO Volume Name],NfsExportsVNets[FMO Vnet Subnet],""))</f>
        <v/>
      </c>
      <c r="O262" t="str" cm="1">
        <f t="array" ref="O262">_xlfn.TEXTJOIN(",",TRUE,IF(NfsExports[[#This Row],[FMO Volume Name]]=NfsExportsSubnets[FMO Volume Name],NfsExportsSubnets[FMO Subnet CIDR],""))</f>
        <v/>
      </c>
      <c r="P262" t="str" cm="1">
        <f t="array" ref="P262">IFERROR(_xlfn.TEXTJOIN(",",TRUE,_xlfn._xlws.FILTER(NfsExportsServices[FMO VM Name Summary],NfsExports[[#This Row],[FMO Volume Name]]=NfsExportsServices[FMO Volume Name])),"")</f>
        <v/>
      </c>
      <c r="Q262" s="31" t="str">
        <f>_xlfn.TEXTJOIN(",",TRUE,NfsExports[[#This Row],[FMO Export Override]:[FMO Export Service IPs]])</f>
        <v>10.98.72.17</v>
      </c>
      <c r="R262" s="31" t="str">
        <f>NfsExports[[#This Row],[FMO Mount Path Estimated]]&amp;" "&amp;NfsExports[[#This Row],[Required Quota (GB)]]&amp;"GB"</f>
        <v>/apps/pcehr 40GB</v>
      </c>
      <c r="S262" s="31" t="s">
        <v>3250</v>
      </c>
      <c r="T262" s="31" t="s">
        <v>4723</v>
      </c>
      <c r="U262" s="32" t="s">
        <v>4010</v>
      </c>
      <c r="V262">
        <v>12.8</v>
      </c>
      <c r="W262" s="31">
        <f>MAX(0,NfsExports[[#This Row],[Prospective throughput]]-(NfsExports[[#This Row],[Configured Quota (GB)]]*0.064))</f>
        <v>6.4</v>
      </c>
    </row>
    <row r="263" spans="1:23" x14ac:dyDescent="0.35">
      <c r="A263" s="138" t="s">
        <v>3199</v>
      </c>
      <c r="B263" s="138" t="s">
        <v>3216</v>
      </c>
      <c r="C263" t="s">
        <v>4011</v>
      </c>
      <c r="D263" t="s">
        <v>4012</v>
      </c>
      <c r="E263" s="31" t="str">
        <f>SUBSTITUTE(NfsExports[[#This Row],[FMO Volume Name]],"_","-")</f>
        <v>vmpfbpf2fhi08-apps-pcehr</v>
      </c>
      <c r="F263" s="66" t="s">
        <v>3248</v>
      </c>
      <c r="G263">
        <v>40</v>
      </c>
      <c r="H263" s="31">
        <f>MAX(NfsExports[[#This Row],[Required Quota (GB)]],100)</f>
        <v>100</v>
      </c>
      <c r="I263">
        <v>12.8</v>
      </c>
      <c r="K263" s="66" t="s">
        <v>3249</v>
      </c>
      <c r="M26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10.98.72.18</v>
      </c>
      <c r="N263" t="str" cm="1">
        <f t="array" ref="N263">_xlfn.TEXTJOIN(",",TRUE,IF(NfsExports[[#This Row],[FMO Volume Name]]=NfsExportsVNets[FMO Volume Name],NfsExportsVNets[FMO Vnet Subnet],""))</f>
        <v/>
      </c>
      <c r="O263" t="str" cm="1">
        <f t="array" ref="O263">_xlfn.TEXTJOIN(",",TRUE,IF(NfsExports[[#This Row],[FMO Volume Name]]=NfsExportsSubnets[FMO Volume Name],NfsExportsSubnets[FMO Subnet CIDR],""))</f>
        <v/>
      </c>
      <c r="P263" t="str" cm="1">
        <f t="array" ref="P263">IFERROR(_xlfn.TEXTJOIN(",",TRUE,_xlfn._xlws.FILTER(NfsExportsServices[FMO VM Name Summary],NfsExports[[#This Row],[FMO Volume Name]]=NfsExportsServices[FMO Volume Name])),"")</f>
        <v/>
      </c>
      <c r="Q263" s="31" t="str">
        <f>_xlfn.TEXTJOIN(",",TRUE,NfsExports[[#This Row],[FMO Export Override]:[FMO Export Service IPs]])</f>
        <v>10.98.72.18</v>
      </c>
      <c r="R263" s="31" t="str">
        <f>NfsExports[[#This Row],[FMO Mount Path Estimated]]&amp;" "&amp;NfsExports[[#This Row],[Required Quota (GB)]]&amp;"GB"</f>
        <v>/apps/pcehr 40GB</v>
      </c>
      <c r="S263" s="31" t="s">
        <v>3250</v>
      </c>
      <c r="T263" s="31" t="s">
        <v>4723</v>
      </c>
      <c r="U263" s="32" t="s">
        <v>4013</v>
      </c>
      <c r="V263">
        <v>12.8</v>
      </c>
      <c r="W263" s="31">
        <f>MAX(0,NfsExports[[#This Row],[Prospective throughput]]-(NfsExports[[#This Row],[Configured Quota (GB)]]*0.064))</f>
        <v>6.4</v>
      </c>
    </row>
    <row r="264" spans="1:23" x14ac:dyDescent="0.35">
      <c r="A264" s="138" t="s">
        <v>3199</v>
      </c>
      <c r="B264" s="138" t="s">
        <v>3216</v>
      </c>
      <c r="C264" t="s">
        <v>4014</v>
      </c>
      <c r="D264" t="s">
        <v>4015</v>
      </c>
      <c r="E264" s="31" t="str">
        <f>SUBSTITUTE(NfsExports[[#This Row],[FMO Volume Name]],"_","-")</f>
        <v>vmpfbpf2mob01-apps-pcehr</v>
      </c>
      <c r="F264" s="66" t="s">
        <v>3248</v>
      </c>
      <c r="G264">
        <v>40</v>
      </c>
      <c r="H264" s="31">
        <f>MAX(NfsExports[[#This Row],[Required Quota (GB)]],100)</f>
        <v>100</v>
      </c>
      <c r="I264">
        <v>12.8</v>
      </c>
      <c r="K264" s="66" t="s">
        <v>3249</v>
      </c>
      <c r="M26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10.98.72.49</v>
      </c>
      <c r="N264" t="str" cm="1">
        <f t="array" ref="N264">_xlfn.TEXTJOIN(",",TRUE,IF(NfsExports[[#This Row],[FMO Volume Name]]=NfsExportsVNets[FMO Volume Name],NfsExportsVNets[FMO Vnet Subnet],""))</f>
        <v/>
      </c>
      <c r="O264" t="str" cm="1">
        <f t="array" ref="O264">_xlfn.TEXTJOIN(",",TRUE,IF(NfsExports[[#This Row],[FMO Volume Name]]=NfsExportsSubnets[FMO Volume Name],NfsExportsSubnets[FMO Subnet CIDR],""))</f>
        <v/>
      </c>
      <c r="P264" t="str" cm="1">
        <f t="array" ref="P264">IFERROR(_xlfn.TEXTJOIN(",",TRUE,_xlfn._xlws.FILTER(NfsExportsServices[FMO VM Name Summary],NfsExports[[#This Row],[FMO Volume Name]]=NfsExportsServices[FMO Volume Name])),"")</f>
        <v/>
      </c>
      <c r="Q264" s="31" t="str">
        <f>_xlfn.TEXTJOIN(",",TRUE,NfsExports[[#This Row],[FMO Export Override]:[FMO Export Service IPs]])</f>
        <v>10.98.72.49</v>
      </c>
      <c r="R264" s="31" t="str">
        <f>NfsExports[[#This Row],[FMO Mount Path Estimated]]&amp;" "&amp;NfsExports[[#This Row],[Required Quota (GB)]]&amp;"GB"</f>
        <v>/apps/pcehr 40GB</v>
      </c>
      <c r="S264" s="31" t="s">
        <v>3250</v>
      </c>
      <c r="T264" s="31" t="s">
        <v>4723</v>
      </c>
      <c r="U264" s="32" t="s">
        <v>4016</v>
      </c>
      <c r="V264">
        <v>12.8</v>
      </c>
      <c r="W264" s="31">
        <f>MAX(0,NfsExports[[#This Row],[Prospective throughput]]-(NfsExports[[#This Row],[Configured Quota (GB)]]*0.064))</f>
        <v>6.4</v>
      </c>
    </row>
    <row r="265" spans="1:23" x14ac:dyDescent="0.35">
      <c r="A265" s="138" t="s">
        <v>3199</v>
      </c>
      <c r="B265" s="138" t="s">
        <v>3216</v>
      </c>
      <c r="C265" t="s">
        <v>4017</v>
      </c>
      <c r="D265" t="s">
        <v>4018</v>
      </c>
      <c r="E265" s="31" t="str">
        <f>SUBSTITUTE(NfsExports[[#This Row],[FMO Volume Name]],"_","-")</f>
        <v>vmpfbpf2mob02-apps-pcehr</v>
      </c>
      <c r="F265" s="66" t="s">
        <v>3248</v>
      </c>
      <c r="G265">
        <v>40</v>
      </c>
      <c r="H265" s="31">
        <f>MAX(NfsExports[[#This Row],[Required Quota (GB)]],100)</f>
        <v>100</v>
      </c>
      <c r="I265">
        <v>12.8</v>
      </c>
      <c r="K265" s="66" t="s">
        <v>3249</v>
      </c>
      <c r="M26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10.98.72.50</v>
      </c>
      <c r="N265" t="str" cm="1">
        <f t="array" ref="N265">_xlfn.TEXTJOIN(",",TRUE,IF(NfsExports[[#This Row],[FMO Volume Name]]=NfsExportsVNets[FMO Volume Name],NfsExportsVNets[FMO Vnet Subnet],""))</f>
        <v/>
      </c>
      <c r="O265" t="str" cm="1">
        <f t="array" ref="O265">_xlfn.TEXTJOIN(",",TRUE,IF(NfsExports[[#This Row],[FMO Volume Name]]=NfsExportsSubnets[FMO Volume Name],NfsExportsSubnets[FMO Subnet CIDR],""))</f>
        <v/>
      </c>
      <c r="P265" t="str" cm="1">
        <f t="array" ref="P265">IFERROR(_xlfn.TEXTJOIN(",",TRUE,_xlfn._xlws.FILTER(NfsExportsServices[FMO VM Name Summary],NfsExports[[#This Row],[FMO Volume Name]]=NfsExportsServices[FMO Volume Name])),"")</f>
        <v/>
      </c>
      <c r="Q265" s="31" t="str">
        <f>_xlfn.TEXTJOIN(",",TRUE,NfsExports[[#This Row],[FMO Export Override]:[FMO Export Service IPs]])</f>
        <v>10.98.72.50</v>
      </c>
      <c r="R265" s="31" t="str">
        <f>NfsExports[[#This Row],[FMO Mount Path Estimated]]&amp;" "&amp;NfsExports[[#This Row],[Required Quota (GB)]]&amp;"GB"</f>
        <v>/apps/pcehr 40GB</v>
      </c>
      <c r="S265" s="31" t="s">
        <v>3250</v>
      </c>
      <c r="T265" s="31" t="s">
        <v>4723</v>
      </c>
      <c r="U265" s="32" t="s">
        <v>4019</v>
      </c>
      <c r="V265">
        <v>12.8</v>
      </c>
      <c r="W265" s="31">
        <f>MAX(0,NfsExports[[#This Row],[Prospective throughput]]-(NfsExports[[#This Row],[Configured Quota (GB)]]*0.064))</f>
        <v>6.4</v>
      </c>
    </row>
    <row r="266" spans="1:23" x14ac:dyDescent="0.35">
      <c r="A266" s="138" t="s">
        <v>3199</v>
      </c>
      <c r="B266" s="138" t="s">
        <v>3216</v>
      </c>
      <c r="C266" t="s">
        <v>4020</v>
      </c>
      <c r="D266" t="s">
        <v>4021</v>
      </c>
      <c r="E266" s="31" t="str">
        <f>SUBSTITUTE(NfsExports[[#This Row],[FMO Volume Name]],"_","-")</f>
        <v>vmpfbpf2ohm05-apps-pcehr</v>
      </c>
      <c r="F266" s="66" t="s">
        <v>3248</v>
      </c>
      <c r="G266">
        <v>30</v>
      </c>
      <c r="H266" s="31">
        <f>MAX(NfsExports[[#This Row],[Required Quota (GB)]],100)</f>
        <v>100</v>
      </c>
      <c r="I266">
        <v>12.8</v>
      </c>
      <c r="K266" s="66" t="s">
        <v>3249</v>
      </c>
      <c r="M26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10.98.72.84</v>
      </c>
      <c r="N266" t="str" cm="1">
        <f t="array" ref="N266">_xlfn.TEXTJOIN(",",TRUE,IF(NfsExports[[#This Row],[FMO Volume Name]]=NfsExportsVNets[FMO Volume Name],NfsExportsVNets[FMO Vnet Subnet],""))</f>
        <v/>
      </c>
      <c r="O266" t="str" cm="1">
        <f t="array" ref="O266">_xlfn.TEXTJOIN(",",TRUE,IF(NfsExports[[#This Row],[FMO Volume Name]]=NfsExportsSubnets[FMO Volume Name],NfsExportsSubnets[FMO Subnet CIDR],""))</f>
        <v/>
      </c>
      <c r="P266" t="str" cm="1">
        <f t="array" ref="P266">IFERROR(_xlfn.TEXTJOIN(",",TRUE,_xlfn._xlws.FILTER(NfsExportsServices[FMO VM Name Summary],NfsExports[[#This Row],[FMO Volume Name]]=NfsExportsServices[FMO Volume Name])),"")</f>
        <v/>
      </c>
      <c r="Q266" s="31" t="str">
        <f>_xlfn.TEXTJOIN(",",TRUE,NfsExports[[#This Row],[FMO Export Override]:[FMO Export Service IPs]])</f>
        <v>10.98.72.84</v>
      </c>
      <c r="R266" s="31" t="str">
        <f>NfsExports[[#This Row],[FMO Mount Path Estimated]]&amp;" "&amp;NfsExports[[#This Row],[Required Quota (GB)]]&amp;"GB"</f>
        <v>/apps/pcehr 30GB</v>
      </c>
      <c r="S266" s="31" t="s">
        <v>3250</v>
      </c>
      <c r="T266" s="31" t="s">
        <v>4723</v>
      </c>
      <c r="U266" s="32" t="s">
        <v>4022</v>
      </c>
      <c r="V266">
        <v>12.8</v>
      </c>
      <c r="W266" s="31">
        <f>MAX(0,NfsExports[[#This Row],[Prospective throughput]]-(NfsExports[[#This Row],[Configured Quota (GB)]]*0.064))</f>
        <v>6.4</v>
      </c>
    </row>
    <row r="267" spans="1:23" x14ac:dyDescent="0.35">
      <c r="A267" s="138" t="s">
        <v>3199</v>
      </c>
      <c r="B267" s="138" t="s">
        <v>3216</v>
      </c>
      <c r="C267" t="s">
        <v>4023</v>
      </c>
      <c r="D267" t="s">
        <v>4024</v>
      </c>
      <c r="E267" s="31" t="str">
        <f>SUBSTITUTE(NfsExports[[#This Row],[FMO Volume Name]],"_","-")</f>
        <v>vmpfbpf2ohm06-apps-pcehr</v>
      </c>
      <c r="F267" s="66" t="s">
        <v>3248</v>
      </c>
      <c r="G267">
        <v>30</v>
      </c>
      <c r="H267" s="31">
        <f>MAX(NfsExports[[#This Row],[Required Quota (GB)]],100)</f>
        <v>100</v>
      </c>
      <c r="I267">
        <v>12.8</v>
      </c>
      <c r="K267" s="66" t="s">
        <v>3249</v>
      </c>
      <c r="M26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10.98.72.85</v>
      </c>
      <c r="N267" t="str" cm="1">
        <f t="array" ref="N267">_xlfn.TEXTJOIN(",",TRUE,IF(NfsExports[[#This Row],[FMO Volume Name]]=NfsExportsVNets[FMO Volume Name],NfsExportsVNets[FMO Vnet Subnet],""))</f>
        <v/>
      </c>
      <c r="O267" t="str" cm="1">
        <f t="array" ref="O267">_xlfn.TEXTJOIN(",",TRUE,IF(NfsExports[[#This Row],[FMO Volume Name]]=NfsExportsSubnets[FMO Volume Name],NfsExportsSubnets[FMO Subnet CIDR],""))</f>
        <v/>
      </c>
      <c r="P267" t="str" cm="1">
        <f t="array" ref="P267">IFERROR(_xlfn.TEXTJOIN(",",TRUE,_xlfn._xlws.FILTER(NfsExportsServices[FMO VM Name Summary],NfsExports[[#This Row],[FMO Volume Name]]=NfsExportsServices[FMO Volume Name])),"")</f>
        <v/>
      </c>
      <c r="Q267" s="31" t="str">
        <f>_xlfn.TEXTJOIN(",",TRUE,NfsExports[[#This Row],[FMO Export Override]:[FMO Export Service IPs]])</f>
        <v>10.98.72.85</v>
      </c>
      <c r="R267" s="31" t="str">
        <f>NfsExports[[#This Row],[FMO Mount Path Estimated]]&amp;" "&amp;NfsExports[[#This Row],[Required Quota (GB)]]&amp;"GB"</f>
        <v>/apps/pcehr 30GB</v>
      </c>
      <c r="S267" s="31" t="s">
        <v>3250</v>
      </c>
      <c r="T267" s="31" t="s">
        <v>4723</v>
      </c>
      <c r="U267" s="32" t="s">
        <v>4025</v>
      </c>
      <c r="V267">
        <v>12.8</v>
      </c>
      <c r="W267" s="31">
        <f>MAX(0,NfsExports[[#This Row],[Prospective throughput]]-(NfsExports[[#This Row],[Configured Quota (GB)]]*0.064))</f>
        <v>6.4</v>
      </c>
    </row>
    <row r="268" spans="1:23" x14ac:dyDescent="0.35">
      <c r="A268" s="138" t="s">
        <v>3199</v>
      </c>
      <c r="B268" s="138" t="s">
        <v>3216</v>
      </c>
      <c r="C268" t="s">
        <v>4026</v>
      </c>
      <c r="D268" t="s">
        <v>4027</v>
      </c>
      <c r="E268" s="31" t="str">
        <f>SUBSTITUTE(NfsExports[[#This Row],[FMO Volume Name]],"_","-")</f>
        <v>vmpfbpf2ohm07-apps-pcehr</v>
      </c>
      <c r="F268" s="66" t="s">
        <v>3248</v>
      </c>
      <c r="G268">
        <v>30</v>
      </c>
      <c r="H268" s="31">
        <f>MAX(NfsExports[[#This Row],[Required Quota (GB)]],100)</f>
        <v>100</v>
      </c>
      <c r="I268">
        <v>12.8</v>
      </c>
      <c r="K268" s="66" t="s">
        <v>3249</v>
      </c>
      <c r="M26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10.98.72.86</v>
      </c>
      <c r="N268" t="str" cm="1">
        <f t="array" ref="N268">_xlfn.TEXTJOIN(",",TRUE,IF(NfsExports[[#This Row],[FMO Volume Name]]=NfsExportsVNets[FMO Volume Name],NfsExportsVNets[FMO Vnet Subnet],""))</f>
        <v/>
      </c>
      <c r="O268" t="str" cm="1">
        <f t="array" ref="O268">_xlfn.TEXTJOIN(",",TRUE,IF(NfsExports[[#This Row],[FMO Volume Name]]=NfsExportsSubnets[FMO Volume Name],NfsExportsSubnets[FMO Subnet CIDR],""))</f>
        <v/>
      </c>
      <c r="P268" t="str" cm="1">
        <f t="array" ref="P268">IFERROR(_xlfn.TEXTJOIN(",",TRUE,_xlfn._xlws.FILTER(NfsExportsServices[FMO VM Name Summary],NfsExports[[#This Row],[FMO Volume Name]]=NfsExportsServices[FMO Volume Name])),"")</f>
        <v/>
      </c>
      <c r="Q268" s="31" t="str">
        <f>_xlfn.TEXTJOIN(",",TRUE,NfsExports[[#This Row],[FMO Export Override]:[FMO Export Service IPs]])</f>
        <v>10.98.72.86</v>
      </c>
      <c r="R268" s="31" t="str">
        <f>NfsExports[[#This Row],[FMO Mount Path Estimated]]&amp;" "&amp;NfsExports[[#This Row],[Required Quota (GB)]]&amp;"GB"</f>
        <v>/apps/pcehr 30GB</v>
      </c>
      <c r="S268" s="31" t="s">
        <v>3250</v>
      </c>
      <c r="T268" s="31" t="s">
        <v>4723</v>
      </c>
      <c r="U268" s="32" t="s">
        <v>4028</v>
      </c>
      <c r="V268">
        <v>12.8</v>
      </c>
      <c r="W268" s="31">
        <f>MAX(0,NfsExports[[#This Row],[Prospective throughput]]-(NfsExports[[#This Row],[Configured Quota (GB)]]*0.064))</f>
        <v>6.4</v>
      </c>
    </row>
    <row r="269" spans="1:23" x14ac:dyDescent="0.35">
      <c r="A269" s="138" t="s">
        <v>3199</v>
      </c>
      <c r="B269" s="138" t="s">
        <v>3216</v>
      </c>
      <c r="C269" t="s">
        <v>4029</v>
      </c>
      <c r="D269" t="s">
        <v>4030</v>
      </c>
      <c r="E269" s="31" t="str">
        <f>SUBSTITUTE(NfsExports[[#This Row],[FMO Volume Name]],"_","-")</f>
        <v>vmpfbpf2ohm08-apps-pcehr</v>
      </c>
      <c r="F269" s="66" t="s">
        <v>3248</v>
      </c>
      <c r="G269">
        <v>30</v>
      </c>
      <c r="H269" s="31">
        <f>MAX(NfsExports[[#This Row],[Required Quota (GB)]],100)</f>
        <v>100</v>
      </c>
      <c r="I269">
        <v>12.8</v>
      </c>
      <c r="K269" s="66" t="s">
        <v>3249</v>
      </c>
      <c r="M26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10.98.72.87</v>
      </c>
      <c r="N269" t="str" cm="1">
        <f t="array" ref="N269">_xlfn.TEXTJOIN(",",TRUE,IF(NfsExports[[#This Row],[FMO Volume Name]]=NfsExportsVNets[FMO Volume Name],NfsExportsVNets[FMO Vnet Subnet],""))</f>
        <v/>
      </c>
      <c r="O269" t="str" cm="1">
        <f t="array" ref="O269">_xlfn.TEXTJOIN(",",TRUE,IF(NfsExports[[#This Row],[FMO Volume Name]]=NfsExportsSubnets[FMO Volume Name],NfsExportsSubnets[FMO Subnet CIDR],""))</f>
        <v/>
      </c>
      <c r="P269" t="str" cm="1">
        <f t="array" ref="P269">IFERROR(_xlfn.TEXTJOIN(",",TRUE,_xlfn._xlws.FILTER(NfsExportsServices[FMO VM Name Summary],NfsExports[[#This Row],[FMO Volume Name]]=NfsExportsServices[FMO Volume Name])),"")</f>
        <v/>
      </c>
      <c r="Q269" s="31" t="str">
        <f>_xlfn.TEXTJOIN(",",TRUE,NfsExports[[#This Row],[FMO Export Override]:[FMO Export Service IPs]])</f>
        <v>10.98.72.87</v>
      </c>
      <c r="R269" s="31" t="str">
        <f>NfsExports[[#This Row],[FMO Mount Path Estimated]]&amp;" "&amp;NfsExports[[#This Row],[Required Quota (GB)]]&amp;"GB"</f>
        <v>/apps/pcehr 30GB</v>
      </c>
      <c r="S269" s="31" t="s">
        <v>3250</v>
      </c>
      <c r="T269" s="31" t="s">
        <v>4723</v>
      </c>
      <c r="U269" s="32" t="s">
        <v>4031</v>
      </c>
      <c r="V269">
        <v>12.8</v>
      </c>
      <c r="W269" s="31">
        <f>MAX(0,NfsExports[[#This Row],[Prospective throughput]]-(NfsExports[[#This Row],[Configured Quota (GB)]]*0.064))</f>
        <v>6.4</v>
      </c>
    </row>
    <row r="270" spans="1:23" x14ac:dyDescent="0.35">
      <c r="A270" s="138" t="s">
        <v>3199</v>
      </c>
      <c r="B270" s="138" t="s">
        <v>3216</v>
      </c>
      <c r="C270" t="s">
        <v>4032</v>
      </c>
      <c r="D270" t="s">
        <v>4033</v>
      </c>
      <c r="E270" s="31" t="str">
        <f>SUBSTITUTE(NfsExports[[#This Row],[FMO Volume Name]],"_","-")</f>
        <v>vmpfbpf2oho01-apps-pcehr</v>
      </c>
      <c r="F270" s="66" t="s">
        <v>3248</v>
      </c>
      <c r="G270">
        <v>30</v>
      </c>
      <c r="H270" s="31">
        <f>MAX(NfsExports[[#This Row],[Required Quota (GB)]],100)</f>
        <v>100</v>
      </c>
      <c r="I270">
        <v>12.8</v>
      </c>
      <c r="K270" s="66" t="s">
        <v>3249</v>
      </c>
      <c r="M27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10.98.72.88</v>
      </c>
      <c r="N270" t="str" cm="1">
        <f t="array" ref="N270">_xlfn.TEXTJOIN(",",TRUE,IF(NfsExports[[#This Row],[FMO Volume Name]]=NfsExportsVNets[FMO Volume Name],NfsExportsVNets[FMO Vnet Subnet],""))</f>
        <v/>
      </c>
      <c r="O270" t="str" cm="1">
        <f t="array" ref="O270">_xlfn.TEXTJOIN(",",TRUE,IF(NfsExports[[#This Row],[FMO Volume Name]]=NfsExportsSubnets[FMO Volume Name],NfsExportsSubnets[FMO Subnet CIDR],""))</f>
        <v/>
      </c>
      <c r="P270" t="str" cm="1">
        <f t="array" ref="P270">IFERROR(_xlfn.TEXTJOIN(",",TRUE,_xlfn._xlws.FILTER(NfsExportsServices[FMO VM Name Summary],NfsExports[[#This Row],[FMO Volume Name]]=NfsExportsServices[FMO Volume Name])),"")</f>
        <v/>
      </c>
      <c r="Q270" s="31" t="str">
        <f>_xlfn.TEXTJOIN(",",TRUE,NfsExports[[#This Row],[FMO Export Override]:[FMO Export Service IPs]])</f>
        <v>10.98.72.88</v>
      </c>
      <c r="R270" s="31" t="str">
        <f>NfsExports[[#This Row],[FMO Mount Path Estimated]]&amp;" "&amp;NfsExports[[#This Row],[Required Quota (GB)]]&amp;"GB"</f>
        <v>/apps/pcehr 30GB</v>
      </c>
      <c r="S270" s="31" t="s">
        <v>3250</v>
      </c>
      <c r="T270" s="31" t="s">
        <v>4723</v>
      </c>
      <c r="U270" s="32" t="s">
        <v>4034</v>
      </c>
      <c r="V270">
        <v>12.8</v>
      </c>
      <c r="W270" s="31">
        <f>MAX(0,NfsExports[[#This Row],[Prospective throughput]]-(NfsExports[[#This Row],[Configured Quota (GB)]]*0.064))</f>
        <v>6.4</v>
      </c>
    </row>
    <row r="271" spans="1:23" x14ac:dyDescent="0.35">
      <c r="A271" s="138" t="s">
        <v>3199</v>
      </c>
      <c r="B271" s="138" t="s">
        <v>3216</v>
      </c>
      <c r="C271" t="s">
        <v>4035</v>
      </c>
      <c r="D271" t="s">
        <v>4036</v>
      </c>
      <c r="E271" s="31" t="str">
        <f>SUBSTITUTE(NfsExports[[#This Row],[FMO Volume Name]],"_","-")</f>
        <v>vmpfbpf2oho02-apps-pcehr</v>
      </c>
      <c r="F271" s="66" t="s">
        <v>3248</v>
      </c>
      <c r="G271">
        <v>30</v>
      </c>
      <c r="H271" s="31">
        <f>MAX(NfsExports[[#This Row],[Required Quota (GB)]],100)</f>
        <v>100</v>
      </c>
      <c r="I271">
        <v>12.8</v>
      </c>
      <c r="K271" s="66" t="s">
        <v>3249</v>
      </c>
      <c r="M27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10.98.72.89</v>
      </c>
      <c r="N271" t="str" cm="1">
        <f t="array" ref="N271">_xlfn.TEXTJOIN(",",TRUE,IF(NfsExports[[#This Row],[FMO Volume Name]]=NfsExportsVNets[FMO Volume Name],NfsExportsVNets[FMO Vnet Subnet],""))</f>
        <v/>
      </c>
      <c r="O271" t="str" cm="1">
        <f t="array" ref="O271">_xlfn.TEXTJOIN(",",TRUE,IF(NfsExports[[#This Row],[FMO Volume Name]]=NfsExportsSubnets[FMO Volume Name],NfsExportsSubnets[FMO Subnet CIDR],""))</f>
        <v/>
      </c>
      <c r="P271" t="str" cm="1">
        <f t="array" ref="P271">IFERROR(_xlfn.TEXTJOIN(",",TRUE,_xlfn._xlws.FILTER(NfsExportsServices[FMO VM Name Summary],NfsExports[[#This Row],[FMO Volume Name]]=NfsExportsServices[FMO Volume Name])),"")</f>
        <v/>
      </c>
      <c r="Q271" s="31" t="str">
        <f>_xlfn.TEXTJOIN(",",TRUE,NfsExports[[#This Row],[FMO Export Override]:[FMO Export Service IPs]])</f>
        <v>10.98.72.89</v>
      </c>
      <c r="R271" s="31" t="str">
        <f>NfsExports[[#This Row],[FMO Mount Path Estimated]]&amp;" "&amp;NfsExports[[#This Row],[Required Quota (GB)]]&amp;"GB"</f>
        <v>/apps/pcehr 30GB</v>
      </c>
      <c r="S271" s="31" t="s">
        <v>3250</v>
      </c>
      <c r="T271" s="31" t="s">
        <v>4723</v>
      </c>
      <c r="U271" s="32" t="s">
        <v>4037</v>
      </c>
      <c r="V271">
        <v>12.8</v>
      </c>
      <c r="W271" s="31">
        <f>MAX(0,NfsExports[[#This Row],[Prospective throughput]]-(NfsExports[[#This Row],[Configured Quota (GB)]]*0.064))</f>
        <v>6.4</v>
      </c>
    </row>
    <row r="272" spans="1:23" x14ac:dyDescent="0.35">
      <c r="A272" s="138" t="s">
        <v>3199</v>
      </c>
      <c r="B272" s="138" t="s">
        <v>3216</v>
      </c>
      <c r="C272" t="s">
        <v>4038</v>
      </c>
      <c r="D272" t="s">
        <v>4039</v>
      </c>
      <c r="E272" s="31" t="str">
        <f>SUBSTITUTE(NfsExports[[#This Row],[FMO Volume Name]],"_","-")</f>
        <v>vmpfbpf2oho03-apps-pcehr</v>
      </c>
      <c r="F272" s="66" t="s">
        <v>3248</v>
      </c>
      <c r="G272">
        <v>30</v>
      </c>
      <c r="H272" s="31">
        <f>MAX(NfsExports[[#This Row],[Required Quota (GB)]],100)</f>
        <v>100</v>
      </c>
      <c r="I272">
        <v>12.8</v>
      </c>
      <c r="K272" s="66" t="s">
        <v>3249</v>
      </c>
      <c r="M27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10.98.72.90</v>
      </c>
      <c r="N272" t="str" cm="1">
        <f t="array" ref="N272">_xlfn.TEXTJOIN(",",TRUE,IF(NfsExports[[#This Row],[FMO Volume Name]]=NfsExportsVNets[FMO Volume Name],NfsExportsVNets[FMO Vnet Subnet],""))</f>
        <v/>
      </c>
      <c r="O272" t="str" cm="1">
        <f t="array" ref="O272">_xlfn.TEXTJOIN(",",TRUE,IF(NfsExports[[#This Row],[FMO Volume Name]]=NfsExportsSubnets[FMO Volume Name],NfsExportsSubnets[FMO Subnet CIDR],""))</f>
        <v/>
      </c>
      <c r="P272" t="str" cm="1">
        <f t="array" ref="P272">IFERROR(_xlfn.TEXTJOIN(",",TRUE,_xlfn._xlws.FILTER(NfsExportsServices[FMO VM Name Summary],NfsExports[[#This Row],[FMO Volume Name]]=NfsExportsServices[FMO Volume Name])),"")</f>
        <v/>
      </c>
      <c r="Q272" s="31" t="str">
        <f>_xlfn.TEXTJOIN(",",TRUE,NfsExports[[#This Row],[FMO Export Override]:[FMO Export Service IPs]])</f>
        <v>10.98.72.90</v>
      </c>
      <c r="R272" s="31" t="str">
        <f>NfsExports[[#This Row],[FMO Mount Path Estimated]]&amp;" "&amp;NfsExports[[#This Row],[Required Quota (GB)]]&amp;"GB"</f>
        <v>/apps/pcehr 30GB</v>
      </c>
      <c r="S272" s="31" t="s">
        <v>3250</v>
      </c>
      <c r="T272" s="31" t="s">
        <v>4723</v>
      </c>
      <c r="U272" s="32" t="s">
        <v>4040</v>
      </c>
      <c r="V272">
        <v>12.8</v>
      </c>
      <c r="W272" s="31">
        <f>MAX(0,NfsExports[[#This Row],[Prospective throughput]]-(NfsExports[[#This Row],[Configured Quota (GB)]]*0.064))</f>
        <v>6.4</v>
      </c>
    </row>
    <row r="273" spans="1:23" x14ac:dyDescent="0.35">
      <c r="A273" s="138" t="s">
        <v>3199</v>
      </c>
      <c r="B273" s="138" t="s">
        <v>3216</v>
      </c>
      <c r="C273" t="s">
        <v>4041</v>
      </c>
      <c r="D273" t="s">
        <v>4042</v>
      </c>
      <c r="E273" s="31" t="str">
        <f>SUBSTITUTE(NfsExports[[#This Row],[FMO Volume Name]],"_","-")</f>
        <v>vmpfbpf2oho04-apps-pcehr</v>
      </c>
      <c r="F273" s="66" t="s">
        <v>3248</v>
      </c>
      <c r="G273">
        <v>30</v>
      </c>
      <c r="H273" s="31">
        <f>MAX(NfsExports[[#This Row],[Required Quota (GB)]],100)</f>
        <v>100</v>
      </c>
      <c r="I273">
        <v>12.8</v>
      </c>
      <c r="K273" s="66" t="s">
        <v>3249</v>
      </c>
      <c r="M27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10.98.72.91</v>
      </c>
      <c r="N273" t="str" cm="1">
        <f t="array" ref="N273">_xlfn.TEXTJOIN(",",TRUE,IF(NfsExports[[#This Row],[FMO Volume Name]]=NfsExportsVNets[FMO Volume Name],NfsExportsVNets[FMO Vnet Subnet],""))</f>
        <v/>
      </c>
      <c r="O273" t="str" cm="1">
        <f t="array" ref="O273">_xlfn.TEXTJOIN(",",TRUE,IF(NfsExports[[#This Row],[FMO Volume Name]]=NfsExportsSubnets[FMO Volume Name],NfsExportsSubnets[FMO Subnet CIDR],""))</f>
        <v/>
      </c>
      <c r="P273" t="str" cm="1">
        <f t="array" ref="P273">IFERROR(_xlfn.TEXTJOIN(",",TRUE,_xlfn._xlws.FILTER(NfsExportsServices[FMO VM Name Summary],NfsExports[[#This Row],[FMO Volume Name]]=NfsExportsServices[FMO Volume Name])),"")</f>
        <v/>
      </c>
      <c r="Q273" s="31" t="str">
        <f>_xlfn.TEXTJOIN(",",TRUE,NfsExports[[#This Row],[FMO Export Override]:[FMO Export Service IPs]])</f>
        <v>10.98.72.91</v>
      </c>
      <c r="R273" s="31" t="str">
        <f>NfsExports[[#This Row],[FMO Mount Path Estimated]]&amp;" "&amp;NfsExports[[#This Row],[Required Quota (GB)]]&amp;"GB"</f>
        <v>/apps/pcehr 30GB</v>
      </c>
      <c r="S273" s="31" t="s">
        <v>3250</v>
      </c>
      <c r="T273" s="31" t="s">
        <v>4723</v>
      </c>
      <c r="U273" s="32" t="s">
        <v>4043</v>
      </c>
      <c r="V273">
        <v>12.8</v>
      </c>
      <c r="W273" s="31">
        <f>MAX(0,NfsExports[[#This Row],[Prospective throughput]]-(NfsExports[[#This Row],[Configured Quota (GB)]]*0.064))</f>
        <v>6.4</v>
      </c>
    </row>
    <row r="274" spans="1:23" x14ac:dyDescent="0.35">
      <c r="A274" s="138" t="s">
        <v>3199</v>
      </c>
      <c r="B274" s="138" t="s">
        <v>3216</v>
      </c>
      <c r="C274" t="s">
        <v>4044</v>
      </c>
      <c r="D274" t="s">
        <v>4045</v>
      </c>
      <c r="E274" s="31" t="str">
        <f>SUBSTITUTE(NfsExports[[#This Row],[FMO Volume Name]],"_","-")</f>
        <v>vmpfbpf2oho05-apps-pcehr</v>
      </c>
      <c r="F274" s="66" t="s">
        <v>3248</v>
      </c>
      <c r="G274">
        <v>30</v>
      </c>
      <c r="H274" s="31">
        <f>MAX(NfsExports[[#This Row],[Required Quota (GB)]],100)</f>
        <v>100</v>
      </c>
      <c r="I274">
        <v>12.8</v>
      </c>
      <c r="K274" s="66" t="s">
        <v>3249</v>
      </c>
      <c r="M27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10.98.72.92</v>
      </c>
      <c r="N274" t="str" cm="1">
        <f t="array" ref="N274">_xlfn.TEXTJOIN(",",TRUE,IF(NfsExports[[#This Row],[FMO Volume Name]]=NfsExportsVNets[FMO Volume Name],NfsExportsVNets[FMO Vnet Subnet],""))</f>
        <v/>
      </c>
      <c r="O274" t="str" cm="1">
        <f t="array" ref="O274">_xlfn.TEXTJOIN(",",TRUE,IF(NfsExports[[#This Row],[FMO Volume Name]]=NfsExportsSubnets[FMO Volume Name],NfsExportsSubnets[FMO Subnet CIDR],""))</f>
        <v/>
      </c>
      <c r="P274" t="str" cm="1">
        <f t="array" ref="P274">IFERROR(_xlfn.TEXTJOIN(",",TRUE,_xlfn._xlws.FILTER(NfsExportsServices[FMO VM Name Summary],NfsExports[[#This Row],[FMO Volume Name]]=NfsExportsServices[FMO Volume Name])),"")</f>
        <v/>
      </c>
      <c r="Q274" s="31" t="str">
        <f>_xlfn.TEXTJOIN(",",TRUE,NfsExports[[#This Row],[FMO Export Override]:[FMO Export Service IPs]])</f>
        <v>10.98.72.92</v>
      </c>
      <c r="R274" s="31" t="str">
        <f>NfsExports[[#This Row],[FMO Mount Path Estimated]]&amp;" "&amp;NfsExports[[#This Row],[Required Quota (GB)]]&amp;"GB"</f>
        <v>/apps/pcehr 30GB</v>
      </c>
      <c r="S274" s="31" t="s">
        <v>3250</v>
      </c>
      <c r="T274" s="31" t="s">
        <v>4723</v>
      </c>
      <c r="U274" s="32" t="s">
        <v>4046</v>
      </c>
      <c r="V274">
        <v>12.8</v>
      </c>
      <c r="W274" s="31">
        <f>MAX(0,NfsExports[[#This Row],[Prospective throughput]]-(NfsExports[[#This Row],[Configured Quota (GB)]]*0.064))</f>
        <v>6.4</v>
      </c>
    </row>
    <row r="275" spans="1:23" x14ac:dyDescent="0.35">
      <c r="A275" s="138" t="s">
        <v>3199</v>
      </c>
      <c r="B275" s="138" t="s">
        <v>3216</v>
      </c>
      <c r="C275" t="s">
        <v>4047</v>
      </c>
      <c r="D275" t="s">
        <v>4048</v>
      </c>
      <c r="E275" s="79" t="str">
        <f>SUBSTITUTE(NfsExports[[#This Row],[FMO Volume Name]],"_","-")</f>
        <v>vmpfbpf2oho06-apps-pcehr</v>
      </c>
      <c r="F275" s="66" t="s">
        <v>3248</v>
      </c>
      <c r="G275">
        <v>30</v>
      </c>
      <c r="H275" s="79">
        <f>MAX(NfsExports[[#This Row],[Required Quota (GB)]],100)</f>
        <v>100</v>
      </c>
      <c r="I275">
        <v>12.8</v>
      </c>
      <c r="K275" s="66" t="s">
        <v>3249</v>
      </c>
      <c r="M275" s="79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10.98.72.93</v>
      </c>
      <c r="N275" t="str" cm="1">
        <f t="array" ref="N275">_xlfn.TEXTJOIN(",",TRUE,IF(NfsExports[[#This Row],[FMO Volume Name]]=NfsExportsVNets[FMO Volume Name],NfsExportsVNets[FMO Vnet Subnet],""))</f>
        <v/>
      </c>
      <c r="O275" t="str" cm="1">
        <f t="array" ref="O275">_xlfn.TEXTJOIN(",",TRUE,IF(NfsExports[[#This Row],[FMO Volume Name]]=NfsExportsSubnets[FMO Volume Name],NfsExportsSubnets[FMO Subnet CIDR],""))</f>
        <v/>
      </c>
      <c r="P275" t="str" cm="1">
        <f t="array" ref="P275">IFERROR(_xlfn.TEXTJOIN(",",TRUE,_xlfn._xlws.FILTER(NfsExportsServices[FMO VM Name Summary],NfsExports[[#This Row],[FMO Volume Name]]=NfsExportsServices[FMO Volume Name])),"")</f>
        <v/>
      </c>
      <c r="Q275" s="79" t="str">
        <f>_xlfn.TEXTJOIN(",",TRUE,NfsExports[[#This Row],[FMO Export Override]:[FMO Export Service IPs]])</f>
        <v>10.98.72.93</v>
      </c>
      <c r="R275" s="79" t="str">
        <f>NfsExports[[#This Row],[FMO Mount Path Estimated]]&amp;" "&amp;NfsExports[[#This Row],[Required Quota (GB)]]&amp;"GB"</f>
        <v>/apps/pcehr 30GB</v>
      </c>
      <c r="S275" s="31" t="s">
        <v>3250</v>
      </c>
      <c r="T275" s="31" t="s">
        <v>4723</v>
      </c>
      <c r="U275" s="32" t="s">
        <v>4049</v>
      </c>
      <c r="V275">
        <v>12.8</v>
      </c>
      <c r="W275" s="31">
        <f>MAX(0,NfsExports[[#This Row],[Prospective throughput]]-(NfsExports[[#This Row],[Configured Quota (GB)]]*0.064))</f>
        <v>6.4</v>
      </c>
    </row>
    <row r="276" spans="1:23" x14ac:dyDescent="0.35">
      <c r="A276" s="138" t="s">
        <v>3199</v>
      </c>
      <c r="B276" s="138" t="s">
        <v>3216</v>
      </c>
      <c r="C276" s="95" t="s">
        <v>4050</v>
      </c>
      <c r="D276" t="s">
        <v>4051</v>
      </c>
      <c r="E276" s="79" t="str">
        <f>SUBSTITUTE(NfsExports[[#This Row],[FMO Volume Name]],"_","-")</f>
        <v>vmpfbpf2aea01-apps-pcehr</v>
      </c>
      <c r="F276" s="66" t="s">
        <v>3248</v>
      </c>
      <c r="G276">
        <v>100</v>
      </c>
      <c r="H276" s="79">
        <f>MAX(NfsExports[[#This Row],[Required Quota (GB)]],100)</f>
        <v>100</v>
      </c>
      <c r="I276">
        <v>12.8</v>
      </c>
      <c r="K276" s="66" t="s">
        <v>3249</v>
      </c>
      <c r="M276" s="79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10.98.73.4</v>
      </c>
      <c r="N276" t="str" cm="1">
        <f t="array" ref="N276">_xlfn.TEXTJOIN(",",TRUE,IF(NfsExports[[#This Row],[FMO Volume Name]]=NfsExportsVNets[FMO Volume Name],NfsExportsVNets[FMO Vnet Subnet],""))</f>
        <v/>
      </c>
      <c r="O276" t="str" cm="1">
        <f t="array" ref="O276">_xlfn.TEXTJOIN(",",TRUE,IF(NfsExports[[#This Row],[FMO Volume Name]]=NfsExportsSubnets[FMO Volume Name],NfsExportsSubnets[FMO Subnet CIDR],""))</f>
        <v/>
      </c>
      <c r="P276" t="str" cm="1">
        <f t="array" ref="P276">IFERROR(_xlfn.TEXTJOIN(",",TRUE,_xlfn._xlws.FILTER(NfsExportsServices[FMO VM Name Summary],NfsExports[[#This Row],[FMO Volume Name]]=NfsExportsServices[FMO Volume Name])),"")</f>
        <v/>
      </c>
      <c r="Q276" s="79" t="str">
        <f>_xlfn.TEXTJOIN(",",TRUE,NfsExports[[#This Row],[FMO Export Override]:[FMO Export Service IPs]])</f>
        <v>10.98.73.4</v>
      </c>
      <c r="R276" s="79" t="str">
        <f>NfsExports[[#This Row],[FMO Mount Path Estimated]]&amp;" "&amp;NfsExports[[#This Row],[Required Quota (GB)]]&amp;"GB"</f>
        <v>/apps/pcehr 100GB</v>
      </c>
      <c r="S276" s="31" t="s">
        <v>3250</v>
      </c>
      <c r="T276" s="31" t="s">
        <v>4723</v>
      </c>
      <c r="U276" s="32" t="s">
        <v>4052</v>
      </c>
      <c r="V276">
        <v>12.8</v>
      </c>
      <c r="W276" s="31">
        <f>MAX(0,NfsExports[[#This Row],[Prospective throughput]]-(NfsExports[[#This Row],[Configured Quota (GB)]]*0.064))</f>
        <v>6.4</v>
      </c>
    </row>
    <row r="277" spans="1:23" x14ac:dyDescent="0.35">
      <c r="A277" s="138" t="s">
        <v>3199</v>
      </c>
      <c r="B277" s="138" t="s">
        <v>3216</v>
      </c>
      <c r="C277" t="s">
        <v>4053</v>
      </c>
      <c r="D277" s="66" t="s">
        <v>4054</v>
      </c>
      <c r="E277" s="31" t="str">
        <f>SUBSTITUTE(NfsExports[[#This Row],[FMO Volume Name]],"_","-")</f>
        <v>vmpfbpf2opt01-apps-pcehr</v>
      </c>
      <c r="F277" s="66" t="s">
        <v>3248</v>
      </c>
      <c r="G277">
        <v>30</v>
      </c>
      <c r="H277" s="31">
        <f>MAX(NfsExports[[#This Row],[Required Quota (GB)]],100)</f>
        <v>100</v>
      </c>
      <c r="I277">
        <v>12.8</v>
      </c>
      <c r="K277" s="66" t="s">
        <v>3249</v>
      </c>
      <c r="M27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10.98.73.174</v>
      </c>
      <c r="N277" t="str" cm="1">
        <f t="array" ref="N277">_xlfn.TEXTJOIN(",",TRUE,IF(NfsExports[[#This Row],[FMO Volume Name]]=NfsExportsVNets[FMO Volume Name],NfsExportsVNets[FMO Vnet Subnet],""))</f>
        <v/>
      </c>
      <c r="O277" t="str" cm="1">
        <f t="array" ref="O277">_xlfn.TEXTJOIN(",",TRUE,IF(NfsExports[[#This Row],[FMO Volume Name]]=NfsExportsSubnets[FMO Volume Name],NfsExportsSubnets[FMO Subnet CIDR],""))</f>
        <v/>
      </c>
      <c r="P277" t="str" cm="1">
        <f t="array" ref="P277">IFERROR(_xlfn.TEXTJOIN(",",TRUE,_xlfn._xlws.FILTER(NfsExportsServices[FMO VM Name Summary],NfsExports[[#This Row],[FMO Volume Name]]=NfsExportsServices[FMO Volume Name])),"")</f>
        <v/>
      </c>
      <c r="Q277" s="31" t="str">
        <f>_xlfn.TEXTJOIN(",",TRUE,NfsExports[[#This Row],[FMO Export Override]:[FMO Export Service IPs]])</f>
        <v>10.98.73.174</v>
      </c>
      <c r="R277" s="31" t="str">
        <f>NfsExports[[#This Row],[FMO Mount Path Estimated]]&amp;" "&amp;NfsExports[[#This Row],[Required Quota (GB)]]&amp;"GB"</f>
        <v>/apps/pcehr 30GB</v>
      </c>
      <c r="S277" s="31" t="s">
        <v>3250</v>
      </c>
      <c r="T277" s="31" t="s">
        <v>4723</v>
      </c>
      <c r="U277" s="32" t="s">
        <v>4055</v>
      </c>
      <c r="V277">
        <v>12.8</v>
      </c>
      <c r="W277" s="31">
        <f>MAX(0,NfsExports[[#This Row],[Prospective throughput]]-(NfsExports[[#This Row],[Configured Quota (GB)]]*0.064))</f>
        <v>6.4</v>
      </c>
    </row>
    <row r="278" spans="1:23" x14ac:dyDescent="0.35">
      <c r="A278" s="138" t="s">
        <v>3199</v>
      </c>
      <c r="B278" s="138" t="s">
        <v>3216</v>
      </c>
      <c r="C278" t="s">
        <v>4056</v>
      </c>
      <c r="D278" t="s">
        <v>4057</v>
      </c>
      <c r="E278" s="31" t="str">
        <f>SUBSTITUTE(NfsExports[[#This Row],[FMO Volume Name]],"_","-")</f>
        <v>vmpfbpf2nes03-apps-pcehr</v>
      </c>
      <c r="F278" s="66" t="s">
        <v>3248</v>
      </c>
      <c r="G278">
        <v>30</v>
      </c>
      <c r="H278" s="31">
        <f>MAX(NfsExports[[#This Row],[Required Quota (GB)]],100)</f>
        <v>100</v>
      </c>
      <c r="I278">
        <v>12.8</v>
      </c>
      <c r="K278" s="66" t="s">
        <v>3249</v>
      </c>
      <c r="M27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10.98.74.24</v>
      </c>
      <c r="N278" t="str" cm="1">
        <f t="array" ref="N278">_xlfn.TEXTJOIN(",",TRUE,IF(NfsExports[[#This Row],[FMO Volume Name]]=NfsExportsVNets[FMO Volume Name],NfsExportsVNets[FMO Vnet Subnet],""))</f>
        <v/>
      </c>
      <c r="O278" t="str" cm="1">
        <f t="array" ref="O278">_xlfn.TEXTJOIN(",",TRUE,IF(NfsExports[[#This Row],[FMO Volume Name]]=NfsExportsSubnets[FMO Volume Name],NfsExportsSubnets[FMO Subnet CIDR],""))</f>
        <v/>
      </c>
      <c r="P278" t="str" cm="1">
        <f t="array" ref="P278">IFERROR(_xlfn.TEXTJOIN(",",TRUE,_xlfn._xlws.FILTER(NfsExportsServices[FMO VM Name Summary],NfsExports[[#This Row],[FMO Volume Name]]=NfsExportsServices[FMO Volume Name])),"")</f>
        <v/>
      </c>
      <c r="Q278" s="31" t="str">
        <f>_xlfn.TEXTJOIN(",",TRUE,NfsExports[[#This Row],[FMO Export Override]:[FMO Export Service IPs]])</f>
        <v>10.98.74.24</v>
      </c>
      <c r="R278" s="31" t="str">
        <f>NfsExports[[#This Row],[FMO Mount Path Estimated]]&amp;" "&amp;NfsExports[[#This Row],[Required Quota (GB)]]&amp;"GB"</f>
        <v>/apps/pcehr 30GB</v>
      </c>
      <c r="S278" s="31" t="s">
        <v>3250</v>
      </c>
      <c r="T278" s="31" t="s">
        <v>4723</v>
      </c>
      <c r="U278" s="32" t="s">
        <v>4058</v>
      </c>
      <c r="V278">
        <v>12.8</v>
      </c>
      <c r="W278" s="31">
        <f>MAX(0,NfsExports[[#This Row],[Prospective throughput]]-(NfsExports[[#This Row],[Configured Quota (GB)]]*0.064))</f>
        <v>6.4</v>
      </c>
    </row>
    <row r="279" spans="1:23" x14ac:dyDescent="0.35">
      <c r="A279" s="138" t="s">
        <v>3199</v>
      </c>
      <c r="B279" s="138" t="s">
        <v>3216</v>
      </c>
      <c r="C279" s="96" t="s">
        <v>4059</v>
      </c>
      <c r="D279" t="s">
        <v>4060</v>
      </c>
      <c r="E279" s="79" t="str">
        <f>SUBSTITUTE(NfsExports[[#This Row],[FMO Volume Name]],"_","-")</f>
        <v>vmpfbpf2nes03-opt</v>
      </c>
      <c r="F279" t="s">
        <v>3769</v>
      </c>
      <c r="G279">
        <v>30</v>
      </c>
      <c r="H279" s="79">
        <f>MAX(NfsExports[[#This Row],[Required Quota (GB)]],100)</f>
        <v>100</v>
      </c>
      <c r="I279">
        <v>12.8</v>
      </c>
      <c r="K279" s="66" t="s">
        <v>3249</v>
      </c>
      <c r="M279" s="79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10.98.74.24</v>
      </c>
      <c r="N279" t="str" cm="1">
        <f t="array" ref="N279">_xlfn.TEXTJOIN(",",TRUE,IF(NfsExports[[#This Row],[FMO Volume Name]]=NfsExportsVNets[FMO Volume Name],NfsExportsVNets[FMO Vnet Subnet],""))</f>
        <v/>
      </c>
      <c r="O279" t="str" cm="1">
        <f t="array" ref="O279">_xlfn.TEXTJOIN(",",TRUE,IF(NfsExports[[#This Row],[FMO Volume Name]]=NfsExportsSubnets[FMO Volume Name],NfsExportsSubnets[FMO Subnet CIDR],""))</f>
        <v/>
      </c>
      <c r="P279" t="str" cm="1">
        <f t="array" ref="P279">IFERROR(_xlfn.TEXTJOIN(",",TRUE,_xlfn._xlws.FILTER(NfsExportsServices[FMO VM Name Summary],NfsExports[[#This Row],[FMO Volume Name]]=NfsExportsServices[FMO Volume Name])),"")</f>
        <v/>
      </c>
      <c r="Q279" s="79" t="str">
        <f>_xlfn.TEXTJOIN(",",TRUE,NfsExports[[#This Row],[FMO Export Override]:[FMO Export Service IPs]])</f>
        <v>10.98.74.24</v>
      </c>
      <c r="R279" s="79" t="str">
        <f>NfsExports[[#This Row],[FMO Mount Path Estimated]]&amp;" "&amp;NfsExports[[#This Row],[Required Quota (GB)]]&amp;"GB"</f>
        <v>/opt 30GB</v>
      </c>
      <c r="S279" s="31" t="s">
        <v>3250</v>
      </c>
      <c r="T279" s="31" t="s">
        <v>4723</v>
      </c>
      <c r="U279" s="32" t="s">
        <v>4061</v>
      </c>
      <c r="V279">
        <v>12.8</v>
      </c>
      <c r="W279" s="31">
        <f>MAX(0,NfsExports[[#This Row],[Prospective throughput]]-(NfsExports[[#This Row],[Configured Quota (GB)]]*0.064))</f>
        <v>6.4</v>
      </c>
    </row>
    <row r="280" spans="1:23" x14ac:dyDescent="0.35">
      <c r="A280" s="138" t="s">
        <v>3199</v>
      </c>
      <c r="B280" s="138" t="s">
        <v>3216</v>
      </c>
      <c r="C280" t="s">
        <v>4062</v>
      </c>
      <c r="D280" t="s">
        <v>4063</v>
      </c>
      <c r="E280" s="31" t="str">
        <f>SUBSTITUTE(NfsExports[[#This Row],[FMO Volume Name]],"_","-")</f>
        <v>vmpfbpf2nes02-apps-pcehr</v>
      </c>
      <c r="F280" s="66" t="s">
        <v>3248</v>
      </c>
      <c r="G280">
        <v>30</v>
      </c>
      <c r="H280" s="31">
        <f>MAX(NfsExports[[#This Row],[Required Quota (GB)]],100)</f>
        <v>100</v>
      </c>
      <c r="I280">
        <v>12.8</v>
      </c>
      <c r="K280" s="66" t="s">
        <v>3249</v>
      </c>
      <c r="M28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10.98.73.96</v>
      </c>
      <c r="N280" t="str" cm="1">
        <f t="array" ref="N280">_xlfn.TEXTJOIN(",",TRUE,IF(NfsExports[[#This Row],[FMO Volume Name]]=NfsExportsVNets[FMO Volume Name],NfsExportsVNets[FMO Vnet Subnet],""))</f>
        <v/>
      </c>
      <c r="O280" t="str" cm="1">
        <f t="array" ref="O280">_xlfn.TEXTJOIN(",",TRUE,IF(NfsExports[[#This Row],[FMO Volume Name]]=NfsExportsSubnets[FMO Volume Name],NfsExportsSubnets[FMO Subnet CIDR],""))</f>
        <v/>
      </c>
      <c r="P280" t="str" cm="1">
        <f t="array" ref="P280">IFERROR(_xlfn.TEXTJOIN(",",TRUE,_xlfn._xlws.FILTER(NfsExportsServices[FMO VM Name Summary],NfsExports[[#This Row],[FMO Volume Name]]=NfsExportsServices[FMO Volume Name])),"")</f>
        <v/>
      </c>
      <c r="Q280" s="31" t="str">
        <f>_xlfn.TEXTJOIN(",",TRUE,NfsExports[[#This Row],[FMO Export Override]:[FMO Export Service IPs]])</f>
        <v>10.98.73.96</v>
      </c>
      <c r="R280" s="31" t="str">
        <f>NfsExports[[#This Row],[FMO Mount Path Estimated]]&amp;" "&amp;NfsExports[[#This Row],[Required Quota (GB)]]&amp;"GB"</f>
        <v>/apps/pcehr 30GB</v>
      </c>
      <c r="S280" s="31" t="s">
        <v>3250</v>
      </c>
      <c r="T280" s="31" t="s">
        <v>4723</v>
      </c>
      <c r="U280" s="32" t="s">
        <v>4064</v>
      </c>
      <c r="V280">
        <v>12.8</v>
      </c>
      <c r="W280" s="79">
        <f>MAX(0,NfsExports[[#This Row],[Prospective throughput]]-(NfsExports[[#This Row],[Configured Quota (GB)]]*0.064))</f>
        <v>6.4</v>
      </c>
    </row>
  </sheetData>
  <phoneticPr fontId="13" type="noConversion"/>
  <conditionalFormatting sqref="D280">
    <cfRule type="duplicateValues" dxfId="52" priority="1"/>
  </conditionalFormatting>
  <conditionalFormatting sqref="D2:D5 D9:D185">
    <cfRule type="duplicateValues" dxfId="51" priority="6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A71C-FAE6-4813-8685-D09529C88961}">
  <sheetPr codeName="Sheet7"/>
  <dimension ref="A1:I52"/>
  <sheetViews>
    <sheetView topLeftCell="C1" workbookViewId="0">
      <selection activeCell="E11" sqref="E11"/>
    </sheetView>
  </sheetViews>
  <sheetFormatPr defaultRowHeight="14.5" x14ac:dyDescent="0.35"/>
  <cols>
    <col min="1" max="1" width="31.7265625" customWidth="1"/>
    <col min="2" max="2" width="23.453125" customWidth="1"/>
    <col min="3" max="3" width="31.453125" bestFit="1" customWidth="1"/>
    <col min="4" max="4" width="167.54296875" customWidth="1"/>
    <col min="5" max="5" width="46.7265625" customWidth="1"/>
    <col min="6" max="6" width="34.7265625" customWidth="1"/>
    <col min="8" max="8" width="113.54296875" bestFit="1" customWidth="1"/>
  </cols>
  <sheetData>
    <row r="1" spans="1:9" x14ac:dyDescent="0.35">
      <c r="A1" s="33" t="s">
        <v>3179</v>
      </c>
      <c r="B1" s="33" t="s">
        <v>4065</v>
      </c>
      <c r="C1" s="36" t="s">
        <v>4066</v>
      </c>
      <c r="D1" s="36" t="s">
        <v>4067</v>
      </c>
      <c r="E1" s="36" t="s">
        <v>4068</v>
      </c>
      <c r="F1" s="33" t="s">
        <v>3194</v>
      </c>
      <c r="G1" s="33" t="s">
        <v>4069</v>
      </c>
      <c r="H1" s="33" t="s">
        <v>4070</v>
      </c>
      <c r="I1" s="33" t="s">
        <v>4071</v>
      </c>
    </row>
    <row r="2" spans="1:9" x14ac:dyDescent="0.35">
      <c r="A2" s="100" t="s">
        <v>3212</v>
      </c>
      <c r="B2" t="s">
        <v>4072</v>
      </c>
      <c r="C2" t="str">
        <f>_xlfn.XLOOKUP(NfsExportsServices[[#This Row],[FMO Volume Name]],NfsExports[FMO Volume Name],NfsExports[FMO Export Summary],"")</f>
        <v>/apps/nfs/npt1qzone 60GB</v>
      </c>
      <c r="D2" t="str" cm="1">
        <f t="array" ref="D2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10.98.72.80,10.98.72.81,10.98.72.82,10.98.72.83,10.98.72.84,10.98.72.85,10.98.72.86,10.98.72.87</v>
      </c>
      <c r="E2" t="str">
        <f>_xlfn.XLOOKUP(NfsExportsServices[[#This Row],[FMO Volume Name]],NfsExports[FMO Volume Name],NfsExports[Actual Mount Info],"")</f>
        <v>10.98.89.4:/npt1qzone /apps/nfs/npt1qzone</v>
      </c>
      <c r="G2">
        <f>TYPE(NfsExportsServices[[#This Row],[FMO VM Name Summary]])</f>
        <v>2</v>
      </c>
      <c r="H2" t="str">
        <f>T(NfsExportsServices[[#This Row],[FMO VM Name Summary]])</f>
        <v>10.98.72.80,10.98.72.81,10.98.72.82,10.98.72.83,10.98.72.84,10.98.72.85,10.98.72.86,10.98.72.87</v>
      </c>
      <c r="I2">
        <f>LEN(NfsExportsServices[[#This Row],[FMO VM Name Summary]])</f>
        <v>95</v>
      </c>
    </row>
    <row r="3" spans="1:9" x14ac:dyDescent="0.35">
      <c r="A3" s="100" t="s">
        <v>3212</v>
      </c>
      <c r="B3" t="s">
        <v>4073</v>
      </c>
      <c r="C3" t="str">
        <f>_xlfn.XLOOKUP(NfsExportsServices[[#This Row],[FMO Volume Name]],NfsExports[FMO Volume Name],NfsExports[FMO Export Summary],"")</f>
        <v>/apps/nfs/npt1qzone 60GB</v>
      </c>
      <c r="D3" t="str" cm="1">
        <f t="array" ref="D3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10.98.72.88,10.98.72.89,10.98.72.90,10.98.72.91,10.98.72.92,10.98.72.93</v>
      </c>
      <c r="E3" t="str">
        <f>_xlfn.XLOOKUP(NfsExportsServices[[#This Row],[FMO Volume Name]],NfsExports[FMO Volume Name],NfsExports[Actual Mount Info],"")</f>
        <v>10.98.89.4:/npt1qzone /apps/nfs/npt1qzone</v>
      </c>
      <c r="G3">
        <f>TYPE(NfsExportsServices[[#This Row],[FMO VM Name Summary]])</f>
        <v>2</v>
      </c>
      <c r="H3" t="str">
        <f>T(NfsExportsServices[[#This Row],[FMO VM Name Summary]])</f>
        <v>10.98.72.88,10.98.72.89,10.98.72.90,10.98.72.91,10.98.72.92,10.98.72.93</v>
      </c>
      <c r="I3">
        <f>LEN(NfsExportsServices[[#This Row],[FMO VM Name Summary]])</f>
        <v>71</v>
      </c>
    </row>
    <row r="4" spans="1:9" x14ac:dyDescent="0.35">
      <c r="A4" s="100" t="s">
        <v>3212</v>
      </c>
      <c r="B4" t="s">
        <v>4074</v>
      </c>
      <c r="C4" t="str">
        <f>_xlfn.XLOOKUP(NfsExportsServices[[#This Row],[FMO Volume Name]],NfsExports[FMO Volume Name],NfsExports[FMO Export Summary],"")</f>
        <v>/apps/nfs/npt1qzone 60GB</v>
      </c>
      <c r="D4" t="str" cm="1">
        <f t="array" ref="D4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10.98.72.52,10.98.72.53,10.98.72.54,10.98.72.55,10.98.72.56,10.98.72.57</v>
      </c>
      <c r="E4" t="str">
        <f>_xlfn.XLOOKUP(NfsExportsServices[[#This Row],[FMO Volume Name]],NfsExports[FMO Volume Name],NfsExports[Actual Mount Info],"")</f>
        <v>10.98.89.4:/npt1qzone /apps/nfs/npt1qzone</v>
      </c>
      <c r="G4">
        <f>TYPE(NfsExportsServices[[#This Row],[FMO VM Name Summary]])</f>
        <v>2</v>
      </c>
      <c r="H4" t="str">
        <f>T(NfsExportsServices[[#This Row],[FMO VM Name Summary]])</f>
        <v>10.98.72.52,10.98.72.53,10.98.72.54,10.98.72.55,10.98.72.56,10.98.72.57</v>
      </c>
      <c r="I4">
        <f>LEN(NfsExportsServices[[#This Row],[FMO VM Name Summary]])</f>
        <v>71</v>
      </c>
    </row>
    <row r="5" spans="1:9" x14ac:dyDescent="0.35">
      <c r="A5" s="100" t="s">
        <v>3212</v>
      </c>
      <c r="B5" t="s">
        <v>4075</v>
      </c>
      <c r="C5" t="str">
        <f>_xlfn.XLOOKUP(NfsExportsServices[[#This Row],[FMO Volume Name]],NfsExports[FMO Volume Name],NfsExports[FMO Export Summary],"")</f>
        <v>/apps/nfs/npt1qzone 60GB</v>
      </c>
      <c r="D5" t="str" cm="1">
        <f t="array" ref="D5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10.98.72.58,10.98.72.59,10.98.72.60,10.98.72.61,10.98.72.62,10.98.72.63</v>
      </c>
      <c r="E5" t="str">
        <f>_xlfn.XLOOKUP(NfsExportsServices[[#This Row],[FMO Volume Name]],NfsExports[FMO Volume Name],NfsExports[Actual Mount Info],"")</f>
        <v>10.98.89.4:/npt1qzone /apps/nfs/npt1qzone</v>
      </c>
      <c r="G5">
        <f>TYPE(NfsExportsServices[[#This Row],[FMO VM Name Summary]])</f>
        <v>2</v>
      </c>
      <c r="H5" t="str">
        <f>T(NfsExportsServices[[#This Row],[FMO VM Name Summary]])</f>
        <v>10.98.72.58,10.98.72.59,10.98.72.60,10.98.72.61,10.98.72.62,10.98.72.63</v>
      </c>
      <c r="I5">
        <f>LEN(NfsExportsServices[[#This Row],[FMO VM Name Summary]])</f>
        <v>71</v>
      </c>
    </row>
    <row r="6" spans="1:9" x14ac:dyDescent="0.35">
      <c r="A6" s="100" t="s">
        <v>3212</v>
      </c>
      <c r="B6" t="s">
        <v>4076</v>
      </c>
      <c r="C6" t="str">
        <f>_xlfn.XLOOKUP(NfsExportsServices[[#This Row],[FMO Volume Name]],NfsExports[FMO Volume Name],NfsExports[FMO Export Summary],"")</f>
        <v>/apps/nfs/npt1qzone 60GB</v>
      </c>
      <c r="D6" t="str" cm="1">
        <f t="array" ref="D6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10.98.72.11,10.98.72.12,10.98.72.13,10.98.72.14,10.98.72.15,10.98.72.16,10.98.72.17,10.98.72.18</v>
      </c>
      <c r="E6" t="str">
        <f>_xlfn.XLOOKUP(NfsExportsServices[[#This Row],[FMO Volume Name]],NfsExports[FMO Volume Name],NfsExports[Actual Mount Info],"")</f>
        <v>10.98.89.4:/npt1qzone /apps/nfs/npt1qzone</v>
      </c>
      <c r="G6">
        <f>TYPE(NfsExportsServices[[#This Row],[FMO VM Name Summary]])</f>
        <v>2</v>
      </c>
      <c r="H6" t="str">
        <f>T(NfsExportsServices[[#This Row],[FMO VM Name Summary]])</f>
        <v>10.98.72.11,10.98.72.12,10.98.72.13,10.98.72.14,10.98.72.15,10.98.72.16,10.98.72.17,10.98.72.18</v>
      </c>
      <c r="I6">
        <f>LEN(NfsExportsServices[[#This Row],[FMO VM Name Summary]])</f>
        <v>95</v>
      </c>
    </row>
    <row r="7" spans="1:9" x14ac:dyDescent="0.35">
      <c r="A7" s="100" t="s">
        <v>3218</v>
      </c>
      <c r="B7" t="s">
        <v>4077</v>
      </c>
      <c r="C7" t="str">
        <f>_xlfn.XLOOKUP(NfsExportsServices[[#This Row],[FMO Volume Name]],NfsExports[FMO Volume Name],NfsExports[FMO Export Summary],"")</f>
        <v>/apps/nfs/npt2qzone_pfb 50GB</v>
      </c>
      <c r="D7" t="str" cm="1">
        <f t="array" ref="D7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73.23,10.98.73.24,10.98.73.25,10.98.73.26,10.98.73.27,10.98.73.28,10.98.73.29,10.98.73.30,10.98.73.31,10.98.73.32,10.98.73.33,10.98.73.34,10.98.73.35,10.98.73.36,10.98.73.37,10.98.73.38,10.98.73.39,10.98.73.40,10.98.73.41,10.98.73.42,10.98.73.43,10.98.73.44,10.98.73.45,10.98.73.46</v>
      </c>
      <c r="E7" t="str">
        <f>_xlfn.XLOOKUP(NfsExportsServices[[#This Row],[FMO Volume Name]],NfsExports[FMO Volume Name],NfsExports[Actual Mount Info],"")</f>
        <v>10.98.89.8:/npt2qzone_pfb/apps/nfs/npt2qzone_pfb</v>
      </c>
      <c r="G7">
        <f>TYPE(NfsExportsServices[[#This Row],[FMO VM Name Summary]])</f>
        <v>64</v>
      </c>
      <c r="H7" t="str">
        <f>T(NfsExportsServices[[#This Row],[FMO VM Name Summary]])</f>
        <v/>
      </c>
      <c r="I7">
        <f>LEN(NfsExportsServices[[#This Row],[FMO VM Name Summary]])</f>
        <v>287</v>
      </c>
    </row>
    <row r="8" spans="1:9" x14ac:dyDescent="0.35">
      <c r="A8" s="100" t="s">
        <v>3218</v>
      </c>
      <c r="B8" t="s">
        <v>4078</v>
      </c>
      <c r="C8" t="str">
        <f>_xlfn.XLOOKUP(NfsExportsServices[[#This Row],[FMO Volume Name]],NfsExports[FMO Volume Name],NfsExports[FMO Export Summary],"")</f>
        <v>/apps/nfs/npt2qzone_pfb 50GB</v>
      </c>
      <c r="D8" t="str" cm="1">
        <f t="array" ref="D8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73.143,10.98.73.144,10.98.73.145,10.98.73.146,10.98.73.147,10.98.73.148,10.98.73.149,10.98.73.150,10.98.73.151,10.98.73.152,10.98.73.153,10.98.73.154,10.98.73.155,10.98.73.156,10.98.73.157,10.98.73.158,10.98.73.159,10.98.73.160,10.98.73.161,10.98.73.162,10.98.73.163,10.98.73.164,10.98.73.165,10.98.73.166,10.98.73.167,10.98.73.168,10.98.73.169,10.98.73.170,10.98.73.171,10.98.73.172,10.98.73.173</v>
      </c>
      <c r="E8" t="str">
        <f>_xlfn.XLOOKUP(NfsExportsServices[[#This Row],[FMO Volume Name]],NfsExports[FMO Volume Name],NfsExports[Actual Mount Info],"")</f>
        <v>10.98.89.8:/npt2qzone_pfb/apps/nfs/npt2qzone_pfb</v>
      </c>
      <c r="G8">
        <f>TYPE(NfsExportsServices[[#This Row],[FMO VM Name Summary]])</f>
        <v>64</v>
      </c>
      <c r="H8" t="str">
        <f>T(NfsExportsServices[[#This Row],[FMO VM Name Summary]])</f>
        <v/>
      </c>
      <c r="I8">
        <f>LEN(NfsExportsServices[[#This Row],[FMO VM Name Summary]])</f>
        <v>402</v>
      </c>
    </row>
    <row r="9" spans="1:9" x14ac:dyDescent="0.35">
      <c r="A9" s="100" t="s">
        <v>3218</v>
      </c>
      <c r="B9" t="s">
        <v>4079</v>
      </c>
      <c r="C9" t="str">
        <f>_xlfn.XLOOKUP(NfsExportsServices[[#This Row],[FMO Volume Name]],NfsExports[FMO Volume Name],NfsExports[FMO Export Summary],"")</f>
        <v>/apps/nfs/npt2qzone_pfb 50GB</v>
      </c>
      <c r="D9" t="str" cm="1">
        <f t="array" ref="D9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10.98.73.175,10.98.73.176,10.98.73.177,10.98.73.178,10.98.73.179,10.98.73.180,10.98.73.181,10.98.73.182,10.98.73.183,10.98.73.184</v>
      </c>
      <c r="E9" t="str">
        <f>_xlfn.XLOOKUP(NfsExportsServices[[#This Row],[FMO Volume Name]],NfsExports[FMO Volume Name],NfsExports[Actual Mount Info],"")</f>
        <v>10.98.89.8:/npt2qzone_pfb/apps/nfs/npt2qzone_pfb</v>
      </c>
      <c r="G9">
        <f>TYPE(NfsExportsServices[[#This Row],[FMO VM Name Summary]])</f>
        <v>2</v>
      </c>
      <c r="H9" t="str">
        <f>T(NfsExportsServices[[#This Row],[FMO VM Name Summary]])</f>
        <v>10.98.73.175,10.98.73.176,10.98.73.177,10.98.73.178,10.98.73.179,10.98.73.180,10.98.73.181,10.98.73.182,10.98.73.183,10.98.73.184</v>
      </c>
      <c r="I9">
        <f>LEN(NfsExportsServices[[#This Row],[FMO VM Name Summary]])</f>
        <v>129</v>
      </c>
    </row>
    <row r="10" spans="1:9" x14ac:dyDescent="0.35">
      <c r="A10" s="100" t="s">
        <v>3218</v>
      </c>
      <c r="B10" t="s">
        <v>4080</v>
      </c>
      <c r="C10" t="str">
        <f>_xlfn.XLOOKUP(NfsExportsServices[[#This Row],[FMO Volume Name]],NfsExports[FMO Volume Name],NfsExports[FMO Export Summary],"")</f>
        <v>/apps/nfs/npt2qzone_pfb 50GB</v>
      </c>
      <c r="D10" t="str" cm="1">
        <f t="array" ref="D10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10.98.73.11,10.98.73.12,10.98.73.13,10.98.73.14,10.98.73.15,10.98.73.16,10.98.73.17,10.98.73.18</v>
      </c>
      <c r="E10" t="str">
        <f>_xlfn.XLOOKUP(NfsExportsServices[[#This Row],[FMO Volume Name]],NfsExports[FMO Volume Name],NfsExports[Actual Mount Info],"")</f>
        <v>10.98.89.8:/npt2qzone_pfb/apps/nfs/npt2qzone_pfb</v>
      </c>
      <c r="G10">
        <f>TYPE(NfsExportsServices[[#This Row],[FMO VM Name Summary]])</f>
        <v>2</v>
      </c>
      <c r="H10" t="str">
        <f>T(NfsExportsServices[[#This Row],[FMO VM Name Summary]])</f>
        <v>10.98.73.11,10.98.73.12,10.98.73.13,10.98.73.14,10.98.73.15,10.98.73.16,10.98.73.17,10.98.73.18</v>
      </c>
      <c r="I10">
        <f>LEN(NfsExportsServices[[#This Row],[FMO VM Name Summary]])</f>
        <v>95</v>
      </c>
    </row>
    <row r="11" spans="1:9" x14ac:dyDescent="0.35">
      <c r="A11" s="100" t="s">
        <v>3218</v>
      </c>
      <c r="B11" t="s">
        <v>4081</v>
      </c>
      <c r="C11" t="str">
        <f>_xlfn.XLOOKUP(NfsExportsServices[[#This Row],[FMO Volume Name]],NfsExports[FMO Volume Name],NfsExports[FMO Export Summary],"")</f>
        <v>/apps/nfs/npt2qzone_pfb 50GB</v>
      </c>
      <c r="D11" t="str" cm="1">
        <f t="array" ref="D11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10.98.73.19,10.98.73.20,10.98.73.21,10.98.73.22</v>
      </c>
      <c r="E11" t="str">
        <f>_xlfn.XLOOKUP(NfsExportsServices[[#This Row],[FMO Volume Name]],NfsExports[FMO Volume Name],NfsExports[Actual Mount Info],"")</f>
        <v>10.98.89.8:/npt2qzone_pfb/apps/nfs/npt2qzone_pfb</v>
      </c>
      <c r="G11">
        <f>TYPE(NfsExportsServices[[#This Row],[FMO VM Name Summary]])</f>
        <v>2</v>
      </c>
      <c r="H11" t="str">
        <f>T(NfsExportsServices[[#This Row],[FMO VM Name Summary]])</f>
        <v>10.98.73.19,10.98.73.20,10.98.73.21,10.98.73.22</v>
      </c>
      <c r="I11">
        <f>LEN(NfsExportsServices[[#This Row],[FMO VM Name Summary]])</f>
        <v>47</v>
      </c>
    </row>
    <row r="12" spans="1:9" x14ac:dyDescent="0.35">
      <c r="A12" s="100" t="s">
        <v>3218</v>
      </c>
      <c r="B12" t="s">
        <v>4082</v>
      </c>
      <c r="C12" t="str">
        <f>_xlfn.XLOOKUP(NfsExportsServices[[#This Row],[FMO Volume Name]],NfsExports[FMO Volume Name],NfsExports[FMO Export Summary],"")</f>
        <v>/apps/nfs/npt2qzone_pfb 50GB</v>
      </c>
      <c r="D12" t="str" cm="1">
        <f t="array" ref="D12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10.98.72.94,10.98.72.95,10.98.72.96</v>
      </c>
      <c r="E12" t="str">
        <f>_xlfn.XLOOKUP(NfsExportsServices[[#This Row],[FMO Volume Name]],NfsExports[FMO Volume Name],NfsExports[Actual Mount Info],"")</f>
        <v>10.98.89.8:/npt2qzone_pfb/apps/nfs/npt2qzone_pfb</v>
      </c>
      <c r="G12">
        <f>TYPE(NfsExportsServices[[#This Row],[FMO VM Name Summary]])</f>
        <v>2</v>
      </c>
      <c r="H12" t="str">
        <f>T(NfsExportsServices[[#This Row],[FMO VM Name Summary]])</f>
        <v>10.98.72.94,10.98.72.95,10.98.72.96</v>
      </c>
      <c r="I12">
        <f>LEN(NfsExportsServices[[#This Row],[FMO VM Name Summary]])</f>
        <v>35</v>
      </c>
    </row>
    <row r="13" spans="1:9" x14ac:dyDescent="0.35">
      <c r="A13" s="100" t="s">
        <v>3218</v>
      </c>
      <c r="B13" t="s">
        <v>4083</v>
      </c>
      <c r="C13" t="str">
        <f>_xlfn.XLOOKUP(NfsExportsServices[[#This Row],[FMO Volume Name]],NfsExports[FMO Volume Name],NfsExports[FMO Export Summary],"")</f>
        <v>/apps/nfs/npt2qzone_pfb 50GB</v>
      </c>
      <c r="D13" t="str" cm="1">
        <f t="array" ref="D13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10.98.72.97,10.98.72.98,10.98.72.99,10.98.72.100</v>
      </c>
      <c r="E13" t="str">
        <f>_xlfn.XLOOKUP(NfsExportsServices[[#This Row],[FMO Volume Name]],NfsExports[FMO Volume Name],NfsExports[Actual Mount Info],"")</f>
        <v>10.98.89.8:/npt2qzone_pfb/apps/nfs/npt2qzone_pfb</v>
      </c>
      <c r="G13">
        <f>TYPE(NfsExportsServices[[#This Row],[FMO VM Name Summary]])</f>
        <v>2</v>
      </c>
      <c r="H13" t="str">
        <f>T(NfsExportsServices[[#This Row],[FMO VM Name Summary]])</f>
        <v>10.98.72.97,10.98.72.98,10.98.72.99,10.98.72.100</v>
      </c>
      <c r="I13">
        <f>LEN(NfsExportsServices[[#This Row],[FMO VM Name Summary]])</f>
        <v>48</v>
      </c>
    </row>
    <row r="14" spans="1:9" x14ac:dyDescent="0.35">
      <c r="A14" s="100" t="s">
        <v>3221</v>
      </c>
      <c r="B14" t="s">
        <v>4728</v>
      </c>
      <c r="C14" t="str">
        <f>_xlfn.XLOOKUP(NfsExportsServices[[#This Row],[FMO Volume Name]],NfsExports[FMO Volume Name],NfsExports[FMO Export Summary],"")</f>
        <v>/apps/nfs/pft1qzone_pfb 15GB</v>
      </c>
      <c r="D14" t="str" cm="1">
        <f t="array" ref="D14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10.98.72.80,10.98.72.81,10.98.72.82,10.98.72.83,10.98.72.84,10.98.72.85,10.98.72.86,10.98.72.87</v>
      </c>
      <c r="E14" t="str">
        <f>_xlfn.XLOOKUP(NfsExportsServices[[#This Row],[FMO Volume Name]],NfsExports[FMO Volume Name],NfsExports[Actual Mount Info],"")</f>
        <v>10.98.89.8:/pft1qzone_pfb/apps/nfs/pft1qzone_pfb</v>
      </c>
      <c r="G14">
        <f>TYPE(NfsExportsServices[[#This Row],[FMO VM Name Summary]])</f>
        <v>2</v>
      </c>
      <c r="H14" t="str">
        <f>T(NfsExportsServices[[#This Row],[FMO VM Name Summary]])</f>
        <v>10.98.72.80,10.98.72.81,10.98.72.82,10.98.72.83,10.98.72.84,10.98.72.85,10.98.72.86,10.98.72.87</v>
      </c>
      <c r="I14">
        <f>LEN(NfsExportsServices[[#This Row],[FMO VM Name Summary]])</f>
        <v>95</v>
      </c>
    </row>
    <row r="15" spans="1:9" x14ac:dyDescent="0.35">
      <c r="A15" s="100" t="s">
        <v>3221</v>
      </c>
      <c r="B15" t="s">
        <v>4729</v>
      </c>
      <c r="C15" t="str">
        <f>_xlfn.XLOOKUP(NfsExportsServices[[#This Row],[FMO Volume Name]],NfsExports[FMO Volume Name],NfsExports[FMO Export Summary],"")</f>
        <v>/apps/nfs/pft1qzone_pfb 15GB</v>
      </c>
      <c r="D15" t="str" cm="1">
        <f t="array" ref="D15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10.98.72.88,10.98.72.89,10.98.72.90,10.98.72.91,10.98.72.92,10.98.72.93</v>
      </c>
      <c r="E15" t="str">
        <f>_xlfn.XLOOKUP(NfsExportsServices[[#This Row],[FMO Volume Name]],NfsExports[FMO Volume Name],NfsExports[Actual Mount Info],"")</f>
        <v>10.98.89.8:/pft1qzone_pfb/apps/nfs/pft1qzone_pfb</v>
      </c>
      <c r="G15">
        <f>TYPE(NfsExportsServices[[#This Row],[FMO VM Name Summary]])</f>
        <v>2</v>
      </c>
      <c r="H15" t="str">
        <f>T(NfsExportsServices[[#This Row],[FMO VM Name Summary]])</f>
        <v>10.98.72.88,10.98.72.89,10.98.72.90,10.98.72.91,10.98.72.92,10.98.72.93</v>
      </c>
      <c r="I15">
        <f>LEN(NfsExportsServices[[#This Row],[FMO VM Name Summary]])</f>
        <v>71</v>
      </c>
    </row>
    <row r="16" spans="1:9" x14ac:dyDescent="0.35">
      <c r="A16" s="100" t="s">
        <v>3221</v>
      </c>
      <c r="B16" t="s">
        <v>4730</v>
      </c>
      <c r="C16" t="str">
        <f>_xlfn.XLOOKUP(NfsExportsServices[[#This Row],[FMO Volume Name]],NfsExports[FMO Volume Name],NfsExports[FMO Export Summary],"")</f>
        <v>/apps/nfs/pft1qzone_pfb 15GB</v>
      </c>
      <c r="D16" t="str" cm="1">
        <f t="array" ref="D16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10.98.72.11,10.98.72.12,10.98.72.13,10.98.72.14,10.98.72.15,10.98.72.16,10.98.72.17,10.98.72.18</v>
      </c>
      <c r="E16" t="str">
        <f>_xlfn.XLOOKUP(NfsExportsServices[[#This Row],[FMO Volume Name]],NfsExports[FMO Volume Name],NfsExports[Actual Mount Info],"")</f>
        <v>10.98.89.8:/pft1qzone_pfb/apps/nfs/pft1qzone_pfb</v>
      </c>
      <c r="G16">
        <f>TYPE(NfsExportsServices[[#This Row],[FMO VM Name Summary]])</f>
        <v>2</v>
      </c>
      <c r="H16" t="str">
        <f>T(NfsExportsServices[[#This Row],[FMO VM Name Summary]])</f>
        <v>10.98.72.11,10.98.72.12,10.98.72.13,10.98.72.14,10.98.72.15,10.98.72.16,10.98.72.17,10.98.72.18</v>
      </c>
      <c r="I16">
        <f>LEN(NfsExportsServices[[#This Row],[FMO VM Name Summary]])</f>
        <v>95</v>
      </c>
    </row>
    <row r="17" spans="1:9" x14ac:dyDescent="0.35">
      <c r="A17" s="100" t="s">
        <v>3221</v>
      </c>
      <c r="B17" t="s">
        <v>4731</v>
      </c>
      <c r="C17" t="str">
        <f>_xlfn.XLOOKUP(NfsExportsServices[[#This Row],[FMO Volume Name]],NfsExports[FMO Volume Name],NfsExports[FMO Export Summary],"")</f>
        <v>/apps/nfs/pft1qzone_pfb 15GB</v>
      </c>
      <c r="D17" t="str" cm="1">
        <f t="array" ref="D17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10.98.72.52,10.98.72.53,10.98.72.54,10.98.72.55,10.98.72.56,10.98.72.57</v>
      </c>
      <c r="E17" t="str">
        <f>_xlfn.XLOOKUP(NfsExportsServices[[#This Row],[FMO Volume Name]],NfsExports[FMO Volume Name],NfsExports[Actual Mount Info],"")</f>
        <v>10.98.89.8:/pft1qzone_pfb/apps/nfs/pft1qzone_pfb</v>
      </c>
      <c r="G17">
        <f>TYPE(NfsExportsServices[[#This Row],[FMO VM Name Summary]])</f>
        <v>2</v>
      </c>
      <c r="H17" t="str">
        <f>T(NfsExportsServices[[#This Row],[FMO VM Name Summary]])</f>
        <v>10.98.72.52,10.98.72.53,10.98.72.54,10.98.72.55,10.98.72.56,10.98.72.57</v>
      </c>
      <c r="I17">
        <f>LEN(NfsExportsServices[[#This Row],[FMO VM Name Summary]])</f>
        <v>71</v>
      </c>
    </row>
    <row r="18" spans="1:9" x14ac:dyDescent="0.35">
      <c r="A18" s="100" t="s">
        <v>3221</v>
      </c>
      <c r="B18" t="s">
        <v>4732</v>
      </c>
      <c r="C18" t="str">
        <f>_xlfn.XLOOKUP(NfsExportsServices[[#This Row],[FMO Volume Name]],NfsExports[FMO Volume Name],NfsExports[FMO Export Summary],"")</f>
        <v>/apps/nfs/pft1qzone_pfb 15GB</v>
      </c>
      <c r="D18" t="str" cm="1">
        <f t="array" ref="D18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10.98.72.58,10.98.72.59,10.98.72.60,10.98.72.61,10.98.72.62,10.98.72.63</v>
      </c>
      <c r="E18" t="str">
        <f>_xlfn.XLOOKUP(NfsExportsServices[[#This Row],[FMO Volume Name]],NfsExports[FMO Volume Name],NfsExports[Actual Mount Info],"")</f>
        <v>10.98.89.8:/pft1qzone_pfb/apps/nfs/pft1qzone_pfb</v>
      </c>
      <c r="G18">
        <f>TYPE(NfsExportsServices[[#This Row],[FMO VM Name Summary]])</f>
        <v>2</v>
      </c>
      <c r="H18" t="str">
        <f>T(NfsExportsServices[[#This Row],[FMO VM Name Summary]])</f>
        <v>10.98.72.58,10.98.72.59,10.98.72.60,10.98.72.61,10.98.72.62,10.98.72.63</v>
      </c>
      <c r="I18">
        <f>LEN(NfsExportsServices[[#This Row],[FMO VM Name Summary]])</f>
        <v>71</v>
      </c>
    </row>
    <row r="19" spans="1:9" x14ac:dyDescent="0.35">
      <c r="A19" s="152" t="s">
        <v>3221</v>
      </c>
      <c r="B19" t="s">
        <v>4724</v>
      </c>
      <c r="C19" t="str">
        <f>_xlfn.XLOOKUP(NfsExportsServices[[#This Row],[FMO Volume Name]],NfsExports[FMO Volume Name],NfsExports[FMO Export Summary],"")</f>
        <v>/apps/nfs/pft1qzone_pfb 15GB</v>
      </c>
      <c r="D19" t="str" cm="1">
        <f t="array" ref="D19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10.98.72.49,10.98.72.50</v>
      </c>
      <c r="E19" t="str">
        <f>_xlfn.XLOOKUP(NfsExportsServices[[#This Row],[FMO Volume Name]],NfsExports[FMO Volume Name],NfsExports[Actual Mount Info],"")</f>
        <v>10.98.89.8:/pft1qzone_pfb/apps/nfs/pft1qzone_pfb</v>
      </c>
      <c r="G19">
        <f>TYPE(NfsExportsServices[[#This Row],[FMO VM Name Summary]])</f>
        <v>2</v>
      </c>
      <c r="H19" t="str">
        <f>T(NfsExportsServices[[#This Row],[FMO VM Name Summary]])</f>
        <v>10.98.72.49,10.98.72.50</v>
      </c>
      <c r="I19">
        <f>LEN(NfsExportsServices[[#This Row],[FMO VM Name Summary]])</f>
        <v>23</v>
      </c>
    </row>
    <row r="20" spans="1:9" x14ac:dyDescent="0.35">
      <c r="A20" s="100" t="s">
        <v>3224</v>
      </c>
      <c r="B20" t="s">
        <v>4733</v>
      </c>
      <c r="C20" t="str">
        <f>_xlfn.XLOOKUP(NfsExportsServices[[#This Row],[FMO Volume Name]],NfsExports[FMO Volume Name],NfsExports[FMO Export Summary],"")</f>
        <v>/apps/nfs/pft2qzone_pfb 15GB</v>
      </c>
      <c r="D20" t="str" cm="1">
        <f t="array" ref="D20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73.23,10.98.73.24,10.98.73.25,10.98.73.26,10.98.73.27,10.98.73.28,10.98.73.29,10.98.73.30,10.98.73.31,10.98.73.32,10.98.73.33,10.98.73.34,10.98.73.35,10.98.73.36,10.98.73.37,10.98.73.38,10.98.73.39,10.98.73.40,10.98.73.41,10.98.73.42,10.98.73.43,10.98.73.44,10.98.73.45,10.98.73.46</v>
      </c>
      <c r="E20" t="str">
        <f>_xlfn.XLOOKUP(NfsExportsServices[[#This Row],[FMO Volume Name]],NfsExports[FMO Volume Name],NfsExports[Actual Mount Info],"")</f>
        <v>10.98.89.8:/pft2qzone_pfb/apps/nfs/pft2qzone_pfb</v>
      </c>
      <c r="G20">
        <f>TYPE(NfsExportsServices[[#This Row],[FMO VM Name Summary]])</f>
        <v>64</v>
      </c>
      <c r="H20" t="str">
        <f>T(NfsExportsServices[[#This Row],[FMO VM Name Summary]])</f>
        <v/>
      </c>
      <c r="I20">
        <f>LEN(NfsExportsServices[[#This Row],[FMO VM Name Summary]])</f>
        <v>287</v>
      </c>
    </row>
    <row r="21" spans="1:9" x14ac:dyDescent="0.35">
      <c r="A21" s="100" t="s">
        <v>3224</v>
      </c>
      <c r="B21" t="s">
        <v>4734</v>
      </c>
      <c r="C21" t="str">
        <f>_xlfn.XLOOKUP(NfsExportsServices[[#This Row],[FMO Volume Name]],NfsExports[FMO Volume Name],NfsExports[FMO Export Summary],"")</f>
        <v>/apps/nfs/pft2qzone_pfb 15GB</v>
      </c>
      <c r="D21" t="str" cm="1">
        <f t="array" ref="D21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73.143,10.98.73.144,10.98.73.145,10.98.73.146,10.98.73.147,10.98.73.148,10.98.73.149,10.98.73.150,10.98.73.151,10.98.73.152,10.98.73.153,10.98.73.154,10.98.73.155,10.98.73.156,10.98.73.157,10.98.73.158,10.98.73.159,10.98.73.160,10.98.73.161,10.98.73.162,10.98.73.163,10.98.73.164,10.98.73.165,10.98.73.166,10.98.73.167,10.98.73.168,10.98.73.169,10.98.73.170,10.98.73.171,10.98.73.172,10.98.73.173</v>
      </c>
      <c r="E21" t="str">
        <f>_xlfn.XLOOKUP(NfsExportsServices[[#This Row],[FMO Volume Name]],NfsExports[FMO Volume Name],NfsExports[Actual Mount Info],"")</f>
        <v>10.98.89.8:/pft2qzone_pfb/apps/nfs/pft2qzone_pfb</v>
      </c>
      <c r="G21">
        <f>TYPE(NfsExportsServices[[#This Row],[FMO VM Name Summary]])</f>
        <v>64</v>
      </c>
      <c r="H21" t="str">
        <f>T(NfsExportsServices[[#This Row],[FMO VM Name Summary]])</f>
        <v/>
      </c>
      <c r="I21">
        <f>LEN(NfsExportsServices[[#This Row],[FMO VM Name Summary]])</f>
        <v>402</v>
      </c>
    </row>
    <row r="22" spans="1:9" x14ac:dyDescent="0.35">
      <c r="A22" s="100" t="s">
        <v>3224</v>
      </c>
      <c r="B22" t="s">
        <v>4735</v>
      </c>
      <c r="C22" t="str">
        <f>_xlfn.XLOOKUP(NfsExportsServices[[#This Row],[FMO Volume Name]],NfsExports[FMO Volume Name],NfsExports[FMO Export Summary],"")</f>
        <v>/apps/nfs/pft2qzone_pfb 15GB</v>
      </c>
      <c r="D22" t="str" cm="1">
        <f t="array" ref="D22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10.98.73.175,10.98.73.176,10.98.73.177,10.98.73.178,10.98.73.179,10.98.73.180,10.98.73.181,10.98.73.182,10.98.73.183,10.98.73.184</v>
      </c>
      <c r="E22" t="str">
        <f>_xlfn.XLOOKUP(NfsExportsServices[[#This Row],[FMO Volume Name]],NfsExports[FMO Volume Name],NfsExports[Actual Mount Info],"")</f>
        <v>10.98.89.8:/pft2qzone_pfb/apps/nfs/pft2qzone_pfb</v>
      </c>
      <c r="G22">
        <f>TYPE(NfsExportsServices[[#This Row],[FMO VM Name Summary]])</f>
        <v>2</v>
      </c>
      <c r="H22" t="str">
        <f>T(NfsExportsServices[[#This Row],[FMO VM Name Summary]])</f>
        <v>10.98.73.175,10.98.73.176,10.98.73.177,10.98.73.178,10.98.73.179,10.98.73.180,10.98.73.181,10.98.73.182,10.98.73.183,10.98.73.184</v>
      </c>
      <c r="I22">
        <f>LEN(NfsExportsServices[[#This Row],[FMO VM Name Summary]])</f>
        <v>129</v>
      </c>
    </row>
    <row r="23" spans="1:9" x14ac:dyDescent="0.35">
      <c r="A23" s="100" t="s">
        <v>3224</v>
      </c>
      <c r="B23" t="s">
        <v>4736</v>
      </c>
      <c r="C23" t="str">
        <f>_xlfn.XLOOKUP(NfsExportsServices[[#This Row],[FMO Volume Name]],NfsExports[FMO Volume Name],NfsExports[FMO Export Summary],"")</f>
        <v>/apps/nfs/pft2qzone_pfb 15GB</v>
      </c>
      <c r="D23" t="str" cm="1">
        <f t="array" ref="D23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10.98.73.11,10.98.73.12,10.98.73.13,10.98.73.14,10.98.73.15,10.98.73.16,10.98.73.17,10.98.73.18</v>
      </c>
      <c r="E23" t="str">
        <f>_xlfn.XLOOKUP(NfsExportsServices[[#This Row],[FMO Volume Name]],NfsExports[FMO Volume Name],NfsExports[Actual Mount Info],"")</f>
        <v>10.98.89.8:/pft2qzone_pfb/apps/nfs/pft2qzone_pfb</v>
      </c>
      <c r="G23">
        <f>TYPE(NfsExportsServices[[#This Row],[FMO VM Name Summary]])</f>
        <v>2</v>
      </c>
      <c r="H23" t="str">
        <f>T(NfsExportsServices[[#This Row],[FMO VM Name Summary]])</f>
        <v>10.98.73.11,10.98.73.12,10.98.73.13,10.98.73.14,10.98.73.15,10.98.73.16,10.98.73.17,10.98.73.18</v>
      </c>
      <c r="I23">
        <f>LEN(NfsExportsServices[[#This Row],[FMO VM Name Summary]])</f>
        <v>95</v>
      </c>
    </row>
    <row r="24" spans="1:9" x14ac:dyDescent="0.35">
      <c r="A24" s="100" t="s">
        <v>3224</v>
      </c>
      <c r="B24" t="s">
        <v>4737</v>
      </c>
      <c r="C24" t="str">
        <f>_xlfn.XLOOKUP(NfsExportsServices[[#This Row],[FMO Volume Name]],NfsExports[FMO Volume Name],NfsExports[FMO Export Summary],"")</f>
        <v>/apps/nfs/pft2qzone_pfb 15GB</v>
      </c>
      <c r="D24" t="str" cm="1">
        <f t="array" ref="D24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10.98.73.19,10.98.73.20,10.98.73.21,10.98.73.22</v>
      </c>
      <c r="E24" t="str">
        <f>_xlfn.XLOOKUP(NfsExportsServices[[#This Row],[FMO Volume Name]],NfsExports[FMO Volume Name],NfsExports[Actual Mount Info],"")</f>
        <v>10.98.89.8:/pft2qzone_pfb/apps/nfs/pft2qzone_pfb</v>
      </c>
      <c r="G24">
        <f>TYPE(NfsExportsServices[[#This Row],[FMO VM Name Summary]])</f>
        <v>2</v>
      </c>
      <c r="H24" t="str">
        <f>T(NfsExportsServices[[#This Row],[FMO VM Name Summary]])</f>
        <v>10.98.73.19,10.98.73.20,10.98.73.21,10.98.73.22</v>
      </c>
      <c r="I24">
        <f>LEN(NfsExportsServices[[#This Row],[FMO VM Name Summary]])</f>
        <v>47</v>
      </c>
    </row>
    <row r="25" spans="1:9" x14ac:dyDescent="0.35">
      <c r="A25" s="100" t="s">
        <v>3224</v>
      </c>
      <c r="B25" t="s">
        <v>4738</v>
      </c>
      <c r="C25" t="str">
        <f>_xlfn.XLOOKUP(NfsExportsServices[[#This Row],[FMO Volume Name]],NfsExports[FMO Volume Name],NfsExports[FMO Export Summary],"")</f>
        <v>/apps/nfs/pft2qzone_pfb 15GB</v>
      </c>
      <c r="D25" t="str" cm="1">
        <f t="array" ref="D25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10.98.72.94,10.98.72.95,10.98.72.96</v>
      </c>
      <c r="E25" t="str">
        <f>_xlfn.XLOOKUP(NfsExportsServices[[#This Row],[FMO Volume Name]],NfsExports[FMO Volume Name],NfsExports[Actual Mount Info],"")</f>
        <v>10.98.89.8:/pft2qzone_pfb/apps/nfs/pft2qzone_pfb</v>
      </c>
      <c r="G25">
        <f>TYPE(NfsExportsServices[[#This Row],[FMO VM Name Summary]])</f>
        <v>2</v>
      </c>
      <c r="H25" t="str">
        <f>T(NfsExportsServices[[#This Row],[FMO VM Name Summary]])</f>
        <v>10.98.72.94,10.98.72.95,10.98.72.96</v>
      </c>
      <c r="I25">
        <f>LEN(NfsExportsServices[[#This Row],[FMO VM Name Summary]])</f>
        <v>35</v>
      </c>
    </row>
    <row r="26" spans="1:9" x14ac:dyDescent="0.35">
      <c r="A26" s="100" t="s">
        <v>3224</v>
      </c>
      <c r="B26" t="s">
        <v>4739</v>
      </c>
      <c r="C26" t="str">
        <f>_xlfn.XLOOKUP(NfsExportsServices[[#This Row],[FMO Volume Name]],NfsExports[FMO Volume Name],NfsExports[FMO Export Summary],"")</f>
        <v>/apps/nfs/pft2qzone_pfb 15GB</v>
      </c>
      <c r="D26" t="str" cm="1">
        <f t="array" ref="D26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10.98.72.97,10.98.72.98,10.98.72.99,10.98.72.100</v>
      </c>
      <c r="E26" t="str">
        <f>_xlfn.XLOOKUP(NfsExportsServices[[#This Row],[FMO Volume Name]],NfsExports[FMO Volume Name],NfsExports[Actual Mount Info],"")</f>
        <v>10.98.89.8:/pft2qzone_pfb/apps/nfs/pft2qzone_pfb</v>
      </c>
      <c r="G26">
        <f>TYPE(NfsExportsServices[[#This Row],[FMO VM Name Summary]])</f>
        <v>2</v>
      </c>
      <c r="H26" t="str">
        <f>T(NfsExportsServices[[#This Row],[FMO VM Name Summary]])</f>
        <v>10.98.72.97,10.98.72.98,10.98.72.99,10.98.72.100</v>
      </c>
      <c r="I26">
        <f>LEN(NfsExportsServices[[#This Row],[FMO VM Name Summary]])</f>
        <v>48</v>
      </c>
    </row>
    <row r="27" spans="1:9" x14ac:dyDescent="0.35">
      <c r="A27" s="101" t="s">
        <v>3231</v>
      </c>
      <c r="B27" t="s">
        <v>4740</v>
      </c>
      <c r="C27" t="str">
        <f>_xlfn.XLOOKUP(NfsExportsServices[[#This Row],[FMO Volume Name]],NfsExports[FMO Volume Name],NfsExports[FMO Export Summary],"")</f>
        <v>/apps/nfs/t2_shareq_pfb 15GB</v>
      </c>
      <c r="D27" t="str" cm="1">
        <f t="array" ref="D27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10.98.73.97,10.98.73.98,10.98.73.99,10.98.73.100,10.98.73.101,10.98.73.102,10.98.73.103,10.98.73.104</v>
      </c>
      <c r="E27" t="str">
        <f>_xlfn.XLOOKUP(NfsExportsServices[[#This Row],[FMO Volume Name]],NfsExports[FMO Volume Name],NfsExports[Actual Mount Info],"")</f>
        <v>10.98.89.8:/t2_shareq_pfb/apps/nfs/shareQ</v>
      </c>
      <c r="G27">
        <f>TYPE(NfsExportsServices[[#This Row],[FMO VM Name Summary]])</f>
        <v>2</v>
      </c>
      <c r="H27" t="str">
        <f>T(NfsExportsServices[[#This Row],[FMO VM Name Summary]])</f>
        <v>10.98.73.97,10.98.73.98,10.98.73.99,10.98.73.100,10.98.73.101,10.98.73.102,10.98.73.103,10.98.73.104</v>
      </c>
      <c r="I27">
        <f>LEN(NfsExportsServices[[#This Row],[FMO VM Name Summary]])</f>
        <v>100</v>
      </c>
    </row>
    <row r="28" spans="1:9" x14ac:dyDescent="0.35">
      <c r="A28" s="101" t="s">
        <v>3231</v>
      </c>
      <c r="B28" t="s">
        <v>4731</v>
      </c>
      <c r="C28" s="153" t="str">
        <f>_xlfn.XLOOKUP(NfsExportsServices[[#This Row],[FMO Volume Name]],NfsExports[FMO Volume Name],NfsExports[FMO Export Summary],"")</f>
        <v>/apps/nfs/t2_shareq_pfb 15GB</v>
      </c>
      <c r="D28" s="153" t="str" cm="1">
        <f t="array" ref="D28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10.98.72.52,10.98.72.53,10.98.72.54,10.98.72.55,10.98.72.56,10.98.72.57</v>
      </c>
      <c r="E28" s="153" t="str">
        <f>_xlfn.XLOOKUP(NfsExportsServices[[#This Row],[FMO Volume Name]],NfsExports[FMO Volume Name],NfsExports[Actual Mount Info],"")</f>
        <v>10.98.89.8:/t2_shareq_pfb/apps/nfs/shareQ</v>
      </c>
      <c r="F28" s="153"/>
      <c r="G28" s="153">
        <f>TYPE(NfsExportsServices[[#This Row],[FMO VM Name Summary]])</f>
        <v>2</v>
      </c>
      <c r="H28" s="153" t="str">
        <f>T(NfsExportsServices[[#This Row],[FMO VM Name Summary]])</f>
        <v>10.98.72.52,10.98.72.53,10.98.72.54,10.98.72.55,10.98.72.56,10.98.72.57</v>
      </c>
      <c r="I28" s="153">
        <f>LEN(NfsExportsServices[[#This Row],[FMO VM Name Summary]])</f>
        <v>71</v>
      </c>
    </row>
    <row r="29" spans="1:9" x14ac:dyDescent="0.35">
      <c r="A29" s="101" t="s">
        <v>3231</v>
      </c>
      <c r="B29" t="s">
        <v>4736</v>
      </c>
      <c r="C29" s="153" t="str">
        <f>_xlfn.XLOOKUP(NfsExportsServices[[#This Row],[FMO Volume Name]],NfsExports[FMO Volume Name],NfsExports[FMO Export Summary],"")</f>
        <v>/apps/nfs/t2_shareq_pfb 15GB</v>
      </c>
      <c r="D29" s="153" t="str" cm="1">
        <f t="array" ref="D29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10.98.73.11,10.98.73.12,10.98.73.13,10.98.73.14,10.98.73.15,10.98.73.16,10.98.73.17,10.98.73.18</v>
      </c>
      <c r="E29" s="153" t="str">
        <f>_xlfn.XLOOKUP(NfsExportsServices[[#This Row],[FMO Volume Name]],NfsExports[FMO Volume Name],NfsExports[Actual Mount Info],"")</f>
        <v>10.98.89.8:/t2_shareq_pfb/apps/nfs/shareQ</v>
      </c>
      <c r="F29" s="153"/>
      <c r="G29" s="153">
        <f>TYPE(NfsExportsServices[[#This Row],[FMO VM Name Summary]])</f>
        <v>2</v>
      </c>
      <c r="H29" s="153" t="str">
        <f>T(NfsExportsServices[[#This Row],[FMO VM Name Summary]])</f>
        <v>10.98.73.11,10.98.73.12,10.98.73.13,10.98.73.14,10.98.73.15,10.98.73.16,10.98.73.17,10.98.73.18</v>
      </c>
      <c r="I29" s="153">
        <f>LEN(NfsExportsServices[[#This Row],[FMO VM Name Summary]])</f>
        <v>95</v>
      </c>
    </row>
    <row r="30" spans="1:9" x14ac:dyDescent="0.35">
      <c r="A30" s="101" t="s">
        <v>3231</v>
      </c>
      <c r="B30" t="s">
        <v>4737</v>
      </c>
      <c r="C30" s="153" t="str">
        <f>_xlfn.XLOOKUP(NfsExportsServices[[#This Row],[FMO Volume Name]],NfsExports[FMO Volume Name],NfsExports[FMO Export Summary],"")</f>
        <v>/apps/nfs/t2_shareq_pfb 15GB</v>
      </c>
      <c r="D30" s="153" t="str" cm="1">
        <f t="array" ref="D30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10.98.73.19,10.98.73.20,10.98.73.21,10.98.73.22</v>
      </c>
      <c r="E30" s="153" t="str">
        <f>_xlfn.XLOOKUP(NfsExportsServices[[#This Row],[FMO Volume Name]],NfsExports[FMO Volume Name],NfsExports[Actual Mount Info],"")</f>
        <v>10.98.89.8:/t2_shareq_pfb/apps/nfs/shareQ</v>
      </c>
      <c r="F30" s="153"/>
      <c r="G30" s="153">
        <f>TYPE(NfsExportsServices[[#This Row],[FMO VM Name Summary]])</f>
        <v>2</v>
      </c>
      <c r="H30" s="153" t="str">
        <f>T(NfsExportsServices[[#This Row],[FMO VM Name Summary]])</f>
        <v>10.98.73.19,10.98.73.20,10.98.73.21,10.98.73.22</v>
      </c>
      <c r="I30" s="153">
        <f>LEN(NfsExportsServices[[#This Row],[FMO VM Name Summary]])</f>
        <v>47</v>
      </c>
    </row>
    <row r="31" spans="1:9" x14ac:dyDescent="0.35">
      <c r="A31" s="101" t="s">
        <v>3231</v>
      </c>
      <c r="B31" t="s">
        <v>4734</v>
      </c>
      <c r="C31" s="153" t="str">
        <f>_xlfn.XLOOKUP(NfsExportsServices[[#This Row],[FMO Volume Name]],NfsExports[FMO Volume Name],NfsExports[FMO Export Summary],"")</f>
        <v>/apps/nfs/t2_shareq_pfb 15GB</v>
      </c>
      <c r="D31" s="153" t="str" cm="1">
        <f t="array" ref="D31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73.143,10.98.73.144,10.98.73.145,10.98.73.146,10.98.73.147,10.98.73.148,10.98.73.149,10.98.73.150,10.98.73.151,10.98.73.152,10.98.73.153,10.98.73.154,10.98.73.155,10.98.73.156,10.98.73.157,10.98.73.158,10.98.73.159,10.98.73.160,10.98.73.161,10.98.73.162,10.98.73.163,10.98.73.164,10.98.73.165,10.98.73.166,10.98.73.167,10.98.73.168,10.98.73.169,10.98.73.170,10.98.73.171,10.98.73.172,10.98.73.173</v>
      </c>
      <c r="E31" s="153" t="str">
        <f>_xlfn.XLOOKUP(NfsExportsServices[[#This Row],[FMO Volume Name]],NfsExports[FMO Volume Name],NfsExports[Actual Mount Info],"")</f>
        <v>10.98.89.8:/t2_shareq_pfb/apps/nfs/shareQ</v>
      </c>
      <c r="F31" s="153"/>
      <c r="G31" s="153">
        <f>TYPE(NfsExportsServices[[#This Row],[FMO VM Name Summary]])</f>
        <v>64</v>
      </c>
      <c r="H31" s="153" t="str">
        <f>T(NfsExportsServices[[#This Row],[FMO VM Name Summary]])</f>
        <v/>
      </c>
      <c r="I31" s="153">
        <f>LEN(NfsExportsServices[[#This Row],[FMO VM Name Summary]])</f>
        <v>402</v>
      </c>
    </row>
    <row r="32" spans="1:9" x14ac:dyDescent="0.35">
      <c r="A32" s="101" t="s">
        <v>3231</v>
      </c>
      <c r="B32" s="30" t="s">
        <v>4735</v>
      </c>
      <c r="C32" s="153" t="str">
        <f>_xlfn.XLOOKUP(NfsExportsServices[[#This Row],[FMO Volume Name]],NfsExports[FMO Volume Name],NfsExports[FMO Export Summary],"")</f>
        <v>/apps/nfs/t2_shareq_pfb 15GB</v>
      </c>
      <c r="D32" s="153" t="str" cm="1">
        <f t="array" ref="D32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10.98.73.175,10.98.73.176,10.98.73.177,10.98.73.178,10.98.73.179,10.98.73.180,10.98.73.181,10.98.73.182,10.98.73.183,10.98.73.184</v>
      </c>
      <c r="E32" s="153" t="str">
        <f>_xlfn.XLOOKUP(NfsExportsServices[[#This Row],[FMO Volume Name]],NfsExports[FMO Volume Name],NfsExports[Actual Mount Info],"")</f>
        <v>10.98.89.8:/t2_shareq_pfb/apps/nfs/shareQ</v>
      </c>
      <c r="F32" s="153"/>
      <c r="G32" s="153">
        <f>TYPE(NfsExportsServices[[#This Row],[FMO VM Name Summary]])</f>
        <v>2</v>
      </c>
      <c r="H32" s="153" t="str">
        <f>T(NfsExportsServices[[#This Row],[FMO VM Name Summary]])</f>
        <v>10.98.73.175,10.98.73.176,10.98.73.177,10.98.73.178,10.98.73.179,10.98.73.180,10.98.73.181,10.98.73.182,10.98.73.183,10.98.73.184</v>
      </c>
      <c r="I32" s="153">
        <f>LEN(NfsExportsServices[[#This Row],[FMO VM Name Summary]])</f>
        <v>129</v>
      </c>
    </row>
    <row r="33" spans="1:9" x14ac:dyDescent="0.35">
      <c r="A33" s="101" t="s">
        <v>3227</v>
      </c>
      <c r="B33" t="s">
        <v>4741</v>
      </c>
      <c r="C33" t="str">
        <f>_xlfn.XLOOKUP(NfsExportsServices[[#This Row],[FMO Volume Name]],NfsExports[FMO Volume Name],NfsExports[FMO Export Summary],"")</f>
        <v>/apps/nfs/t2_portal_pfb 30GB</v>
      </c>
      <c r="D33" t="str" cm="1">
        <f t="array" ref="D33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10.98.73.5,10.98.73.6,10.98.73.7,10.98.73.8,10.98.73.9,10.98.73.10</v>
      </c>
      <c r="E33" t="str">
        <f>_xlfn.XLOOKUP(NfsExportsServices[[#This Row],[FMO Volume Name]],NfsExports[FMO Volume Name],NfsExports[Actual Mount Info],"")</f>
        <v>10.98.89.8:/t2_portal_pfb/apps/nfs/portal</v>
      </c>
      <c r="G33">
        <f>TYPE(NfsExportsServices[[#This Row],[FMO VM Name Summary]])</f>
        <v>2</v>
      </c>
      <c r="H33" t="str">
        <f>T(NfsExportsServices[[#This Row],[FMO VM Name Summary]])</f>
        <v>10.98.73.5,10.98.73.6,10.98.73.7,10.98.73.8,10.98.73.9,10.98.73.10</v>
      </c>
      <c r="I33">
        <f>LEN(NfsExportsServices[[#This Row],[FMO VM Name Summary]])</f>
        <v>66</v>
      </c>
    </row>
    <row r="52" spans="1:1" x14ac:dyDescent="0.35">
      <c r="A52" s="68"/>
    </row>
  </sheetData>
  <phoneticPr fontId="13" type="noConversion"/>
  <dataValidations count="1">
    <dataValidation operator="lessThanOrEqual" allowBlank="1" showInputMessage="1" showErrorMessage="1" sqref="D25" xr:uid="{1089D3BE-C602-4148-80DF-D5008D8F970E}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0CD4-5D27-4F52-BE96-BB1521389C31}">
  <sheetPr codeName="Sheet8"/>
  <dimension ref="A1:D3"/>
  <sheetViews>
    <sheetView workbookViewId="0">
      <selection activeCell="C16" sqref="C16"/>
    </sheetView>
  </sheetViews>
  <sheetFormatPr defaultRowHeight="14.5" x14ac:dyDescent="0.35"/>
  <cols>
    <col min="1" max="1" width="19.81640625" bestFit="1" customWidth="1"/>
    <col min="2" max="2" width="69" customWidth="1"/>
    <col min="3" max="3" width="29.453125" customWidth="1"/>
    <col min="4" max="4" width="33" customWidth="1"/>
  </cols>
  <sheetData>
    <row r="1" spans="1:4" x14ac:dyDescent="0.35">
      <c r="A1" s="33" t="s">
        <v>3179</v>
      </c>
      <c r="B1" s="33" t="s">
        <v>4084</v>
      </c>
      <c r="C1" s="36" t="s">
        <v>4085</v>
      </c>
      <c r="D1" s="36" t="s">
        <v>4066</v>
      </c>
    </row>
    <row r="2" spans="1:4" x14ac:dyDescent="0.35">
      <c r="A2" s="137" t="s">
        <v>3202</v>
      </c>
      <c r="B2" s="128" t="s">
        <v>760</v>
      </c>
      <c r="C2" s="12" t="str">
        <f>_xlfn.XLOOKUP(NfsExportsVNets[[#This Row],[FMO Vnet]],NetworkReference[Virtual Network],NetworkReference[VNET CIDR],"")</f>
        <v>10.98.40.0/21</v>
      </c>
      <c r="D2" t="str">
        <f>_xlfn.XLOOKUP(NfsExportsVNets[[#This Row],[FMO Volume Name]],NfsExports[FMO Volume Name],NfsExports[FMO Export Summary],"")</f>
        <v>/t3_nfs_1 11000GB</v>
      </c>
    </row>
    <row r="3" spans="1:4" x14ac:dyDescent="0.35">
      <c r="A3" s="137" t="s">
        <v>3208</v>
      </c>
      <c r="B3" s="128" t="s">
        <v>760</v>
      </c>
      <c r="C3" s="12" t="str">
        <f>_xlfn.XLOOKUP(NfsExportsVNets[[#This Row],[FMO Vnet]],NetworkReference[Virtual Network],NetworkReference[VNET CIDR],"")</f>
        <v>10.98.40.0/21</v>
      </c>
      <c r="D3" t="str">
        <f>_xlfn.XLOOKUP(NfsExportsVNets[[#This Row],[FMO Volume Name]],NfsExports[FMO Volume Name],NfsExports[FMO Export Summary],"")</f>
        <v>/t4_nfs_1 3000GB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29F4-5FAF-4EFB-A042-E4F74A51FD34}">
  <sheetPr codeName="Sheet9"/>
  <dimension ref="A1:D6"/>
  <sheetViews>
    <sheetView workbookViewId="0">
      <selection activeCell="A15" sqref="A15"/>
    </sheetView>
  </sheetViews>
  <sheetFormatPr defaultRowHeight="14.5" x14ac:dyDescent="0.35"/>
  <cols>
    <col min="1" max="1" width="22.54296875" customWidth="1"/>
    <col min="2" max="3" width="33.1796875" customWidth="1"/>
    <col min="4" max="4" width="29.26953125" customWidth="1"/>
  </cols>
  <sheetData>
    <row r="1" spans="1:4" x14ac:dyDescent="0.35">
      <c r="A1" s="33" t="s">
        <v>3179</v>
      </c>
      <c r="B1" s="33" t="s">
        <v>4086</v>
      </c>
      <c r="C1" s="33" t="s">
        <v>4087</v>
      </c>
      <c r="D1" s="36" t="s">
        <v>4066</v>
      </c>
    </row>
    <row r="2" spans="1:4" x14ac:dyDescent="0.35">
      <c r="A2" s="54" t="s">
        <v>4088</v>
      </c>
      <c r="B2" s="55" t="s">
        <v>4089</v>
      </c>
      <c r="C2" s="55" t="str">
        <f>_xlfn.XLOOKUP(NfsExportsSubnets[[#This Row],[FMO Subnet]],NetworkReference[Subnet],NetworkReference[SNET CIDR],"")</f>
        <v>10.96.51.128/25</v>
      </c>
      <c r="D2" s="54" t="str">
        <f>_xlfn.XLOOKUP(NfsExportsSubnets[[#This Row],[FMO Volume Name]],NfsExports[FMO Volume Name],NfsExports[FMO Export Summary],"")</f>
        <v/>
      </c>
    </row>
    <row r="6" spans="1:4" x14ac:dyDescent="0.35">
      <c r="A6" t="s">
        <v>4090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A9BF-E76A-4DCF-890B-9ACF8F97696D}">
  <sheetPr codeName="Sheet10"/>
  <dimension ref="A1:L4"/>
  <sheetViews>
    <sheetView workbookViewId="0">
      <selection activeCell="K9" sqref="K9"/>
    </sheetView>
  </sheetViews>
  <sheetFormatPr defaultRowHeight="14.5" x14ac:dyDescent="0.35"/>
  <cols>
    <col min="1" max="1" width="31.1796875" bestFit="1" customWidth="1"/>
    <col min="2" max="2" width="37.81640625" bestFit="1" customWidth="1"/>
    <col min="3" max="3" width="24.54296875" customWidth="1"/>
    <col min="4" max="4" width="17.54296875" bestFit="1" customWidth="1"/>
    <col min="5" max="5" width="12.54296875" bestFit="1" customWidth="1"/>
    <col min="6" max="6" width="12.54296875" customWidth="1"/>
    <col min="7" max="7" width="22.54296875" customWidth="1"/>
    <col min="8" max="8" width="33.26953125" bestFit="1" customWidth="1"/>
    <col min="9" max="9" width="29.26953125" customWidth="1"/>
    <col min="10" max="10" width="24.1796875" customWidth="1"/>
    <col min="11" max="11" width="33.453125" customWidth="1"/>
    <col min="12" max="12" width="75.1796875" bestFit="1" customWidth="1"/>
  </cols>
  <sheetData>
    <row r="1" spans="1:12" x14ac:dyDescent="0.35">
      <c r="H1" s="160" t="s">
        <v>3164</v>
      </c>
      <c r="I1" s="160"/>
      <c r="J1" s="160"/>
    </row>
    <row r="2" spans="1:12" ht="31.5" thickBot="1" x14ac:dyDescent="0.4">
      <c r="A2" s="2" t="s">
        <v>0</v>
      </c>
      <c r="B2" s="3" t="s">
        <v>4091</v>
      </c>
      <c r="C2" s="3" t="s">
        <v>4092</v>
      </c>
      <c r="D2" s="2" t="s">
        <v>3</v>
      </c>
      <c r="E2" s="2" t="s">
        <v>4093</v>
      </c>
      <c r="F2" s="2" t="s">
        <v>4094</v>
      </c>
      <c r="G2" s="2" t="s">
        <v>4095</v>
      </c>
      <c r="H2" s="5" t="s">
        <v>3169</v>
      </c>
      <c r="I2" s="5" t="s">
        <v>3170</v>
      </c>
      <c r="J2" s="5" t="s">
        <v>3171</v>
      </c>
      <c r="K2" s="2" t="s">
        <v>4</v>
      </c>
      <c r="L2" s="2" t="s">
        <v>5</v>
      </c>
    </row>
    <row r="3" spans="1:12" x14ac:dyDescent="0.35">
      <c r="A3" s="154" t="s">
        <v>4096</v>
      </c>
      <c r="B3" s="161"/>
      <c r="C3" s="161"/>
      <c r="D3" s="161"/>
      <c r="E3" s="161"/>
      <c r="F3" s="161"/>
      <c r="G3" s="161"/>
      <c r="H3" s="161"/>
      <c r="I3" s="161"/>
      <c r="J3" s="161"/>
      <c r="K3" s="155"/>
      <c r="L3" s="162"/>
    </row>
    <row r="4" spans="1:12" ht="252.75" customHeight="1" x14ac:dyDescent="0.35">
      <c r="A4" s="1"/>
      <c r="B4" s="1"/>
      <c r="C4" s="1"/>
      <c r="D4" s="1"/>
      <c r="E4" s="1"/>
      <c r="F4" s="1"/>
      <c r="G4" s="1"/>
      <c r="H4" s="13"/>
      <c r="I4" s="13"/>
      <c r="J4" s="13"/>
      <c r="K4" s="14" t="s">
        <v>4097</v>
      </c>
      <c r="L4" s="1" t="s">
        <v>4098</v>
      </c>
    </row>
  </sheetData>
  <mergeCells count="2">
    <mergeCell ref="H1:J1"/>
    <mergeCell ref="A3:L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877C-2FA0-46A9-B657-B85B9DE19A9A}">
  <sheetPr codeName="Sheet11"/>
  <dimension ref="A1:P15"/>
  <sheetViews>
    <sheetView topLeftCell="I1" workbookViewId="0">
      <selection activeCell="P2" sqref="P2:P15"/>
    </sheetView>
  </sheetViews>
  <sheetFormatPr defaultRowHeight="14.5" x14ac:dyDescent="0.35"/>
  <cols>
    <col min="1" max="1" width="31" customWidth="1"/>
    <col min="2" max="2" width="32.81640625" customWidth="1"/>
    <col min="3" max="3" width="25.54296875" customWidth="1"/>
    <col min="4" max="4" width="28.453125" customWidth="1"/>
    <col min="5" max="5" width="33.453125" customWidth="1"/>
    <col min="6" max="6" width="29.54296875" customWidth="1"/>
    <col min="7" max="8" width="17.81640625" customWidth="1"/>
    <col min="9" max="9" width="28.54296875" customWidth="1"/>
    <col min="10" max="11" width="17.81640625" customWidth="1"/>
    <col min="12" max="12" width="33.54296875" customWidth="1"/>
    <col min="13" max="14" width="17.81640625" customWidth="1"/>
    <col min="15" max="15" width="47.7265625" customWidth="1"/>
    <col min="16" max="16" width="61.26953125" customWidth="1"/>
  </cols>
  <sheetData>
    <row r="1" spans="1:16" s="4" customFormat="1" ht="31.5" thickBot="1" x14ac:dyDescent="0.4">
      <c r="A1" s="2" t="s">
        <v>0</v>
      </c>
      <c r="B1" s="3" t="s">
        <v>3169</v>
      </c>
      <c r="C1" s="3" t="s">
        <v>3170</v>
      </c>
      <c r="D1" s="3" t="s">
        <v>3171</v>
      </c>
      <c r="E1" s="3" t="s">
        <v>4099</v>
      </c>
      <c r="F1" s="3" t="s">
        <v>4100</v>
      </c>
      <c r="G1" s="2" t="s">
        <v>3</v>
      </c>
      <c r="H1" s="166" t="s">
        <v>4101</v>
      </c>
      <c r="I1" s="167"/>
      <c r="J1" s="167"/>
      <c r="K1" s="167"/>
      <c r="L1" s="167"/>
      <c r="M1" s="167"/>
      <c r="N1" s="168"/>
      <c r="O1" s="6" t="s">
        <v>4</v>
      </c>
      <c r="P1" s="2" t="s">
        <v>5</v>
      </c>
    </row>
    <row r="2" spans="1:16" ht="15.5" thickTop="1" thickBot="1" x14ac:dyDescent="0.4">
      <c r="A2" s="172" t="s">
        <v>4102</v>
      </c>
      <c r="B2" s="172" t="s">
        <v>4102</v>
      </c>
      <c r="C2" s="172" t="s">
        <v>4102</v>
      </c>
      <c r="D2" s="172" t="s">
        <v>4102</v>
      </c>
      <c r="E2" s="172" t="s">
        <v>4102</v>
      </c>
      <c r="F2" s="172" t="s">
        <v>4102</v>
      </c>
      <c r="G2" s="175" t="s">
        <v>4102</v>
      </c>
      <c r="H2" s="169" t="s">
        <v>4103</v>
      </c>
      <c r="I2" s="169"/>
      <c r="J2" s="169"/>
      <c r="K2" s="169"/>
      <c r="L2" s="169"/>
      <c r="M2" s="169"/>
      <c r="N2" s="170"/>
      <c r="O2" s="171" t="s">
        <v>4104</v>
      </c>
      <c r="P2" s="163" t="s">
        <v>4105</v>
      </c>
    </row>
    <row r="3" spans="1:16" ht="15" thickTop="1" x14ac:dyDescent="0.35">
      <c r="A3" s="173"/>
      <c r="B3" s="173"/>
      <c r="C3" s="173"/>
      <c r="D3" s="173"/>
      <c r="E3" s="173"/>
      <c r="F3" s="173"/>
      <c r="G3" s="176"/>
      <c r="H3" s="7" t="s">
        <v>4106</v>
      </c>
      <c r="I3" s="7" t="s">
        <v>4107</v>
      </c>
      <c r="J3" s="7" t="s">
        <v>4108</v>
      </c>
      <c r="K3" s="7" t="s">
        <v>4109</v>
      </c>
      <c r="L3" s="7" t="s">
        <v>4110</v>
      </c>
      <c r="M3" s="7" t="s">
        <v>4111</v>
      </c>
      <c r="N3" s="9" t="s">
        <v>4112</v>
      </c>
      <c r="O3" s="171"/>
      <c r="P3" s="164"/>
    </row>
    <row r="4" spans="1:16" x14ac:dyDescent="0.35">
      <c r="A4" s="173"/>
      <c r="B4" s="173"/>
      <c r="C4" s="173"/>
      <c r="D4" s="173"/>
      <c r="E4" s="173"/>
      <c r="F4" s="173"/>
      <c r="G4" s="176"/>
      <c r="H4" s="8">
        <v>65000</v>
      </c>
      <c r="I4" s="8" t="s">
        <v>4113</v>
      </c>
      <c r="J4" s="8" t="s">
        <v>4114</v>
      </c>
      <c r="K4" s="8" t="s">
        <v>4114</v>
      </c>
      <c r="L4" s="8" t="s">
        <v>696</v>
      </c>
      <c r="M4" s="8" t="s">
        <v>696</v>
      </c>
      <c r="N4" s="10" t="s">
        <v>4115</v>
      </c>
      <c r="O4" s="171"/>
      <c r="P4" s="164"/>
    </row>
    <row r="5" spans="1:16" x14ac:dyDescent="0.35">
      <c r="A5" s="173"/>
      <c r="B5" s="173"/>
      <c r="C5" s="173"/>
      <c r="D5" s="173"/>
      <c r="E5" s="173"/>
      <c r="F5" s="173"/>
      <c r="G5" s="176"/>
      <c r="H5" s="8">
        <v>65001</v>
      </c>
      <c r="I5" s="8" t="s">
        <v>4116</v>
      </c>
      <c r="J5" s="8" t="s">
        <v>4114</v>
      </c>
      <c r="K5" s="8" t="s">
        <v>4114</v>
      </c>
      <c r="L5" s="8" t="s">
        <v>4117</v>
      </c>
      <c r="M5" s="8" t="s">
        <v>4114</v>
      </c>
      <c r="N5" s="10" t="s">
        <v>4115</v>
      </c>
      <c r="O5" s="171"/>
      <c r="P5" s="164"/>
    </row>
    <row r="6" spans="1:16" x14ac:dyDescent="0.35">
      <c r="A6" s="173"/>
      <c r="B6" s="173"/>
      <c r="C6" s="173"/>
      <c r="D6" s="173"/>
      <c r="E6" s="173"/>
      <c r="F6" s="173"/>
      <c r="G6" s="176"/>
      <c r="H6" s="8">
        <v>65500</v>
      </c>
      <c r="I6" s="8" t="s">
        <v>4118</v>
      </c>
      <c r="J6" s="8" t="s">
        <v>4114</v>
      </c>
      <c r="K6" s="8" t="s">
        <v>4114</v>
      </c>
      <c r="L6" s="8" t="s">
        <v>4114</v>
      </c>
      <c r="M6" s="8" t="s">
        <v>4114</v>
      </c>
      <c r="N6" s="10" t="s">
        <v>4119</v>
      </c>
      <c r="O6" s="171"/>
      <c r="P6" s="164"/>
    </row>
    <row r="7" spans="1:16" x14ac:dyDescent="0.35">
      <c r="A7" s="173"/>
      <c r="B7" s="173"/>
      <c r="C7" s="173"/>
      <c r="D7" s="173"/>
      <c r="E7" s="173"/>
      <c r="F7" s="173"/>
      <c r="G7" s="176"/>
      <c r="H7" s="11">
        <v>1000</v>
      </c>
      <c r="I7" s="1" t="s">
        <v>4120</v>
      </c>
      <c r="J7" s="1" t="s">
        <v>4114</v>
      </c>
      <c r="K7" s="1" t="s">
        <v>4114</v>
      </c>
      <c r="L7" s="1" t="s">
        <v>4121</v>
      </c>
      <c r="M7" s="1" t="s">
        <v>4114</v>
      </c>
      <c r="N7" s="10" t="s">
        <v>4115</v>
      </c>
      <c r="O7" s="171"/>
      <c r="P7" s="164"/>
    </row>
    <row r="8" spans="1:16" x14ac:dyDescent="0.35">
      <c r="A8" s="173"/>
      <c r="B8" s="173"/>
      <c r="C8" s="173"/>
      <c r="D8" s="173"/>
      <c r="E8" s="173"/>
      <c r="F8" s="173"/>
      <c r="G8" s="176"/>
      <c r="H8" s="11">
        <v>1010</v>
      </c>
      <c r="I8" s="1" t="s">
        <v>4122</v>
      </c>
      <c r="J8" s="1" t="s">
        <v>4114</v>
      </c>
      <c r="K8" s="1" t="s">
        <v>4114</v>
      </c>
      <c r="L8" s="1" t="s">
        <v>4123</v>
      </c>
      <c r="M8" s="1" t="s">
        <v>4114</v>
      </c>
      <c r="N8" s="10" t="s">
        <v>4115</v>
      </c>
      <c r="O8" s="171"/>
      <c r="P8" s="164"/>
    </row>
    <row r="9" spans="1:16" ht="15" thickBot="1" x14ac:dyDescent="0.4">
      <c r="A9" s="173"/>
      <c r="B9" s="173"/>
      <c r="C9" s="173"/>
      <c r="D9" s="173"/>
      <c r="E9" s="173"/>
      <c r="F9" s="173"/>
      <c r="G9" s="176"/>
      <c r="H9" s="1"/>
      <c r="I9" s="1"/>
      <c r="J9" s="1"/>
      <c r="K9" s="1"/>
      <c r="L9" s="1"/>
      <c r="M9" s="1"/>
      <c r="N9" s="10"/>
      <c r="O9" s="171"/>
      <c r="P9" s="164"/>
    </row>
    <row r="10" spans="1:16" ht="15.5" thickTop="1" thickBot="1" x14ac:dyDescent="0.4">
      <c r="A10" s="173"/>
      <c r="B10" s="173"/>
      <c r="C10" s="173"/>
      <c r="D10" s="173"/>
      <c r="E10" s="173"/>
      <c r="F10" s="173"/>
      <c r="G10" s="176"/>
      <c r="H10" s="169" t="s">
        <v>4124</v>
      </c>
      <c r="I10" s="169"/>
      <c r="J10" s="169"/>
      <c r="K10" s="169"/>
      <c r="L10" s="169"/>
      <c r="M10" s="169"/>
      <c r="N10" s="170"/>
      <c r="O10" s="171"/>
      <c r="P10" s="164"/>
    </row>
    <row r="11" spans="1:16" ht="15" thickTop="1" x14ac:dyDescent="0.35">
      <c r="A11" s="173"/>
      <c r="B11" s="173"/>
      <c r="C11" s="173"/>
      <c r="D11" s="173"/>
      <c r="E11" s="173"/>
      <c r="F11" s="173"/>
      <c r="G11" s="176"/>
      <c r="H11" s="7" t="s">
        <v>4106</v>
      </c>
      <c r="I11" s="7" t="s">
        <v>4107</v>
      </c>
      <c r="J11" s="7" t="s">
        <v>4108</v>
      </c>
      <c r="K11" s="7" t="s">
        <v>4109</v>
      </c>
      <c r="L11" s="7" t="s">
        <v>4110</v>
      </c>
      <c r="M11" s="7" t="s">
        <v>4111</v>
      </c>
      <c r="N11" s="9" t="s">
        <v>4112</v>
      </c>
      <c r="O11" s="171"/>
      <c r="P11" s="164"/>
    </row>
    <row r="12" spans="1:16" x14ac:dyDescent="0.35">
      <c r="A12" s="173"/>
      <c r="B12" s="173"/>
      <c r="C12" s="173"/>
      <c r="D12" s="173"/>
      <c r="E12" s="173"/>
      <c r="F12" s="173"/>
      <c r="G12" s="176"/>
      <c r="H12" s="8">
        <v>65000</v>
      </c>
      <c r="I12" s="8" t="s">
        <v>4125</v>
      </c>
      <c r="J12" s="8" t="s">
        <v>4114</v>
      </c>
      <c r="K12" s="8" t="s">
        <v>4114</v>
      </c>
      <c r="L12" s="8" t="s">
        <v>696</v>
      </c>
      <c r="M12" s="8" t="s">
        <v>696</v>
      </c>
      <c r="N12" s="10" t="s">
        <v>4115</v>
      </c>
      <c r="O12" s="171"/>
      <c r="P12" s="164"/>
    </row>
    <row r="13" spans="1:16" x14ac:dyDescent="0.35">
      <c r="A13" s="173"/>
      <c r="B13" s="173"/>
      <c r="C13" s="173"/>
      <c r="D13" s="173"/>
      <c r="E13" s="173"/>
      <c r="F13" s="173"/>
      <c r="G13" s="176"/>
      <c r="H13" s="8">
        <v>65001</v>
      </c>
      <c r="I13" s="8" t="s">
        <v>4126</v>
      </c>
      <c r="J13" s="8" t="s">
        <v>4114</v>
      </c>
      <c r="K13" s="8" t="s">
        <v>4114</v>
      </c>
      <c r="L13" s="8" t="s">
        <v>4114</v>
      </c>
      <c r="M13" s="8" t="s">
        <v>4127</v>
      </c>
      <c r="N13" s="10" t="s">
        <v>4115</v>
      </c>
      <c r="O13" s="171"/>
      <c r="P13" s="164"/>
    </row>
    <row r="14" spans="1:16" x14ac:dyDescent="0.35">
      <c r="A14" s="173"/>
      <c r="B14" s="173"/>
      <c r="C14" s="173"/>
      <c r="D14" s="173"/>
      <c r="E14" s="173"/>
      <c r="F14" s="173"/>
      <c r="G14" s="176"/>
      <c r="H14" s="8">
        <v>65500</v>
      </c>
      <c r="I14" s="8" t="s">
        <v>4128</v>
      </c>
      <c r="J14" s="8" t="s">
        <v>4114</v>
      </c>
      <c r="K14" s="8" t="s">
        <v>4114</v>
      </c>
      <c r="L14" s="8" t="s">
        <v>4114</v>
      </c>
      <c r="M14" s="8" t="s">
        <v>4114</v>
      </c>
      <c r="N14" s="10" t="s">
        <v>4119</v>
      </c>
      <c r="O14" s="171"/>
      <c r="P14" s="164"/>
    </row>
    <row r="15" spans="1:16" x14ac:dyDescent="0.35">
      <c r="A15" s="174"/>
      <c r="B15" s="174"/>
      <c r="C15" s="174"/>
      <c r="D15" s="174"/>
      <c r="E15" s="174"/>
      <c r="F15" s="174"/>
      <c r="G15" s="177"/>
      <c r="H15" s="1"/>
      <c r="I15" s="1"/>
      <c r="J15" s="1"/>
      <c r="K15" s="1"/>
      <c r="L15" s="1"/>
      <c r="M15" s="1"/>
      <c r="N15" s="10"/>
      <c r="O15" s="171"/>
      <c r="P15" s="165"/>
    </row>
  </sheetData>
  <mergeCells count="12">
    <mergeCell ref="F2:F15"/>
    <mergeCell ref="G2:G15"/>
    <mergeCell ref="A2:A15"/>
    <mergeCell ref="B2:B15"/>
    <mergeCell ref="C2:C15"/>
    <mergeCell ref="D2:D15"/>
    <mergeCell ref="E2:E15"/>
    <mergeCell ref="P2:P15"/>
    <mergeCell ref="H1:N1"/>
    <mergeCell ref="H2:N2"/>
    <mergeCell ref="O2:O15"/>
    <mergeCell ref="H10:N1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C571-62E7-49C0-BB36-D1D6EDC6F8C6}">
  <sheetPr codeName="Sheet12"/>
  <dimension ref="A1:E3"/>
  <sheetViews>
    <sheetView workbookViewId="0">
      <selection activeCell="A14" sqref="A14"/>
    </sheetView>
  </sheetViews>
  <sheetFormatPr defaultRowHeight="14.5" x14ac:dyDescent="0.35"/>
  <cols>
    <col min="1" max="1" width="93.81640625" customWidth="1"/>
  </cols>
  <sheetData>
    <row r="1" spans="1:5" ht="159.5" x14ac:dyDescent="0.35">
      <c r="A1" s="12" t="s">
        <v>4129</v>
      </c>
    </row>
    <row r="3" spans="1:5" x14ac:dyDescent="0.35">
      <c r="A3" s="21" t="s">
        <v>4130</v>
      </c>
      <c r="B3" s="21" t="s">
        <v>4131</v>
      </c>
      <c r="C3" s="21" t="s">
        <v>4132</v>
      </c>
      <c r="D3" s="21" t="s">
        <v>4133</v>
      </c>
      <c r="E3" s="21" t="s">
        <v>4134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E89E-7B87-46D9-8B2E-BB509395FA8F}">
  <sheetPr codeName="Sheet13"/>
  <dimension ref="A1:K60"/>
  <sheetViews>
    <sheetView topLeftCell="A19" zoomScale="75" zoomScaleNormal="75" workbookViewId="0">
      <selection activeCell="G64" sqref="G64"/>
    </sheetView>
  </sheetViews>
  <sheetFormatPr defaultRowHeight="14.5" x14ac:dyDescent="0.35"/>
  <cols>
    <col min="1" max="1" width="18.26953125" bestFit="1" customWidth="1"/>
    <col min="2" max="2" width="11.26953125" bestFit="1" customWidth="1"/>
    <col min="3" max="3" width="30" bestFit="1" customWidth="1"/>
    <col min="4" max="4" width="13.7265625" bestFit="1" customWidth="1"/>
    <col min="5" max="5" width="27.54296875" bestFit="1" customWidth="1"/>
    <col min="6" max="6" width="36" bestFit="1" customWidth="1"/>
    <col min="7" max="7" width="27.1796875" bestFit="1" customWidth="1"/>
    <col min="8" max="8" width="15.7265625" bestFit="1" customWidth="1"/>
    <col min="9" max="9" width="13.453125" bestFit="1" customWidth="1"/>
    <col min="10" max="10" width="28.81640625" bestFit="1" customWidth="1"/>
    <col min="11" max="11" width="12" bestFit="1" customWidth="1"/>
  </cols>
  <sheetData>
    <row r="1" spans="1:11" ht="29" x14ac:dyDescent="0.35">
      <c r="A1" t="s">
        <v>0</v>
      </c>
      <c r="B1" t="s">
        <v>4135</v>
      </c>
      <c r="C1" s="12" t="s">
        <v>8</v>
      </c>
      <c r="D1" s="12" t="s">
        <v>4136</v>
      </c>
      <c r="E1" s="12" t="s">
        <v>7</v>
      </c>
      <c r="F1" s="12" t="s">
        <v>4137</v>
      </c>
      <c r="G1" s="12" t="s">
        <v>9</v>
      </c>
      <c r="H1" t="s">
        <v>4138</v>
      </c>
      <c r="I1" t="s">
        <v>5</v>
      </c>
      <c r="J1" t="s">
        <v>4139</v>
      </c>
      <c r="K1" t="s">
        <v>4140</v>
      </c>
    </row>
    <row r="2" spans="1:11" x14ac:dyDescent="0.35">
      <c r="A2" t="s">
        <v>4141</v>
      </c>
      <c r="B2" t="s">
        <v>4142</v>
      </c>
      <c r="C2" s="12" t="s">
        <v>4143</v>
      </c>
      <c r="D2" s="12" t="s">
        <v>4144</v>
      </c>
      <c r="E2" t="s">
        <v>4145</v>
      </c>
      <c r="F2" t="s">
        <v>4146</v>
      </c>
      <c r="G2" s="12" t="s">
        <v>4147</v>
      </c>
      <c r="H2" s="57" t="s">
        <v>4148</v>
      </c>
      <c r="I2" s="30" t="s">
        <v>4149</v>
      </c>
      <c r="J2" s="30" t="s">
        <v>4150</v>
      </c>
    </row>
    <row r="3" spans="1:11" x14ac:dyDescent="0.35">
      <c r="A3" t="s">
        <v>4151</v>
      </c>
      <c r="B3" t="s">
        <v>4152</v>
      </c>
      <c r="C3" s="12" t="s">
        <v>4153</v>
      </c>
      <c r="D3" s="12" t="s">
        <v>4154</v>
      </c>
      <c r="E3" s="12" t="s">
        <v>4155</v>
      </c>
      <c r="F3" s="12" t="s">
        <v>4146</v>
      </c>
      <c r="G3" s="12" t="s">
        <v>4156</v>
      </c>
      <c r="H3" s="57" t="s">
        <v>4157</v>
      </c>
      <c r="I3" s="30" t="s">
        <v>4158</v>
      </c>
      <c r="J3" s="30" t="s">
        <v>4159</v>
      </c>
    </row>
    <row r="4" spans="1:11" x14ac:dyDescent="0.35">
      <c r="A4" t="s">
        <v>4151</v>
      </c>
      <c r="B4" t="s">
        <v>4152</v>
      </c>
      <c r="C4" s="12" t="s">
        <v>4153</v>
      </c>
      <c r="D4" s="12" t="s">
        <v>4154</v>
      </c>
      <c r="E4" s="12" t="s">
        <v>4155</v>
      </c>
      <c r="F4" s="12" t="s">
        <v>4146</v>
      </c>
      <c r="G4" s="12" t="s">
        <v>4160</v>
      </c>
      <c r="H4" s="57" t="s">
        <v>4161</v>
      </c>
      <c r="I4" s="30" t="s">
        <v>4162</v>
      </c>
      <c r="J4" s="30" t="s">
        <v>4163</v>
      </c>
    </row>
    <row r="5" spans="1:11" x14ac:dyDescent="0.35">
      <c r="A5" t="s">
        <v>4151</v>
      </c>
      <c r="B5" t="s">
        <v>4152</v>
      </c>
      <c r="C5" s="12" t="s">
        <v>4153</v>
      </c>
      <c r="D5" s="12" t="s">
        <v>4154</v>
      </c>
      <c r="E5" s="12" t="s">
        <v>4155</v>
      </c>
      <c r="F5" s="12" t="s">
        <v>4146</v>
      </c>
      <c r="G5" s="12" t="s">
        <v>4164</v>
      </c>
      <c r="H5" s="57" t="s">
        <v>4165</v>
      </c>
      <c r="I5" s="30" t="s">
        <v>4166</v>
      </c>
      <c r="J5" s="30" t="s">
        <v>4167</v>
      </c>
    </row>
    <row r="6" spans="1:11" x14ac:dyDescent="0.35">
      <c r="A6" t="s">
        <v>4151</v>
      </c>
      <c r="B6" t="s">
        <v>4152</v>
      </c>
      <c r="C6" s="12" t="s">
        <v>4153</v>
      </c>
      <c r="D6" s="12" t="s">
        <v>4154</v>
      </c>
      <c r="E6" s="12" t="s">
        <v>4168</v>
      </c>
      <c r="F6" s="12" t="s">
        <v>4146</v>
      </c>
      <c r="G6" s="12" t="s">
        <v>4169</v>
      </c>
      <c r="H6" s="57" t="s">
        <v>4170</v>
      </c>
      <c r="I6" s="30" t="s">
        <v>4158</v>
      </c>
      <c r="J6" s="30" t="s">
        <v>4171</v>
      </c>
    </row>
    <row r="7" spans="1:11" x14ac:dyDescent="0.35">
      <c r="A7" t="s">
        <v>4151</v>
      </c>
      <c r="B7" t="s">
        <v>4152</v>
      </c>
      <c r="C7" s="12" t="s">
        <v>4153</v>
      </c>
      <c r="D7" s="12" t="s">
        <v>4154</v>
      </c>
      <c r="E7" s="12" t="s">
        <v>4168</v>
      </c>
      <c r="F7" s="12" t="s">
        <v>4146</v>
      </c>
      <c r="G7" s="12" t="s">
        <v>4172</v>
      </c>
      <c r="H7" s="57" t="s">
        <v>4173</v>
      </c>
      <c r="I7" s="30" t="s">
        <v>4162</v>
      </c>
      <c r="J7" s="30" t="s">
        <v>4174</v>
      </c>
    </row>
    <row r="8" spans="1:11" x14ac:dyDescent="0.35">
      <c r="A8" t="s">
        <v>4151</v>
      </c>
      <c r="B8" t="s">
        <v>4152</v>
      </c>
      <c r="C8" s="12" t="s">
        <v>4153</v>
      </c>
      <c r="D8" s="12" t="s">
        <v>4154</v>
      </c>
      <c r="E8" s="12" t="s">
        <v>4168</v>
      </c>
      <c r="F8" s="12" t="s">
        <v>4146</v>
      </c>
      <c r="G8" s="12" t="s">
        <v>4175</v>
      </c>
      <c r="H8" s="57" t="s">
        <v>4176</v>
      </c>
      <c r="I8" s="30" t="s">
        <v>4166</v>
      </c>
      <c r="J8" s="30" t="s">
        <v>4177</v>
      </c>
    </row>
    <row r="9" spans="1:11" x14ac:dyDescent="0.35">
      <c r="A9" t="s">
        <v>4151</v>
      </c>
      <c r="B9" t="s">
        <v>4152</v>
      </c>
      <c r="C9" s="12" t="s">
        <v>4153</v>
      </c>
      <c r="D9" s="12" t="s">
        <v>4154</v>
      </c>
      <c r="E9" s="12" t="s">
        <v>4168</v>
      </c>
      <c r="F9" s="12" t="s">
        <v>4146</v>
      </c>
      <c r="G9" s="12" t="s">
        <v>4178</v>
      </c>
      <c r="H9" s="57" t="s">
        <v>4179</v>
      </c>
      <c r="I9" s="30" t="s">
        <v>4158</v>
      </c>
      <c r="J9" s="30" t="s">
        <v>4180</v>
      </c>
    </row>
    <row r="10" spans="1:11" x14ac:dyDescent="0.35">
      <c r="A10" t="s">
        <v>4151</v>
      </c>
      <c r="B10" t="s">
        <v>4152</v>
      </c>
      <c r="C10" s="12" t="s">
        <v>4153</v>
      </c>
      <c r="D10" s="12" t="s">
        <v>4154</v>
      </c>
      <c r="E10" s="12" t="s">
        <v>4168</v>
      </c>
      <c r="F10" s="12" t="s">
        <v>4146</v>
      </c>
      <c r="G10" s="12" t="s">
        <v>4181</v>
      </c>
      <c r="H10" s="57" t="s">
        <v>4182</v>
      </c>
      <c r="I10" s="30" t="s">
        <v>4162</v>
      </c>
      <c r="J10" s="30" t="s">
        <v>4183</v>
      </c>
    </row>
    <row r="11" spans="1:11" x14ac:dyDescent="0.35">
      <c r="A11" t="s">
        <v>4151</v>
      </c>
      <c r="B11" t="s">
        <v>4152</v>
      </c>
      <c r="C11" s="12" t="s">
        <v>4153</v>
      </c>
      <c r="D11" s="12" t="s">
        <v>4154</v>
      </c>
      <c r="E11" s="12" t="s">
        <v>4168</v>
      </c>
      <c r="F11" s="12" t="s">
        <v>4146</v>
      </c>
      <c r="G11" s="12" t="s">
        <v>4184</v>
      </c>
      <c r="H11" s="57" t="s">
        <v>4185</v>
      </c>
      <c r="I11" s="30" t="s">
        <v>4166</v>
      </c>
      <c r="J11" s="30" t="s">
        <v>4186</v>
      </c>
    </row>
    <row r="12" spans="1:11" x14ac:dyDescent="0.35">
      <c r="A12" t="s">
        <v>4151</v>
      </c>
      <c r="B12" t="s">
        <v>4152</v>
      </c>
      <c r="C12" s="12" t="s">
        <v>4153</v>
      </c>
      <c r="D12" s="12" t="s">
        <v>4154</v>
      </c>
      <c r="E12" s="12" t="s">
        <v>4168</v>
      </c>
      <c r="F12" s="12" t="s">
        <v>4146</v>
      </c>
      <c r="G12" s="12" t="s">
        <v>4187</v>
      </c>
      <c r="H12" s="57" t="s">
        <v>4188</v>
      </c>
      <c r="I12" s="30" t="s">
        <v>4158</v>
      </c>
      <c r="J12" s="30" t="s">
        <v>4189</v>
      </c>
    </row>
    <row r="13" spans="1:11" x14ac:dyDescent="0.35">
      <c r="A13" t="s">
        <v>4151</v>
      </c>
      <c r="B13" t="s">
        <v>4152</v>
      </c>
      <c r="C13" s="12" t="s">
        <v>4153</v>
      </c>
      <c r="D13" s="12" t="s">
        <v>4154</v>
      </c>
      <c r="E13" s="12" t="s">
        <v>4168</v>
      </c>
      <c r="F13" s="12" t="s">
        <v>4146</v>
      </c>
      <c r="G13" t="s">
        <v>4190</v>
      </c>
      <c r="H13" t="s">
        <v>4191</v>
      </c>
      <c r="I13" s="30" t="s">
        <v>4162</v>
      </c>
      <c r="J13" s="30" t="s">
        <v>4192</v>
      </c>
    </row>
    <row r="14" spans="1:11" x14ac:dyDescent="0.35">
      <c r="A14" t="s">
        <v>4151</v>
      </c>
      <c r="B14" t="s">
        <v>4152</v>
      </c>
      <c r="C14" s="12" t="s">
        <v>4153</v>
      </c>
      <c r="D14" s="12" t="s">
        <v>4154</v>
      </c>
      <c r="E14" s="12" t="s">
        <v>4168</v>
      </c>
      <c r="F14" s="12" t="s">
        <v>4146</v>
      </c>
      <c r="G14" s="12" t="s">
        <v>4193</v>
      </c>
      <c r="H14" s="57" t="s">
        <v>4194</v>
      </c>
      <c r="I14" s="30" t="s">
        <v>4166</v>
      </c>
      <c r="J14" s="30" t="s">
        <v>4195</v>
      </c>
    </row>
    <row r="15" spans="1:11" ht="16.5" customHeight="1" x14ac:dyDescent="0.35">
      <c r="A15" t="s">
        <v>4196</v>
      </c>
      <c r="B15" t="s">
        <v>4197</v>
      </c>
      <c r="C15" s="12" t="s">
        <v>4198</v>
      </c>
      <c r="D15" s="12" t="s">
        <v>4199</v>
      </c>
      <c r="E15" s="12" t="s">
        <v>4200</v>
      </c>
      <c r="F15" s="12" t="s">
        <v>4146</v>
      </c>
      <c r="G15" s="12" t="s">
        <v>4201</v>
      </c>
      <c r="H15" s="57" t="s">
        <v>4202</v>
      </c>
      <c r="I15" s="30" t="s">
        <v>4203</v>
      </c>
      <c r="J15" s="30" t="s">
        <v>4204</v>
      </c>
    </row>
    <row r="16" spans="1:11" ht="15" customHeight="1" x14ac:dyDescent="0.35">
      <c r="A16" t="s">
        <v>4196</v>
      </c>
      <c r="B16" t="s">
        <v>4197</v>
      </c>
      <c r="C16" s="12" t="s">
        <v>4198</v>
      </c>
      <c r="D16" s="12" t="s">
        <v>4199</v>
      </c>
      <c r="E16" s="12" t="s">
        <v>4200</v>
      </c>
      <c r="F16" s="12" t="s">
        <v>4146</v>
      </c>
      <c r="G16" s="12" t="s">
        <v>4205</v>
      </c>
      <c r="H16" s="57" t="s">
        <v>4206</v>
      </c>
      <c r="I16" s="30" t="s">
        <v>4207</v>
      </c>
      <c r="J16" s="30" t="s">
        <v>4204</v>
      </c>
    </row>
    <row r="17" spans="1:10" ht="16.5" customHeight="1" x14ac:dyDescent="0.35">
      <c r="A17" t="s">
        <v>4196</v>
      </c>
      <c r="B17" t="s">
        <v>4197</v>
      </c>
      <c r="C17" s="12" t="s">
        <v>4198</v>
      </c>
      <c r="D17" s="12" t="s">
        <v>4199</v>
      </c>
      <c r="E17" s="12" t="s">
        <v>4200</v>
      </c>
      <c r="F17" s="12" t="s">
        <v>4146</v>
      </c>
      <c r="G17" s="12" t="s">
        <v>4208</v>
      </c>
      <c r="H17" s="57" t="s">
        <v>4209</v>
      </c>
      <c r="I17" s="30" t="s">
        <v>4210</v>
      </c>
      <c r="J17" s="30" t="s">
        <v>4204</v>
      </c>
    </row>
    <row r="18" spans="1:10" ht="18.75" customHeight="1" x14ac:dyDescent="0.35">
      <c r="A18" t="s">
        <v>4196</v>
      </c>
      <c r="B18" t="s">
        <v>4197</v>
      </c>
      <c r="C18" s="12" t="s">
        <v>4198</v>
      </c>
      <c r="D18" s="12" t="s">
        <v>4199</v>
      </c>
      <c r="E18" s="12" t="s">
        <v>4200</v>
      </c>
      <c r="F18" s="12" t="s">
        <v>4146</v>
      </c>
      <c r="G18" s="12" t="s">
        <v>4211</v>
      </c>
      <c r="H18" s="57" t="s">
        <v>4212</v>
      </c>
      <c r="I18" s="30" t="s">
        <v>4213</v>
      </c>
      <c r="J18" s="30" t="s">
        <v>4204</v>
      </c>
    </row>
    <row r="19" spans="1:10" ht="17.25" customHeight="1" x14ac:dyDescent="0.35">
      <c r="A19" t="s">
        <v>4196</v>
      </c>
      <c r="B19" t="s">
        <v>4197</v>
      </c>
      <c r="C19" s="12" t="s">
        <v>4198</v>
      </c>
      <c r="D19" s="12" t="s">
        <v>4199</v>
      </c>
      <c r="E19" s="12" t="s">
        <v>4200</v>
      </c>
      <c r="F19" s="12" t="s">
        <v>4146</v>
      </c>
      <c r="G19" s="12" t="s">
        <v>4214</v>
      </c>
      <c r="H19" s="57" t="s">
        <v>4215</v>
      </c>
      <c r="I19" s="30" t="s">
        <v>4216</v>
      </c>
      <c r="J19" s="30" t="s">
        <v>4204</v>
      </c>
    </row>
    <row r="20" spans="1:10" ht="18" customHeight="1" x14ac:dyDescent="0.35">
      <c r="A20" t="s">
        <v>4196</v>
      </c>
      <c r="B20" t="s">
        <v>4197</v>
      </c>
      <c r="C20" s="12" t="s">
        <v>4198</v>
      </c>
      <c r="D20" s="12" t="s">
        <v>4199</v>
      </c>
      <c r="E20" s="12" t="s">
        <v>4200</v>
      </c>
      <c r="F20" s="12" t="s">
        <v>4146</v>
      </c>
      <c r="G20" s="12" t="s">
        <v>4217</v>
      </c>
      <c r="H20" s="57" t="s">
        <v>4218</v>
      </c>
      <c r="I20" s="30" t="s">
        <v>4219</v>
      </c>
      <c r="J20" s="30" t="s">
        <v>4204</v>
      </c>
    </row>
    <row r="21" spans="1:10" ht="17.25" customHeight="1" x14ac:dyDescent="0.35">
      <c r="A21" t="s">
        <v>4196</v>
      </c>
      <c r="B21" t="s">
        <v>4197</v>
      </c>
      <c r="C21" s="12" t="s">
        <v>4198</v>
      </c>
      <c r="D21" s="12" t="s">
        <v>4199</v>
      </c>
      <c r="E21" s="12" t="s">
        <v>4200</v>
      </c>
      <c r="F21" s="12" t="s">
        <v>4146</v>
      </c>
      <c r="G21" s="12" t="s">
        <v>4220</v>
      </c>
      <c r="H21" s="57" t="s">
        <v>4221</v>
      </c>
      <c r="I21" s="30" t="s">
        <v>4222</v>
      </c>
      <c r="J21" s="30" t="s">
        <v>4204</v>
      </c>
    </row>
    <row r="22" spans="1:10" ht="18.75" customHeight="1" x14ac:dyDescent="0.35">
      <c r="A22" t="s">
        <v>4196</v>
      </c>
      <c r="B22" t="s">
        <v>4197</v>
      </c>
      <c r="C22" s="12" t="s">
        <v>4198</v>
      </c>
      <c r="D22" s="12" t="s">
        <v>4199</v>
      </c>
      <c r="E22" s="12" t="s">
        <v>4200</v>
      </c>
      <c r="F22" s="12" t="s">
        <v>4146</v>
      </c>
      <c r="G22" s="12" t="s">
        <v>4223</v>
      </c>
      <c r="H22" s="57" t="s">
        <v>4224</v>
      </c>
      <c r="I22" s="30" t="s">
        <v>4225</v>
      </c>
      <c r="J22" s="30" t="s">
        <v>4204</v>
      </c>
    </row>
    <row r="23" spans="1:10" ht="18.75" customHeight="1" x14ac:dyDescent="0.35">
      <c r="A23" t="s">
        <v>4196</v>
      </c>
      <c r="B23" t="s">
        <v>4197</v>
      </c>
      <c r="C23" s="12" t="s">
        <v>4198</v>
      </c>
      <c r="D23" s="12" t="s">
        <v>4199</v>
      </c>
      <c r="E23" s="12" t="s">
        <v>4200</v>
      </c>
      <c r="F23" s="12" t="s">
        <v>4146</v>
      </c>
      <c r="G23" s="12" t="s">
        <v>4226</v>
      </c>
      <c r="H23" s="57" t="s">
        <v>4227</v>
      </c>
      <c r="I23" s="30" t="s">
        <v>4228</v>
      </c>
      <c r="J23" s="30" t="s">
        <v>4204</v>
      </c>
    </row>
    <row r="24" spans="1:10" ht="15" customHeight="1" x14ac:dyDescent="0.35">
      <c r="A24" t="s">
        <v>4196</v>
      </c>
      <c r="B24" t="s">
        <v>4197</v>
      </c>
      <c r="C24" s="12" t="s">
        <v>4198</v>
      </c>
      <c r="D24" s="12" t="s">
        <v>4199</v>
      </c>
      <c r="E24" s="12" t="s">
        <v>4200</v>
      </c>
      <c r="F24" s="12" t="s">
        <v>4146</v>
      </c>
      <c r="G24" s="12" t="s">
        <v>4229</v>
      </c>
      <c r="H24" s="57" t="s">
        <v>4230</v>
      </c>
      <c r="I24" s="30" t="s">
        <v>4231</v>
      </c>
      <c r="J24" s="30" t="s">
        <v>4204</v>
      </c>
    </row>
    <row r="25" spans="1:10" ht="16.5" customHeight="1" x14ac:dyDescent="0.35">
      <c r="A25" t="s">
        <v>4196</v>
      </c>
      <c r="B25" t="s">
        <v>4197</v>
      </c>
      <c r="C25" s="12" t="s">
        <v>4198</v>
      </c>
      <c r="D25" s="12" t="s">
        <v>4199</v>
      </c>
      <c r="E25" s="12" t="s">
        <v>4200</v>
      </c>
      <c r="F25" s="12" t="s">
        <v>4146</v>
      </c>
      <c r="G25" s="12" t="s">
        <v>4232</v>
      </c>
      <c r="H25" s="57" t="s">
        <v>4233</v>
      </c>
      <c r="I25" s="30" t="s">
        <v>4234</v>
      </c>
      <c r="J25" s="30" t="s">
        <v>4204</v>
      </c>
    </row>
    <row r="26" spans="1:10" ht="15.75" customHeight="1" x14ac:dyDescent="0.35">
      <c r="A26" t="s">
        <v>4196</v>
      </c>
      <c r="B26" t="s">
        <v>4197</v>
      </c>
      <c r="C26" s="12" t="s">
        <v>4198</v>
      </c>
      <c r="D26" s="12" t="s">
        <v>4199</v>
      </c>
      <c r="E26" s="12" t="s">
        <v>4200</v>
      </c>
      <c r="F26" s="12" t="s">
        <v>4146</v>
      </c>
      <c r="G26" s="12" t="s">
        <v>4235</v>
      </c>
      <c r="H26" s="57" t="s">
        <v>4236</v>
      </c>
      <c r="I26" s="30" t="s">
        <v>4237</v>
      </c>
      <c r="J26" s="30" t="s">
        <v>4204</v>
      </c>
    </row>
    <row r="27" spans="1:10" x14ac:dyDescent="0.35">
      <c r="A27" t="s">
        <v>4238</v>
      </c>
      <c r="B27" t="s">
        <v>4239</v>
      </c>
      <c r="C27" s="12" t="s">
        <v>4240</v>
      </c>
      <c r="D27" s="57" t="s">
        <v>4241</v>
      </c>
      <c r="E27" s="12" t="s">
        <v>4242</v>
      </c>
      <c r="F27" s="12" t="s">
        <v>4146</v>
      </c>
      <c r="G27" t="s">
        <v>4243</v>
      </c>
      <c r="H27" t="s">
        <v>4244</v>
      </c>
      <c r="I27" s="30" t="s">
        <v>4158</v>
      </c>
      <c r="J27" s="30" t="str">
        <f>_xlfn.CONCAT("rt-",NetworkReference[[#This Row],[Subnet]])</f>
        <v>rt-sn-ptd-auc1-sit-app</v>
      </c>
    </row>
    <row r="28" spans="1:10" x14ac:dyDescent="0.35">
      <c r="A28" t="s">
        <v>4238</v>
      </c>
      <c r="B28" t="s">
        <v>4239</v>
      </c>
      <c r="C28" s="12" t="s">
        <v>4240</v>
      </c>
      <c r="D28" s="57" t="s">
        <v>4241</v>
      </c>
      <c r="E28" s="12" t="s">
        <v>4242</v>
      </c>
      <c r="F28" s="12" t="s">
        <v>4146</v>
      </c>
      <c r="G28" s="12" t="s">
        <v>4245</v>
      </c>
      <c r="H28" s="57" t="s">
        <v>4246</v>
      </c>
      <c r="I28" s="30" t="s">
        <v>4162</v>
      </c>
      <c r="J28" s="30" t="str">
        <f>_xlfn.CONCAT("rt-",NetworkReference[[#This Row],[Subnet]])</f>
        <v>rt-sn-ptd-auc1-sit-database</v>
      </c>
    </row>
    <row r="29" spans="1:10" x14ac:dyDescent="0.35">
      <c r="A29" t="s">
        <v>4238</v>
      </c>
      <c r="B29" t="s">
        <v>4239</v>
      </c>
      <c r="C29" s="12" t="s">
        <v>4240</v>
      </c>
      <c r="D29" s="57" t="s">
        <v>4241</v>
      </c>
      <c r="E29" s="12" t="s">
        <v>4242</v>
      </c>
      <c r="F29" s="12" t="s">
        <v>4146</v>
      </c>
      <c r="G29" t="s">
        <v>4247</v>
      </c>
      <c r="H29" t="s">
        <v>4248</v>
      </c>
      <c r="I29" s="30" t="s">
        <v>4166</v>
      </c>
      <c r="J29" s="30" t="str">
        <f>_xlfn.CONCAT("rt-",NetworkReference[[#This Row],[Subnet]])</f>
        <v>rt-sn-ptd-auc1-sit-web</v>
      </c>
    </row>
    <row r="30" spans="1:10" x14ac:dyDescent="0.35">
      <c r="A30" t="s">
        <v>4238</v>
      </c>
      <c r="B30" t="s">
        <v>4239</v>
      </c>
      <c r="C30" s="12" t="s">
        <v>4240</v>
      </c>
      <c r="D30" s="57" t="s">
        <v>4241</v>
      </c>
      <c r="E30" s="12" t="s">
        <v>4242</v>
      </c>
      <c r="F30" s="12" t="s">
        <v>4146</v>
      </c>
      <c r="G30" s="12" t="s">
        <v>4249</v>
      </c>
      <c r="H30" s="57" t="s">
        <v>4250</v>
      </c>
      <c r="I30" s="30" t="s">
        <v>4158</v>
      </c>
      <c r="J30" s="30" t="str">
        <f>_xlfn.CONCAT("rt-",NetworkReference[[#This Row],[Subnet]])</f>
        <v>rt-sn-pte-auc1-sit-app</v>
      </c>
    </row>
    <row r="31" spans="1:10" x14ac:dyDescent="0.35">
      <c r="A31" t="s">
        <v>4238</v>
      </c>
      <c r="B31" t="s">
        <v>4239</v>
      </c>
      <c r="C31" s="12" t="s">
        <v>4240</v>
      </c>
      <c r="D31" s="57" t="s">
        <v>4241</v>
      </c>
      <c r="E31" s="12" t="s">
        <v>4242</v>
      </c>
      <c r="F31" s="12" t="s">
        <v>4146</v>
      </c>
      <c r="G31" s="12" t="s">
        <v>4251</v>
      </c>
      <c r="H31" s="57" t="s">
        <v>4252</v>
      </c>
      <c r="I31" s="30" t="s">
        <v>4162</v>
      </c>
      <c r="J31" s="30" t="str">
        <f>_xlfn.CONCAT("rt-",NetworkReference[[#This Row],[Subnet]])</f>
        <v>rt-sn-pte-auc1-sit-database</v>
      </c>
    </row>
    <row r="32" spans="1:10" x14ac:dyDescent="0.35">
      <c r="A32" t="s">
        <v>4238</v>
      </c>
      <c r="B32" t="s">
        <v>4239</v>
      </c>
      <c r="C32" s="12" t="s">
        <v>4240</v>
      </c>
      <c r="D32" s="57" t="s">
        <v>4241</v>
      </c>
      <c r="E32" s="12" t="s">
        <v>4242</v>
      </c>
      <c r="F32" s="12" t="s">
        <v>4146</v>
      </c>
      <c r="G32" s="12" t="s">
        <v>4253</v>
      </c>
      <c r="H32" s="57" t="s">
        <v>4254</v>
      </c>
      <c r="I32" s="30" t="s">
        <v>4166</v>
      </c>
      <c r="J32" s="30" t="str">
        <f>_xlfn.CONCAT("rt-",NetworkReference[[#This Row],[Subnet]])</f>
        <v>rt-sn-pte-auc1-sit-web</v>
      </c>
    </row>
    <row r="33" spans="1:11" x14ac:dyDescent="0.35">
      <c r="A33" t="s">
        <v>4238</v>
      </c>
      <c r="B33" t="s">
        <v>4239</v>
      </c>
      <c r="C33" s="12" t="s">
        <v>4240</v>
      </c>
      <c r="D33" s="57" t="s">
        <v>4241</v>
      </c>
      <c r="E33" s="12" t="s">
        <v>4242</v>
      </c>
      <c r="F33" s="12" t="s">
        <v>4146</v>
      </c>
      <c r="G33" s="12" t="s">
        <v>4089</v>
      </c>
      <c r="H33" s="57" t="s">
        <v>4255</v>
      </c>
      <c r="I33" s="30" t="s">
        <v>4158</v>
      </c>
      <c r="J33" s="30" t="str">
        <f>_xlfn.CONCAT("rt-",NetworkReference[[#This Row],[Subnet]])</f>
        <v>rt-sn-ptf-auc1-sit-app</v>
      </c>
    </row>
    <row r="34" spans="1:11" x14ac:dyDescent="0.35">
      <c r="A34" t="s">
        <v>4238</v>
      </c>
      <c r="B34" t="s">
        <v>4239</v>
      </c>
      <c r="C34" s="12" t="s">
        <v>4240</v>
      </c>
      <c r="D34" s="57" t="s">
        <v>4241</v>
      </c>
      <c r="E34" s="12" t="s">
        <v>4242</v>
      </c>
      <c r="F34" s="12" t="s">
        <v>4146</v>
      </c>
      <c r="G34" s="12" t="s">
        <v>4256</v>
      </c>
      <c r="H34" s="57" t="s">
        <v>4257</v>
      </c>
      <c r="I34" s="30" t="s">
        <v>4162</v>
      </c>
      <c r="J34" s="30" t="str">
        <f>_xlfn.CONCAT("rt-",NetworkReference[[#This Row],[Subnet]])</f>
        <v>rt-sn-ptf-auc1-sit-database</v>
      </c>
    </row>
    <row r="35" spans="1:11" x14ac:dyDescent="0.35">
      <c r="A35" t="s">
        <v>4238</v>
      </c>
      <c r="B35" t="s">
        <v>4239</v>
      </c>
      <c r="C35" s="12" t="s">
        <v>4240</v>
      </c>
      <c r="D35" s="57" t="s">
        <v>4241</v>
      </c>
      <c r="E35" s="12" t="s">
        <v>4242</v>
      </c>
      <c r="F35" s="12" t="s">
        <v>4146</v>
      </c>
      <c r="G35" s="12" t="s">
        <v>4258</v>
      </c>
      <c r="H35" s="57" t="s">
        <v>4259</v>
      </c>
      <c r="I35" s="30" t="s">
        <v>4166</v>
      </c>
      <c r="J35" s="30" t="str">
        <f>_xlfn.CONCAT("rt-",NetworkReference[[#This Row],[Subnet]])</f>
        <v>rt-sn-ptf-auc1-sit-web</v>
      </c>
    </row>
    <row r="36" spans="1:11" ht="15" customHeight="1" x14ac:dyDescent="0.35">
      <c r="A36" t="s">
        <v>4260</v>
      </c>
      <c r="B36" t="s">
        <v>4261</v>
      </c>
      <c r="C36" t="s">
        <v>4262</v>
      </c>
      <c r="D36" s="58" t="s">
        <v>4263</v>
      </c>
      <c r="E36" s="58" t="s">
        <v>4264</v>
      </c>
      <c r="F36" s="12" t="s">
        <v>4146</v>
      </c>
      <c r="G36" s="30" t="s">
        <v>4265</v>
      </c>
      <c r="H36" s="30" t="s">
        <v>4266</v>
      </c>
      <c r="I36" s="30" t="s">
        <v>4166</v>
      </c>
      <c r="J36" s="30" t="str">
        <f>_xlfn.CONCAT("rt-",NetworkReference[[#This Row],[Subnet]])</f>
        <v>rt-sn-svt-auc1-svp-web</v>
      </c>
    </row>
    <row r="37" spans="1:11" x14ac:dyDescent="0.35">
      <c r="A37" t="s">
        <v>4260</v>
      </c>
      <c r="B37" t="s">
        <v>4261</v>
      </c>
      <c r="C37" t="s">
        <v>4262</v>
      </c>
      <c r="D37" s="58" t="s">
        <v>4263</v>
      </c>
      <c r="E37" s="58" t="s">
        <v>4264</v>
      </c>
      <c r="F37" s="12" t="s">
        <v>4146</v>
      </c>
      <c r="G37" s="30" t="s">
        <v>4267</v>
      </c>
      <c r="H37" s="30" t="s">
        <v>4268</v>
      </c>
      <c r="I37" s="30" t="s">
        <v>4158</v>
      </c>
      <c r="J37" s="30" t="str">
        <f>_xlfn.CONCAT("rt-",NetworkReference[[#This Row],[Subnet]])</f>
        <v>rt-sn-svt-auc1-svp-app</v>
      </c>
    </row>
    <row r="38" spans="1:11" x14ac:dyDescent="0.35">
      <c r="A38" t="s">
        <v>4260</v>
      </c>
      <c r="B38" t="s">
        <v>4261</v>
      </c>
      <c r="C38" t="s">
        <v>4262</v>
      </c>
      <c r="D38" s="58" t="s">
        <v>4263</v>
      </c>
      <c r="E38" s="58" t="s">
        <v>4264</v>
      </c>
      <c r="F38" s="12" t="s">
        <v>4146</v>
      </c>
      <c r="G38" s="30" t="s">
        <v>4269</v>
      </c>
      <c r="H38" s="30" t="s">
        <v>4270</v>
      </c>
      <c r="I38" s="30" t="s">
        <v>4162</v>
      </c>
      <c r="J38" s="30" t="str">
        <f>_xlfn.CONCAT("rt-",NetworkReference[[#This Row],[Subnet]])</f>
        <v>rt-sn-svt-auc1-svp-database</v>
      </c>
    </row>
    <row r="39" spans="1:11" x14ac:dyDescent="0.35">
      <c r="A39" t="s">
        <v>4260</v>
      </c>
      <c r="B39" t="s">
        <v>4261</v>
      </c>
      <c r="C39" s="58" t="s">
        <v>4271</v>
      </c>
      <c r="D39" s="58" t="s">
        <v>4272</v>
      </c>
      <c r="E39" s="58" t="s">
        <v>4273</v>
      </c>
      <c r="F39" s="12" t="s">
        <v>4146</v>
      </c>
      <c r="G39" s="30" t="s">
        <v>4274</v>
      </c>
      <c r="H39" s="30" t="s">
        <v>4275</v>
      </c>
      <c r="I39" s="30" t="s">
        <v>4166</v>
      </c>
      <c r="J39" s="30" t="str">
        <f>_xlfn.CONCAT("rt-",NetworkReference[[#This Row],[Subnet]])</f>
        <v>rt-sn-sva-auc2-sva-web</v>
      </c>
    </row>
    <row r="40" spans="1:11" x14ac:dyDescent="0.35">
      <c r="A40" t="s">
        <v>4260</v>
      </c>
      <c r="B40" t="s">
        <v>4261</v>
      </c>
      <c r="C40" s="58" t="s">
        <v>4271</v>
      </c>
      <c r="D40" s="58" t="s">
        <v>4272</v>
      </c>
      <c r="E40" s="58" t="s">
        <v>4273</v>
      </c>
      <c r="F40" s="12" t="s">
        <v>4146</v>
      </c>
      <c r="G40" s="30" t="s">
        <v>4276</v>
      </c>
      <c r="H40" s="30" t="s">
        <v>4277</v>
      </c>
      <c r="I40" s="30" t="s">
        <v>4158</v>
      </c>
      <c r="J40" s="30" t="str">
        <f>_xlfn.CONCAT("rt-",NetworkReference[[#This Row],[Subnet]])</f>
        <v>rt-sn-sva-auc2-sva-app</v>
      </c>
    </row>
    <row r="41" spans="1:11" x14ac:dyDescent="0.35">
      <c r="A41" t="s">
        <v>4260</v>
      </c>
      <c r="B41" t="s">
        <v>4261</v>
      </c>
      <c r="C41" s="58" t="s">
        <v>4271</v>
      </c>
      <c r="D41" s="58" t="s">
        <v>4272</v>
      </c>
      <c r="E41" s="58" t="s">
        <v>4273</v>
      </c>
      <c r="F41" s="12" t="s">
        <v>4146</v>
      </c>
      <c r="G41" s="30" t="s">
        <v>4278</v>
      </c>
      <c r="H41" s="30" t="s">
        <v>4279</v>
      </c>
      <c r="I41" s="30" t="s">
        <v>4162</v>
      </c>
      <c r="J41" s="30" t="str">
        <f>_xlfn.CONCAT("rt-",NetworkReference[[#This Row],[Subnet]])</f>
        <v>rt-sn-sva-auc2-sva-database</v>
      </c>
    </row>
    <row r="42" spans="1:11" x14ac:dyDescent="0.35">
      <c r="A42" s="127" t="s">
        <v>4280</v>
      </c>
      <c r="B42" t="s">
        <v>4281</v>
      </c>
      <c r="C42" s="128" t="s">
        <v>760</v>
      </c>
      <c r="D42" s="128" t="s">
        <v>4282</v>
      </c>
      <c r="E42" s="128" t="s">
        <v>4283</v>
      </c>
      <c r="F42" s="128" t="s">
        <v>4284</v>
      </c>
      <c r="G42" s="129" t="s">
        <v>2102</v>
      </c>
      <c r="H42" s="129" t="s">
        <v>4285</v>
      </c>
      <c r="I42" s="30" t="s">
        <v>4166</v>
      </c>
      <c r="J42" s="30" t="str">
        <f>_xlfn.CONCAT("rt-",NetworkReference[[#This Row],[Subnet]])</f>
        <v>rt-sn-pfa-aue-per-web</v>
      </c>
      <c r="K42" s="130" t="s">
        <v>4286</v>
      </c>
    </row>
    <row r="43" spans="1:11" x14ac:dyDescent="0.35">
      <c r="A43" s="127" t="s">
        <v>4280</v>
      </c>
      <c r="B43" t="s">
        <v>4281</v>
      </c>
      <c r="C43" s="128" t="s">
        <v>760</v>
      </c>
      <c r="D43" s="128" t="s">
        <v>4282</v>
      </c>
      <c r="E43" s="128" t="s">
        <v>4283</v>
      </c>
      <c r="F43" s="128" t="s">
        <v>4284</v>
      </c>
      <c r="G43" s="129" t="s">
        <v>761</v>
      </c>
      <c r="H43" s="129" t="s">
        <v>4287</v>
      </c>
      <c r="I43" s="30" t="s">
        <v>4158</v>
      </c>
      <c r="J43" s="30" t="str">
        <f>_xlfn.CONCAT("rt-",NetworkReference[[#This Row],[Subnet]])</f>
        <v>rt-sn-pfa-aue-per-app</v>
      </c>
      <c r="K43" s="130" t="s">
        <v>4286</v>
      </c>
    </row>
    <row r="44" spans="1:11" x14ac:dyDescent="0.35">
      <c r="A44" s="127" t="s">
        <v>4280</v>
      </c>
      <c r="B44" t="s">
        <v>4281</v>
      </c>
      <c r="C44" s="128" t="s">
        <v>760</v>
      </c>
      <c r="D44" s="128" t="s">
        <v>4282</v>
      </c>
      <c r="E44" s="128" t="s">
        <v>4283</v>
      </c>
      <c r="F44" s="128" t="s">
        <v>4284</v>
      </c>
      <c r="G44" s="129" t="s">
        <v>2090</v>
      </c>
      <c r="H44" s="129" t="s">
        <v>4288</v>
      </c>
      <c r="I44" s="30" t="s">
        <v>4162</v>
      </c>
      <c r="J44" s="30" t="str">
        <f>_xlfn.CONCAT("rt-",NetworkReference[[#This Row],[Subnet]])</f>
        <v>rt-sn-pfa-aue-per-database</v>
      </c>
      <c r="K44" s="130" t="s">
        <v>4286</v>
      </c>
    </row>
    <row r="45" spans="1:11" x14ac:dyDescent="0.35">
      <c r="A45" t="s">
        <v>4289</v>
      </c>
      <c r="B45" t="s">
        <v>4197</v>
      </c>
      <c r="C45" s="57" t="s">
        <v>4290</v>
      </c>
      <c r="D45" s="69" t="s">
        <v>4291</v>
      </c>
      <c r="E45" s="57" t="s">
        <v>4292</v>
      </c>
      <c r="F45" s="57" t="s">
        <v>4293</v>
      </c>
      <c r="G45" s="12" t="s">
        <v>4294</v>
      </c>
      <c r="H45" s="12" t="s">
        <v>4295</v>
      </c>
      <c r="I45" s="12" t="s">
        <v>4296</v>
      </c>
      <c r="J45" s="12" t="str">
        <f>_xlfn.CONCAT("rt-",NetworkReference[[#This Row],[Subnet]])</f>
        <v>rt-sn-prd-auc1-mgt-ra-win</v>
      </c>
    </row>
    <row r="46" spans="1:11" x14ac:dyDescent="0.35">
      <c r="A46" t="s">
        <v>4289</v>
      </c>
      <c r="B46" t="s">
        <v>4197</v>
      </c>
      <c r="C46" s="57" t="s">
        <v>4290</v>
      </c>
      <c r="D46" s="69" t="s">
        <v>4291</v>
      </c>
      <c r="E46" s="57" t="s">
        <v>4292</v>
      </c>
      <c r="F46" s="57" t="s">
        <v>4293</v>
      </c>
      <c r="G46" s="12" t="s">
        <v>4297</v>
      </c>
      <c r="H46" s="12" t="s">
        <v>4298</v>
      </c>
      <c r="I46" s="12" t="s">
        <v>4299</v>
      </c>
      <c r="J46" s="12" t="str">
        <f>_xlfn.CONCAT("rt-",NetworkReference[[#This Row],[Subnet]])</f>
        <v>rt-sn-prd-auc1-mgt-ra-lin</v>
      </c>
    </row>
    <row r="47" spans="1:11" x14ac:dyDescent="0.35">
      <c r="A47" t="s">
        <v>4289</v>
      </c>
      <c r="B47" t="s">
        <v>4197</v>
      </c>
      <c r="C47" s="57" t="s">
        <v>4290</v>
      </c>
      <c r="D47" s="69" t="s">
        <v>4291</v>
      </c>
      <c r="E47" s="57" t="s">
        <v>4292</v>
      </c>
      <c r="F47" s="57" t="s">
        <v>4293</v>
      </c>
      <c r="G47" s="12" t="s">
        <v>4300</v>
      </c>
      <c r="H47" s="12" t="s">
        <v>4301</v>
      </c>
      <c r="I47" s="12" t="s">
        <v>4222</v>
      </c>
      <c r="J47" s="12" t="str">
        <f>_xlfn.CONCAT("rt-",NetworkReference[[#This Row],[Subnet]])</f>
        <v>rt-sn-prd-auc1-mgt-smtp</v>
      </c>
    </row>
    <row r="48" spans="1:11" x14ac:dyDescent="0.35">
      <c r="A48" t="s">
        <v>4289</v>
      </c>
      <c r="B48" t="s">
        <v>4197</v>
      </c>
      <c r="C48" s="57" t="s">
        <v>4290</v>
      </c>
      <c r="D48" s="69" t="s">
        <v>4291</v>
      </c>
      <c r="E48" s="57" t="s">
        <v>4292</v>
      </c>
      <c r="F48" s="57" t="s">
        <v>4293</v>
      </c>
      <c r="G48" s="12" t="s">
        <v>4302</v>
      </c>
      <c r="H48" s="12" t="s">
        <v>4303</v>
      </c>
      <c r="I48" s="12" t="s">
        <v>4234</v>
      </c>
      <c r="J48" s="12" t="str">
        <f>_xlfn.CONCAT("rt-",NetworkReference[[#This Row],[Subnet]])</f>
        <v>rt-sn-prd-auc1-mgt-vulnscan</v>
      </c>
    </row>
    <row r="49" spans="1:10" x14ac:dyDescent="0.35">
      <c r="A49" t="s">
        <v>4289</v>
      </c>
      <c r="B49" t="s">
        <v>4197</v>
      </c>
      <c r="C49" s="57" t="s">
        <v>4290</v>
      </c>
      <c r="D49" s="69" t="s">
        <v>4291</v>
      </c>
      <c r="E49" s="57" t="s">
        <v>4292</v>
      </c>
      <c r="F49" s="57" t="s">
        <v>4293</v>
      </c>
      <c r="G49" s="12" t="s">
        <v>4304</v>
      </c>
      <c r="H49" s="12" t="s">
        <v>4305</v>
      </c>
      <c r="I49" s="12" t="s">
        <v>4207</v>
      </c>
      <c r="J49" s="12" t="str">
        <f>_xlfn.CONCAT("rt-",NetworkReference[[#This Row],[Subnet]])</f>
        <v>rt-sn-prd-auc1-mgt-devops</v>
      </c>
    </row>
    <row r="50" spans="1:10" x14ac:dyDescent="0.35">
      <c r="A50" t="s">
        <v>4289</v>
      </c>
      <c r="B50" t="s">
        <v>4197</v>
      </c>
      <c r="C50" s="57" t="s">
        <v>4290</v>
      </c>
      <c r="D50" s="69" t="s">
        <v>4291</v>
      </c>
      <c r="E50" s="57" t="s">
        <v>4292</v>
      </c>
      <c r="F50" s="57" t="s">
        <v>4293</v>
      </c>
      <c r="G50" s="12" t="s">
        <v>4306</v>
      </c>
      <c r="H50" s="12" t="s">
        <v>4307</v>
      </c>
      <c r="I50" s="12" t="s">
        <v>4308</v>
      </c>
      <c r="J50" s="12" t="str">
        <f>_xlfn.CONCAT("rt-",NetworkReference[[#This Row],[Subnet]])</f>
        <v>rt-sn-prd-auc1-mgt-siempdc</v>
      </c>
    </row>
    <row r="51" spans="1:10" x14ac:dyDescent="0.35">
      <c r="A51" t="s">
        <v>4289</v>
      </c>
      <c r="B51" t="s">
        <v>4197</v>
      </c>
      <c r="C51" s="57" t="s">
        <v>4290</v>
      </c>
      <c r="D51" s="69" t="s">
        <v>4291</v>
      </c>
      <c r="E51" s="57" t="s">
        <v>4292</v>
      </c>
      <c r="F51" s="57" t="s">
        <v>4293</v>
      </c>
      <c r="G51" s="12" t="s">
        <v>4309</v>
      </c>
      <c r="H51" s="12" t="s">
        <v>4310</v>
      </c>
      <c r="I51" s="12" t="s">
        <v>4311</v>
      </c>
      <c r="J51" s="12" t="str">
        <f>_xlfn.CONCAT("rt-",NetworkReference[[#This Row],[Subnet]])</f>
        <v>rt-sn-prd-auc1-mgt-cyberark</v>
      </c>
    </row>
    <row r="52" spans="1:10" x14ac:dyDescent="0.35">
      <c r="A52" t="s">
        <v>4289</v>
      </c>
      <c r="B52" t="s">
        <v>4197</v>
      </c>
      <c r="C52" s="57" t="s">
        <v>4290</v>
      </c>
      <c r="D52" s="69" t="s">
        <v>4291</v>
      </c>
      <c r="E52" s="57" t="s">
        <v>4292</v>
      </c>
      <c r="F52" s="57" t="s">
        <v>4293</v>
      </c>
      <c r="G52" s="12" t="s">
        <v>4312</v>
      </c>
      <c r="H52" s="12" t="s">
        <v>4313</v>
      </c>
      <c r="I52" s="12" t="s">
        <v>4228</v>
      </c>
      <c r="J52" s="12" t="str">
        <f>_xlfn.CONCAT("rt-",NetworkReference[[#This Row],[Subnet]])</f>
        <v>rt-sn-prd-auc1-mgt-symep-win</v>
      </c>
    </row>
    <row r="53" spans="1:10" x14ac:dyDescent="0.35">
      <c r="A53" t="s">
        <v>4289</v>
      </c>
      <c r="B53" t="s">
        <v>4197</v>
      </c>
      <c r="C53" s="57" t="s">
        <v>4290</v>
      </c>
      <c r="D53" s="69" t="s">
        <v>4291</v>
      </c>
      <c r="E53" s="57" t="s">
        <v>4292</v>
      </c>
      <c r="F53" s="57" t="s">
        <v>4293</v>
      </c>
      <c r="G53" s="12" t="s">
        <v>4314</v>
      </c>
      <c r="H53" s="12" t="s">
        <v>4315</v>
      </c>
      <c r="I53" s="12" t="s">
        <v>4316</v>
      </c>
      <c r="J53" s="12" t="str">
        <f>_xlfn.CONCAT("rt-",NetworkReference[[#This Row],[Subnet]])</f>
        <v>rt-sn-prd-auc1-mgt-clmep-lin</v>
      </c>
    </row>
    <row r="54" spans="1:10" x14ac:dyDescent="0.35">
      <c r="A54" t="s">
        <v>4289</v>
      </c>
      <c r="B54" t="s">
        <v>4197</v>
      </c>
      <c r="C54" s="57" t="s">
        <v>4290</v>
      </c>
      <c r="D54" s="69" t="s">
        <v>4291</v>
      </c>
      <c r="E54" s="57" t="s">
        <v>4292</v>
      </c>
      <c r="F54" s="57" t="s">
        <v>4293</v>
      </c>
      <c r="G54" s="12" t="s">
        <v>4317</v>
      </c>
      <c r="H54" s="12" t="s">
        <v>4318</v>
      </c>
      <c r="I54" s="12" t="s">
        <v>4237</v>
      </c>
      <c r="J54" s="12" t="str">
        <f>_xlfn.CONCAT("rt-",NetworkReference[[#This Row],[Subnet]])</f>
        <v>rt-sn-prd-auc1-mgt-whlist</v>
      </c>
    </row>
    <row r="55" spans="1:10" x14ac:dyDescent="0.35">
      <c r="A55" t="s">
        <v>4289</v>
      </c>
      <c r="B55" t="s">
        <v>4197</v>
      </c>
      <c r="C55" s="57" t="s">
        <v>4290</v>
      </c>
      <c r="D55" s="69" t="s">
        <v>4291</v>
      </c>
      <c r="E55" s="57" t="s">
        <v>4292</v>
      </c>
      <c r="F55" s="57" t="s">
        <v>4293</v>
      </c>
      <c r="G55" s="12" t="s">
        <v>4319</v>
      </c>
      <c r="H55" s="12" t="s">
        <v>4320</v>
      </c>
      <c r="I55" s="12" t="s">
        <v>4321</v>
      </c>
      <c r="J55" s="12" t="str">
        <f>_xlfn.CONCAT("rt-",NetworkReference[[#This Row],[Subnet]])</f>
        <v>rt-sn-prd-auc1-mgt-midserver</v>
      </c>
    </row>
    <row r="56" spans="1:10" x14ac:dyDescent="0.35">
      <c r="A56" t="s">
        <v>4289</v>
      </c>
      <c r="B56" t="s">
        <v>4197</v>
      </c>
      <c r="C56" s="57" t="s">
        <v>4290</v>
      </c>
      <c r="D56" s="69" t="s">
        <v>4291</v>
      </c>
      <c r="E56" s="57" t="s">
        <v>4292</v>
      </c>
      <c r="F56" s="57" t="s">
        <v>4293</v>
      </c>
      <c r="G56" s="12" t="s">
        <v>4322</v>
      </c>
      <c r="H56" s="12" t="s">
        <v>4323</v>
      </c>
      <c r="I56" s="12" t="s">
        <v>4324</v>
      </c>
      <c r="J56" s="12" t="str">
        <f>_xlfn.CONCAT("rt-",NetworkReference[[#This Row],[Subnet]])</f>
        <v>rt-sn-prd-auc1-mgt-oem</v>
      </c>
    </row>
    <row r="57" spans="1:10" x14ac:dyDescent="0.35">
      <c r="A57" t="s">
        <v>4289</v>
      </c>
      <c r="B57" t="s">
        <v>4197</v>
      </c>
      <c r="C57" s="57" t="s">
        <v>4290</v>
      </c>
      <c r="D57" s="69" t="s">
        <v>4291</v>
      </c>
      <c r="E57" s="57" t="s">
        <v>4292</v>
      </c>
      <c r="F57" s="57" t="s">
        <v>4293</v>
      </c>
      <c r="G57" s="12" t="s">
        <v>4309</v>
      </c>
      <c r="H57" s="12" t="s">
        <v>4325</v>
      </c>
      <c r="I57" s="12" t="s">
        <v>4311</v>
      </c>
      <c r="J57" s="12" t="str">
        <f>_xlfn.CONCAT("rt-",NetworkReference[[#This Row],[Subnet]])</f>
        <v>rt-sn-prd-auc1-mgt-cyberark</v>
      </c>
    </row>
    <row r="58" spans="1:10" x14ac:dyDescent="0.35">
      <c r="A58" s="127" t="s">
        <v>4326</v>
      </c>
      <c r="B58" t="s">
        <v>4327</v>
      </c>
      <c r="C58" s="128" t="s">
        <v>4328</v>
      </c>
      <c r="D58" s="128" t="s">
        <v>4329</v>
      </c>
      <c r="E58" s="128" t="s">
        <v>4330</v>
      </c>
      <c r="F58" s="128" t="s">
        <v>4284</v>
      </c>
      <c r="G58" s="129" t="s">
        <v>489</v>
      </c>
      <c r="H58" s="129" t="s">
        <v>4331</v>
      </c>
      <c r="I58" s="30" t="s">
        <v>4166</v>
      </c>
      <c r="J58" s="30" t="s">
        <v>4332</v>
      </c>
    </row>
    <row r="59" spans="1:10" x14ac:dyDescent="0.35">
      <c r="A59" s="127" t="s">
        <v>4326</v>
      </c>
      <c r="B59" t="s">
        <v>4327</v>
      </c>
      <c r="C59" s="128" t="s">
        <v>4328</v>
      </c>
      <c r="D59" s="128" t="s">
        <v>4329</v>
      </c>
      <c r="E59" s="128" t="s">
        <v>4330</v>
      </c>
      <c r="F59" s="128" t="s">
        <v>4284</v>
      </c>
      <c r="G59" s="12" t="s">
        <v>59</v>
      </c>
      <c r="H59" s="57" t="s">
        <v>4333</v>
      </c>
      <c r="I59" s="30" t="s">
        <v>4158</v>
      </c>
      <c r="J59" s="30" t="s">
        <v>4334</v>
      </c>
    </row>
    <row r="60" spans="1:10" x14ac:dyDescent="0.35">
      <c r="A60" s="127" t="s">
        <v>4326</v>
      </c>
      <c r="B60" t="s">
        <v>4327</v>
      </c>
      <c r="C60" s="128" t="s">
        <v>4328</v>
      </c>
      <c r="D60" s="128" t="s">
        <v>4329</v>
      </c>
      <c r="E60" s="128" t="s">
        <v>4330</v>
      </c>
      <c r="F60" s="128" t="s">
        <v>4284</v>
      </c>
      <c r="G60" s="12" t="s">
        <v>486</v>
      </c>
      <c r="H60" s="57" t="s">
        <v>4335</v>
      </c>
      <c r="I60" s="30" t="s">
        <v>4162</v>
      </c>
      <c r="J60" s="30" t="s">
        <v>4336</v>
      </c>
    </row>
  </sheetData>
  <phoneticPr fontId="1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B361-B548-4D37-BAF6-E83ADCA9D622}">
  <sheetPr codeName="Sheet14"/>
  <dimension ref="A1:E4"/>
  <sheetViews>
    <sheetView workbookViewId="0">
      <selection activeCell="D8" sqref="D8"/>
    </sheetView>
  </sheetViews>
  <sheetFormatPr defaultRowHeight="14.5" x14ac:dyDescent="0.35"/>
  <cols>
    <col min="1" max="1" width="18.81640625" bestFit="1" customWidth="1"/>
    <col min="2" max="2" width="13.54296875" bestFit="1" customWidth="1"/>
  </cols>
  <sheetData>
    <row r="1" spans="1:5" x14ac:dyDescent="0.35">
      <c r="A1" t="s">
        <v>61</v>
      </c>
      <c r="B1" t="s">
        <v>4337</v>
      </c>
      <c r="C1" t="s">
        <v>521</v>
      </c>
      <c r="D1" s="21" t="s">
        <v>4131</v>
      </c>
      <c r="E1" t="s">
        <v>58</v>
      </c>
    </row>
    <row r="2" spans="1:5" x14ac:dyDescent="0.35">
      <c r="A2" t="s">
        <v>4338</v>
      </c>
      <c r="B2" t="s">
        <v>4339</v>
      </c>
      <c r="C2" t="s">
        <v>63</v>
      </c>
      <c r="D2" s="21" t="s">
        <v>4132</v>
      </c>
      <c r="E2" t="s">
        <v>4340</v>
      </c>
    </row>
    <row r="3" spans="1:5" x14ac:dyDescent="0.35">
      <c r="B3" t="s">
        <v>65</v>
      </c>
      <c r="D3" s="21" t="s">
        <v>4133</v>
      </c>
    </row>
    <row r="4" spans="1:5" x14ac:dyDescent="0.35">
      <c r="D4" s="21" t="s">
        <v>4134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F674-3610-41E2-9180-60386CDC496F}">
  <sheetPr codeName="Sheet15"/>
  <dimension ref="A1:B6"/>
  <sheetViews>
    <sheetView workbookViewId="0">
      <selection activeCell="A8" sqref="A8"/>
    </sheetView>
  </sheetViews>
  <sheetFormatPr defaultRowHeight="14.5" x14ac:dyDescent="0.35"/>
  <cols>
    <col min="1" max="1" width="33" customWidth="1"/>
    <col min="2" max="2" width="77.26953125" customWidth="1"/>
  </cols>
  <sheetData>
    <row r="1" spans="1:2" x14ac:dyDescent="0.35">
      <c r="A1" s="37" t="s">
        <v>4341</v>
      </c>
      <c r="B1" s="37" t="s">
        <v>4342</v>
      </c>
    </row>
    <row r="2" spans="1:2" x14ac:dyDescent="0.35">
      <c r="A2" s="39" t="s">
        <v>8</v>
      </c>
      <c r="B2" t="s">
        <v>4343</v>
      </c>
    </row>
    <row r="3" spans="1:2" x14ac:dyDescent="0.35">
      <c r="A3" s="39" t="s">
        <v>4137</v>
      </c>
      <c r="B3" t="s">
        <v>4344</v>
      </c>
    </row>
    <row r="4" spans="1:2" x14ac:dyDescent="0.35">
      <c r="A4" s="39" t="s">
        <v>9</v>
      </c>
      <c r="B4" t="s">
        <v>4345</v>
      </c>
    </row>
    <row r="5" spans="1:2" x14ac:dyDescent="0.35">
      <c r="A5" s="40" t="s">
        <v>4346</v>
      </c>
      <c r="B5" t="s">
        <v>4347</v>
      </c>
    </row>
    <row r="6" spans="1:2" ht="43.5" x14ac:dyDescent="0.35">
      <c r="A6" s="40" t="s">
        <v>4348</v>
      </c>
      <c r="B6" s="12" t="s">
        <v>4349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3B7D-0E74-4091-B9F8-4B8A184D6853}">
  <sheetPr codeName="Sheet16" filterMode="1"/>
  <dimension ref="A1:BD294"/>
  <sheetViews>
    <sheetView topLeftCell="AC1" workbookViewId="0">
      <pane ySplit="1" topLeftCell="A27" activePane="bottomLeft" state="frozen"/>
      <selection pane="bottomLeft" activeCell="AX27" sqref="AX27:AX253"/>
    </sheetView>
  </sheetViews>
  <sheetFormatPr defaultRowHeight="14.5" x14ac:dyDescent="0.35"/>
  <cols>
    <col min="1" max="1" width="26.453125" customWidth="1"/>
    <col min="6" max="6" width="12.26953125" customWidth="1"/>
    <col min="28" max="28" width="35.453125" customWidth="1"/>
    <col min="32" max="32" width="28.7265625" customWidth="1"/>
    <col min="34" max="34" width="2.7265625" customWidth="1"/>
    <col min="35" max="35" width="3.81640625" customWidth="1"/>
    <col min="36" max="36" width="31" customWidth="1"/>
    <col min="42" max="42" width="8.1796875" customWidth="1"/>
    <col min="43" max="43" width="19.26953125" customWidth="1"/>
    <col min="44" max="44" width="3.81640625" customWidth="1"/>
    <col min="45" max="45" width="14" customWidth="1"/>
    <col min="47" max="47" width="19.54296875" customWidth="1"/>
    <col min="49" max="49" width="7.54296875" bestFit="1" customWidth="1"/>
    <col min="50" max="50" width="17.81640625" bestFit="1" customWidth="1"/>
    <col min="53" max="53" width="23.1796875" customWidth="1"/>
    <col min="54" max="54" width="11.54296875" bestFit="1" customWidth="1"/>
    <col min="56" max="56" width="32.1796875" bestFit="1" customWidth="1"/>
  </cols>
  <sheetData>
    <row r="1" spans="1:56" ht="35.5" x14ac:dyDescent="0.35">
      <c r="A1" t="s">
        <v>4350</v>
      </c>
      <c r="B1" t="s">
        <v>4351</v>
      </c>
      <c r="C1" t="s">
        <v>4352</v>
      </c>
      <c r="D1" t="s">
        <v>4353</v>
      </c>
      <c r="E1" t="s">
        <v>4354</v>
      </c>
      <c r="F1" t="s">
        <v>3148</v>
      </c>
      <c r="G1" t="s">
        <v>4355</v>
      </c>
      <c r="H1" t="s">
        <v>4356</v>
      </c>
      <c r="I1" t="s">
        <v>4357</v>
      </c>
      <c r="J1" t="s">
        <v>4358</v>
      </c>
      <c r="K1" t="s">
        <v>4359</v>
      </c>
      <c r="L1" t="s">
        <v>4360</v>
      </c>
      <c r="M1" t="s">
        <v>4361</v>
      </c>
      <c r="O1" t="s">
        <v>4362</v>
      </c>
      <c r="P1" t="s">
        <v>4363</v>
      </c>
      <c r="Q1" t="s">
        <v>4364</v>
      </c>
      <c r="R1" t="s">
        <v>4365</v>
      </c>
      <c r="S1" t="s">
        <v>2779</v>
      </c>
      <c r="T1" t="s">
        <v>4366</v>
      </c>
      <c r="U1" t="s">
        <v>4367</v>
      </c>
      <c r="V1" t="s">
        <v>4368</v>
      </c>
      <c r="W1" t="s">
        <v>4369</v>
      </c>
      <c r="X1" t="s">
        <v>9</v>
      </c>
      <c r="Y1" t="s">
        <v>4370</v>
      </c>
      <c r="Z1" t="s">
        <v>4371</v>
      </c>
      <c r="AA1" t="s">
        <v>4372</v>
      </c>
      <c r="AB1" t="s">
        <v>4373</v>
      </c>
      <c r="AC1" t="s">
        <v>4374</v>
      </c>
      <c r="AD1" t="s">
        <v>4375</v>
      </c>
      <c r="AE1" t="s">
        <v>4376</v>
      </c>
      <c r="AF1" t="s">
        <v>4377</v>
      </c>
      <c r="AG1" t="s">
        <v>4378</v>
      </c>
      <c r="AH1" t="s">
        <v>4379</v>
      </c>
      <c r="AI1" t="s">
        <v>4380</v>
      </c>
      <c r="AJ1" t="s">
        <v>5</v>
      </c>
      <c r="AK1" t="s">
        <v>4381</v>
      </c>
      <c r="AL1" t="s">
        <v>4382</v>
      </c>
      <c r="AM1" t="s">
        <v>4383</v>
      </c>
      <c r="AN1" t="s">
        <v>4384</v>
      </c>
      <c r="AO1" t="s">
        <v>4385</v>
      </c>
      <c r="AP1" t="s">
        <v>4386</v>
      </c>
      <c r="AQ1" t="s">
        <v>4387</v>
      </c>
      <c r="AR1" t="s">
        <v>4388</v>
      </c>
      <c r="AS1" t="s">
        <v>4389</v>
      </c>
      <c r="AT1" t="s">
        <v>4390</v>
      </c>
      <c r="AU1" t="s">
        <v>4391</v>
      </c>
      <c r="AV1" t="s">
        <v>4392</v>
      </c>
      <c r="AW1" t="s">
        <v>4393</v>
      </c>
      <c r="AX1" t="s">
        <v>4394</v>
      </c>
      <c r="AY1" s="146"/>
      <c r="AZ1" s="147" t="s">
        <v>4395</v>
      </c>
      <c r="BA1" s="148" t="s">
        <v>4396</v>
      </c>
      <c r="BB1" s="148" t="s">
        <v>4397</v>
      </c>
      <c r="BC1" s="148" t="s">
        <v>4398</v>
      </c>
      <c r="BD1" s="148" t="s">
        <v>4140</v>
      </c>
    </row>
    <row r="2" spans="1:56" hidden="1" x14ac:dyDescent="0.35">
      <c r="A2" t="s">
        <v>69</v>
      </c>
      <c r="B2" t="s">
        <v>4399</v>
      </c>
      <c r="C2" t="s">
        <v>63</v>
      </c>
      <c r="D2" t="s">
        <v>4400</v>
      </c>
      <c r="E2" t="s">
        <v>4401</v>
      </c>
      <c r="J2" t="s">
        <v>4402</v>
      </c>
      <c r="K2" t="s">
        <v>4403</v>
      </c>
      <c r="L2" t="s">
        <v>4404</v>
      </c>
      <c r="P2" t="s">
        <v>4340</v>
      </c>
      <c r="R2" t="s">
        <v>58</v>
      </c>
      <c r="S2">
        <v>8</v>
      </c>
      <c r="T2" t="s">
        <v>4405</v>
      </c>
      <c r="V2">
        <v>16384</v>
      </c>
      <c r="X2" t="s">
        <v>4406</v>
      </c>
      <c r="Y2" t="s">
        <v>4407</v>
      </c>
      <c r="Z2" t="s">
        <v>4408</v>
      </c>
      <c r="AA2" t="s">
        <v>4409</v>
      </c>
      <c r="AG2" t="s">
        <v>64</v>
      </c>
      <c r="AJ2" t="s">
        <v>4410</v>
      </c>
      <c r="AL2" t="s">
        <v>4411</v>
      </c>
      <c r="AN2" t="s">
        <v>4412</v>
      </c>
      <c r="AO2" t="s">
        <v>4413</v>
      </c>
      <c r="AQ2">
        <v>2</v>
      </c>
      <c r="AS2">
        <v>128000</v>
      </c>
      <c r="AX2" s="98" t="s">
        <v>757</v>
      </c>
      <c r="AY2">
        <f>MATCH(A2,VmSpecs[Original Hostname (CMO)],0)</f>
        <v>1</v>
      </c>
      <c r="AZ2" t="str" cm="1">
        <f t="array" ref="AZ2">INDEX(VmSpecs[VM Name],AY2)</f>
        <v>vmpfbpf2aea01</v>
      </c>
      <c r="BA2" t="str">
        <f>A2</f>
        <v>ehgpfaasaea01</v>
      </c>
      <c r="BB2" t="s">
        <v>4280</v>
      </c>
      <c r="BD2" t="str" cm="1">
        <f t="array" ref="BD2">INDEX(VmSpecs[Server Role],AY2)</f>
        <v>AEM -Author</v>
      </c>
    </row>
    <row r="3" spans="1:56" hidden="1" x14ac:dyDescent="0.35">
      <c r="A3" t="s">
        <v>71</v>
      </c>
      <c r="B3" t="s">
        <v>4399</v>
      </c>
      <c r="C3" t="s">
        <v>63</v>
      </c>
      <c r="D3" t="s">
        <v>4400</v>
      </c>
      <c r="E3" t="s">
        <v>4401</v>
      </c>
      <c r="J3" t="s">
        <v>4414</v>
      </c>
      <c r="K3" t="s">
        <v>4415</v>
      </c>
      <c r="L3" t="s">
        <v>4404</v>
      </c>
      <c r="P3" t="s">
        <v>4340</v>
      </c>
      <c r="R3" t="s">
        <v>58</v>
      </c>
      <c r="S3">
        <v>8</v>
      </c>
      <c r="T3" t="s">
        <v>4416</v>
      </c>
      <c r="V3">
        <v>16384</v>
      </c>
      <c r="X3" t="s">
        <v>4406</v>
      </c>
      <c r="Y3" t="s">
        <v>4407</v>
      </c>
      <c r="Z3" t="s">
        <v>4408</v>
      </c>
      <c r="AA3" t="s">
        <v>4409</v>
      </c>
      <c r="AG3" t="s">
        <v>64</v>
      </c>
      <c r="AJ3" t="s">
        <v>4417</v>
      </c>
      <c r="AL3" t="s">
        <v>4411</v>
      </c>
      <c r="AN3" t="s">
        <v>4412</v>
      </c>
      <c r="AO3" t="s">
        <v>4413</v>
      </c>
      <c r="AQ3">
        <v>2</v>
      </c>
      <c r="AS3">
        <v>128000</v>
      </c>
      <c r="AX3" s="98" t="s">
        <v>801</v>
      </c>
      <c r="AY3">
        <f>MATCH(A3,VmSpecs[Original Hostname (CMO)],0)</f>
        <v>2</v>
      </c>
      <c r="AZ3" t="str" cm="1">
        <f t="array" ref="AZ3">INDEX(VmSpecs[VM Name],AY3)</f>
        <v>vmpfbpf2aep01</v>
      </c>
      <c r="BA3" t="str">
        <f t="shared" ref="BA3:BA66" si="0">A3</f>
        <v>ehgpfaasaep01</v>
      </c>
      <c r="BB3" t="s">
        <v>4280</v>
      </c>
      <c r="BD3" t="str" cm="1">
        <f t="array" ref="BD3">INDEX(VmSpecs[Server Role],AY3)</f>
        <v>AEM -Publisher</v>
      </c>
    </row>
    <row r="4" spans="1:56" hidden="1" x14ac:dyDescent="0.35">
      <c r="A4" t="s">
        <v>74</v>
      </c>
      <c r="B4" t="s">
        <v>4399</v>
      </c>
      <c r="C4" t="s">
        <v>63</v>
      </c>
      <c r="D4" t="s">
        <v>4400</v>
      </c>
      <c r="E4" t="s">
        <v>4401</v>
      </c>
      <c r="J4" t="s">
        <v>4414</v>
      </c>
      <c r="K4" t="s">
        <v>4415</v>
      </c>
      <c r="L4" t="s">
        <v>4404</v>
      </c>
      <c r="P4" t="s">
        <v>4340</v>
      </c>
      <c r="R4" t="s">
        <v>58</v>
      </c>
      <c r="S4">
        <v>8</v>
      </c>
      <c r="T4" t="s">
        <v>4416</v>
      </c>
      <c r="V4">
        <v>16384</v>
      </c>
      <c r="X4" t="s">
        <v>4406</v>
      </c>
      <c r="Y4" t="s">
        <v>4407</v>
      </c>
      <c r="Z4" t="s">
        <v>4408</v>
      </c>
      <c r="AA4" t="s">
        <v>4409</v>
      </c>
      <c r="AG4" t="s">
        <v>64</v>
      </c>
      <c r="AJ4" t="s">
        <v>4417</v>
      </c>
      <c r="AL4" t="s">
        <v>4411</v>
      </c>
      <c r="AN4" t="s">
        <v>4412</v>
      </c>
      <c r="AO4" t="s">
        <v>4413</v>
      </c>
      <c r="AQ4">
        <v>2</v>
      </c>
      <c r="AS4">
        <v>128000</v>
      </c>
      <c r="AX4" s="98" t="s">
        <v>801</v>
      </c>
      <c r="AY4">
        <f>MATCH(A4,VmSpecs[Original Hostname (CMO)],0)</f>
        <v>3</v>
      </c>
      <c r="AZ4" t="str" cm="1">
        <f t="array" ref="AZ4">INDEX(VmSpecs[VM Name],AY4)</f>
        <v>vmpfbpf2aep02</v>
      </c>
      <c r="BA4" t="str">
        <f t="shared" si="0"/>
        <v>ehgpfaasaep02</v>
      </c>
      <c r="BB4" t="s">
        <v>4280</v>
      </c>
      <c r="BD4" t="str" cm="1">
        <f t="array" ref="BD4">INDEX(VmSpecs[Server Role],AY4)</f>
        <v>AEM -Publisher</v>
      </c>
    </row>
    <row r="5" spans="1:56" hidden="1" x14ac:dyDescent="0.35">
      <c r="A5" t="s">
        <v>77</v>
      </c>
      <c r="B5" t="s">
        <v>4399</v>
      </c>
      <c r="C5" t="s">
        <v>63</v>
      </c>
      <c r="D5" t="s">
        <v>4400</v>
      </c>
      <c r="E5" t="s">
        <v>4401</v>
      </c>
      <c r="J5" t="s">
        <v>4414</v>
      </c>
      <c r="K5" t="s">
        <v>4415</v>
      </c>
      <c r="L5" t="s">
        <v>4404</v>
      </c>
      <c r="P5" t="s">
        <v>4340</v>
      </c>
      <c r="R5" t="s">
        <v>58</v>
      </c>
      <c r="S5">
        <v>8</v>
      </c>
      <c r="T5" t="s">
        <v>4416</v>
      </c>
      <c r="V5">
        <v>16384</v>
      </c>
      <c r="X5" t="s">
        <v>4406</v>
      </c>
      <c r="Y5" t="s">
        <v>4407</v>
      </c>
      <c r="Z5" t="s">
        <v>4408</v>
      </c>
      <c r="AA5" t="s">
        <v>4409</v>
      </c>
      <c r="AG5" t="s">
        <v>64</v>
      </c>
      <c r="AJ5" t="s">
        <v>4417</v>
      </c>
      <c r="AL5" t="s">
        <v>4411</v>
      </c>
      <c r="AN5" t="s">
        <v>4412</v>
      </c>
      <c r="AO5" t="s">
        <v>4413</v>
      </c>
      <c r="AQ5">
        <v>2</v>
      </c>
      <c r="AS5">
        <v>128000</v>
      </c>
      <c r="AX5" s="98" t="s">
        <v>801</v>
      </c>
      <c r="AY5">
        <f>MATCH(A5,VmSpecs[Original Hostname (CMO)],0)</f>
        <v>4</v>
      </c>
      <c r="AZ5" t="str" cm="1">
        <f t="array" ref="AZ5">INDEX(VmSpecs[VM Name],AY5)</f>
        <v>vmpfbpf2aep03</v>
      </c>
      <c r="BA5" t="str">
        <f t="shared" si="0"/>
        <v>ehgpfaasaep03</v>
      </c>
      <c r="BB5" t="s">
        <v>4280</v>
      </c>
      <c r="BD5" t="str" cm="1">
        <f t="array" ref="BD5">INDEX(VmSpecs[Server Role],AY5)</f>
        <v>AEM -Publisher</v>
      </c>
    </row>
    <row r="6" spans="1:56" hidden="1" x14ac:dyDescent="0.35">
      <c r="A6" t="s">
        <v>80</v>
      </c>
      <c r="B6" t="s">
        <v>4399</v>
      </c>
      <c r="C6" t="s">
        <v>63</v>
      </c>
      <c r="D6" t="s">
        <v>4400</v>
      </c>
      <c r="E6" t="s">
        <v>4401</v>
      </c>
      <c r="J6" t="s">
        <v>4414</v>
      </c>
      <c r="K6" t="s">
        <v>4415</v>
      </c>
      <c r="L6" t="s">
        <v>4404</v>
      </c>
      <c r="P6" t="s">
        <v>4340</v>
      </c>
      <c r="R6" t="s">
        <v>58</v>
      </c>
      <c r="S6">
        <v>8</v>
      </c>
      <c r="T6" t="s">
        <v>4416</v>
      </c>
      <c r="V6">
        <v>16384</v>
      </c>
      <c r="X6" t="s">
        <v>4406</v>
      </c>
      <c r="Y6" t="s">
        <v>4407</v>
      </c>
      <c r="Z6" t="s">
        <v>4408</v>
      </c>
      <c r="AA6" t="s">
        <v>4409</v>
      </c>
      <c r="AG6" t="s">
        <v>64</v>
      </c>
      <c r="AJ6" t="s">
        <v>4417</v>
      </c>
      <c r="AL6" t="s">
        <v>4411</v>
      </c>
      <c r="AN6" t="s">
        <v>4412</v>
      </c>
      <c r="AO6" t="s">
        <v>4413</v>
      </c>
      <c r="AQ6">
        <v>2</v>
      </c>
      <c r="AS6">
        <v>128000</v>
      </c>
      <c r="AX6" s="98" t="s">
        <v>801</v>
      </c>
      <c r="AY6">
        <f>MATCH(A6,VmSpecs[Original Hostname (CMO)],0)</f>
        <v>5</v>
      </c>
      <c r="AZ6" t="str" cm="1">
        <f t="array" ref="AZ6">INDEX(VmSpecs[VM Name],AY6)</f>
        <v>vmpfbpf2aep04</v>
      </c>
      <c r="BA6" t="str">
        <f t="shared" si="0"/>
        <v>ehgpfaasaep04</v>
      </c>
      <c r="BB6" t="s">
        <v>4280</v>
      </c>
      <c r="BD6" t="str" cm="1">
        <f t="array" ref="BD6">INDEX(VmSpecs[Server Role],AY6)</f>
        <v>AEM -Publisher</v>
      </c>
    </row>
    <row r="7" spans="1:56" hidden="1" x14ac:dyDescent="0.35">
      <c r="A7" t="s">
        <v>83</v>
      </c>
      <c r="B7" t="s">
        <v>4399</v>
      </c>
      <c r="C7" t="s">
        <v>63</v>
      </c>
      <c r="D7" t="s">
        <v>4400</v>
      </c>
      <c r="E7" t="s">
        <v>4401</v>
      </c>
      <c r="J7" t="s">
        <v>4414</v>
      </c>
      <c r="K7" t="s">
        <v>4415</v>
      </c>
      <c r="L7" t="s">
        <v>4404</v>
      </c>
      <c r="P7" t="s">
        <v>4340</v>
      </c>
      <c r="R7" t="s">
        <v>58</v>
      </c>
      <c r="S7">
        <v>8</v>
      </c>
      <c r="T7" t="s">
        <v>4416</v>
      </c>
      <c r="V7">
        <v>16384</v>
      </c>
      <c r="X7" t="s">
        <v>4406</v>
      </c>
      <c r="Y7" t="s">
        <v>4407</v>
      </c>
      <c r="Z7" t="s">
        <v>4408</v>
      </c>
      <c r="AA7" t="s">
        <v>4409</v>
      </c>
      <c r="AG7" t="s">
        <v>64</v>
      </c>
      <c r="AJ7" t="s">
        <v>4417</v>
      </c>
      <c r="AL7" t="s">
        <v>4411</v>
      </c>
      <c r="AN7" t="s">
        <v>4412</v>
      </c>
      <c r="AO7" t="s">
        <v>4413</v>
      </c>
      <c r="AQ7">
        <v>2</v>
      </c>
      <c r="AS7">
        <v>128000</v>
      </c>
      <c r="AX7" s="98" t="s">
        <v>801</v>
      </c>
      <c r="AY7">
        <f>MATCH(A7,VmSpecs[Original Hostname (CMO)],0)</f>
        <v>6</v>
      </c>
      <c r="AZ7" t="str" cm="1">
        <f t="array" ref="AZ7">INDEX(VmSpecs[VM Name],AY7)</f>
        <v>vmpfbpf2aep05</v>
      </c>
      <c r="BA7" t="str">
        <f t="shared" si="0"/>
        <v>ehgpfaasaep05</v>
      </c>
      <c r="BB7" t="s">
        <v>4280</v>
      </c>
      <c r="BD7" t="str" cm="1">
        <f t="array" ref="BD7">INDEX(VmSpecs[Server Role],AY7)</f>
        <v>AEM -Publisher</v>
      </c>
    </row>
    <row r="8" spans="1:56" hidden="1" x14ac:dyDescent="0.35">
      <c r="A8" t="s">
        <v>86</v>
      </c>
      <c r="B8" t="s">
        <v>4399</v>
      </c>
      <c r="C8" t="s">
        <v>63</v>
      </c>
      <c r="D8" t="s">
        <v>4400</v>
      </c>
      <c r="E8" t="s">
        <v>4401</v>
      </c>
      <c r="J8" t="s">
        <v>4414</v>
      </c>
      <c r="K8" t="s">
        <v>4415</v>
      </c>
      <c r="L8" t="s">
        <v>4404</v>
      </c>
      <c r="P8" t="s">
        <v>4340</v>
      </c>
      <c r="R8" t="s">
        <v>58</v>
      </c>
      <c r="S8">
        <v>8</v>
      </c>
      <c r="T8" t="s">
        <v>4416</v>
      </c>
      <c r="V8">
        <v>16384</v>
      </c>
      <c r="X8" t="s">
        <v>4406</v>
      </c>
      <c r="Y8" t="s">
        <v>4407</v>
      </c>
      <c r="Z8" t="s">
        <v>4408</v>
      </c>
      <c r="AA8" t="s">
        <v>4409</v>
      </c>
      <c r="AG8" t="s">
        <v>64</v>
      </c>
      <c r="AJ8" t="s">
        <v>4417</v>
      </c>
      <c r="AL8" t="s">
        <v>4411</v>
      </c>
      <c r="AN8" t="s">
        <v>4412</v>
      </c>
      <c r="AO8" t="s">
        <v>4413</v>
      </c>
      <c r="AQ8">
        <v>2</v>
      </c>
      <c r="AS8">
        <v>128000</v>
      </c>
      <c r="AX8" s="98" t="s">
        <v>801</v>
      </c>
      <c r="AY8">
        <f>MATCH(A8,VmSpecs[Original Hostname (CMO)],0)</f>
        <v>7</v>
      </c>
      <c r="AZ8" t="str" cm="1">
        <f t="array" ref="AZ8">INDEX(VmSpecs[VM Name],AY8)</f>
        <v>vmpfbpf2aep06</v>
      </c>
      <c r="BA8" t="str">
        <f t="shared" si="0"/>
        <v>ehgpfaasaep06</v>
      </c>
      <c r="BB8" t="s">
        <v>4280</v>
      </c>
      <c r="BD8" t="str" cm="1">
        <f t="array" ref="BD8">INDEX(VmSpecs[Server Role],AY8)</f>
        <v>AEM -Publisher</v>
      </c>
    </row>
    <row r="9" spans="1:56" hidden="1" x14ac:dyDescent="0.35">
      <c r="A9" t="s">
        <v>491</v>
      </c>
      <c r="B9" t="s">
        <v>4399</v>
      </c>
      <c r="C9" t="s">
        <v>63</v>
      </c>
      <c r="D9" t="s">
        <v>4400</v>
      </c>
      <c r="E9" t="s">
        <v>4401</v>
      </c>
      <c r="J9" t="s">
        <v>4418</v>
      </c>
      <c r="K9" t="s">
        <v>4419</v>
      </c>
      <c r="L9" t="s">
        <v>4404</v>
      </c>
      <c r="P9" t="s">
        <v>4340</v>
      </c>
      <c r="R9" t="s">
        <v>58</v>
      </c>
      <c r="S9">
        <v>8</v>
      </c>
      <c r="T9" t="s">
        <v>4416</v>
      </c>
      <c r="V9">
        <v>16384</v>
      </c>
      <c r="X9" t="s">
        <v>4406</v>
      </c>
      <c r="Y9" t="s">
        <v>4407</v>
      </c>
      <c r="Z9" t="s">
        <v>4408</v>
      </c>
      <c r="AA9" t="s">
        <v>4420</v>
      </c>
      <c r="AG9" t="s">
        <v>64</v>
      </c>
      <c r="AJ9" t="s">
        <v>4421</v>
      </c>
      <c r="AL9" t="s">
        <v>4411</v>
      </c>
      <c r="AN9" t="s">
        <v>4412</v>
      </c>
      <c r="AO9" t="s">
        <v>4413</v>
      </c>
      <c r="AQ9">
        <v>1</v>
      </c>
      <c r="AS9">
        <v>56320</v>
      </c>
      <c r="AX9" s="98" t="s">
        <v>757</v>
      </c>
      <c r="AY9">
        <f>MATCH(A9,VmSpecs[Original Hostname (CMO)],0)</f>
        <v>192</v>
      </c>
      <c r="AZ9" t="str" cm="1">
        <f t="array" ref="AZ9">INDEX(VmSpecs[VM Name],AY9)</f>
        <v>vmpfbpf2aho01</v>
      </c>
      <c r="BA9" t="str">
        <f t="shared" si="0"/>
        <v>ehgpfawsaho01</v>
      </c>
      <c r="BB9" t="s">
        <v>4280</v>
      </c>
      <c r="BD9" t="str" cm="1">
        <f t="array" ref="BD9">INDEX(VmSpecs[Server Role],AY9)</f>
        <v>OHS-API Gatway N1</v>
      </c>
    </row>
    <row r="10" spans="1:56" hidden="1" x14ac:dyDescent="0.35">
      <c r="A10" t="s">
        <v>493</v>
      </c>
      <c r="B10" t="s">
        <v>4399</v>
      </c>
      <c r="C10" t="s">
        <v>63</v>
      </c>
      <c r="D10" t="s">
        <v>4400</v>
      </c>
      <c r="E10" t="s">
        <v>4401</v>
      </c>
      <c r="J10" t="s">
        <v>4418</v>
      </c>
      <c r="K10" t="s">
        <v>4419</v>
      </c>
      <c r="L10" t="s">
        <v>4404</v>
      </c>
      <c r="P10" t="s">
        <v>4340</v>
      </c>
      <c r="R10" t="s">
        <v>58</v>
      </c>
      <c r="S10">
        <v>8</v>
      </c>
      <c r="T10" t="s">
        <v>4416</v>
      </c>
      <c r="V10">
        <v>16384</v>
      </c>
      <c r="X10" t="s">
        <v>4406</v>
      </c>
      <c r="Y10" t="s">
        <v>4407</v>
      </c>
      <c r="Z10" t="s">
        <v>4408</v>
      </c>
      <c r="AA10" t="s">
        <v>4420</v>
      </c>
      <c r="AG10" t="s">
        <v>64</v>
      </c>
      <c r="AJ10" t="s">
        <v>4422</v>
      </c>
      <c r="AL10" t="s">
        <v>4411</v>
      </c>
      <c r="AN10" t="s">
        <v>4412</v>
      </c>
      <c r="AO10" t="s">
        <v>4413</v>
      </c>
      <c r="AQ10">
        <v>1</v>
      </c>
      <c r="AS10">
        <v>56320</v>
      </c>
      <c r="AX10" s="98" t="s">
        <v>757</v>
      </c>
      <c r="AY10">
        <f>MATCH(A10,VmSpecs[Original Hostname (CMO)],0)</f>
        <v>193</v>
      </c>
      <c r="AZ10" t="str" cm="1">
        <f t="array" ref="AZ10">INDEX(VmSpecs[VM Name],AY10)</f>
        <v>vmpfbpf2aho02</v>
      </c>
      <c r="BA10" t="str">
        <f t="shared" si="0"/>
        <v>ehgpfawsaho02</v>
      </c>
      <c r="BB10" t="s">
        <v>4280</v>
      </c>
      <c r="BD10" t="str" cm="1">
        <f t="array" ref="BD10">INDEX(VmSpecs[Server Role],AY10)</f>
        <v>OHS-API Gatway N2</v>
      </c>
    </row>
    <row r="11" spans="1:56" hidden="1" x14ac:dyDescent="0.35">
      <c r="A11" t="s">
        <v>495</v>
      </c>
      <c r="B11" t="s">
        <v>4399</v>
      </c>
      <c r="C11" t="s">
        <v>63</v>
      </c>
      <c r="D11" t="s">
        <v>4400</v>
      </c>
      <c r="E11" t="s">
        <v>4401</v>
      </c>
      <c r="J11" t="s">
        <v>4418</v>
      </c>
      <c r="K11" t="s">
        <v>4419</v>
      </c>
      <c r="L11" t="s">
        <v>4404</v>
      </c>
      <c r="P11" t="s">
        <v>4340</v>
      </c>
      <c r="R11" t="s">
        <v>58</v>
      </c>
      <c r="S11">
        <v>8</v>
      </c>
      <c r="T11" t="s">
        <v>4416</v>
      </c>
      <c r="V11">
        <v>16384</v>
      </c>
      <c r="X11" t="s">
        <v>4406</v>
      </c>
      <c r="Y11" t="s">
        <v>4407</v>
      </c>
      <c r="Z11" t="s">
        <v>4408</v>
      </c>
      <c r="AA11" t="s">
        <v>4420</v>
      </c>
      <c r="AG11" t="s">
        <v>64</v>
      </c>
      <c r="AJ11" t="s">
        <v>4423</v>
      </c>
      <c r="AL11" t="s">
        <v>4411</v>
      </c>
      <c r="AN11" t="s">
        <v>4412</v>
      </c>
      <c r="AO11" t="s">
        <v>4413</v>
      </c>
      <c r="AQ11">
        <v>1</v>
      </c>
      <c r="AS11">
        <v>56320</v>
      </c>
      <c r="AX11" s="98" t="s">
        <v>757</v>
      </c>
      <c r="AY11">
        <f>MATCH(A11,VmSpecs[Original Hostname (CMO)],0)</f>
        <v>194</v>
      </c>
      <c r="AZ11" t="str" cm="1">
        <f t="array" ref="AZ11">INDEX(VmSpecs[VM Name],AY11)</f>
        <v>vmpfbpf2aho03</v>
      </c>
      <c r="BA11" t="str">
        <f t="shared" si="0"/>
        <v>ehgpfawsaho03</v>
      </c>
      <c r="BB11" t="s">
        <v>4280</v>
      </c>
      <c r="BD11" t="str" cm="1">
        <f t="array" ref="BD11">INDEX(VmSpecs[Server Role],AY11)</f>
        <v>OHS-API Gatway N3</v>
      </c>
    </row>
    <row r="12" spans="1:56" hidden="1" x14ac:dyDescent="0.35">
      <c r="A12" t="s">
        <v>497</v>
      </c>
      <c r="B12" t="s">
        <v>4399</v>
      </c>
      <c r="C12" t="s">
        <v>63</v>
      </c>
      <c r="D12" t="s">
        <v>4400</v>
      </c>
      <c r="E12" t="s">
        <v>4401</v>
      </c>
      <c r="J12" t="s">
        <v>4418</v>
      </c>
      <c r="K12" t="s">
        <v>4419</v>
      </c>
      <c r="L12" t="s">
        <v>4404</v>
      </c>
      <c r="P12" t="s">
        <v>4340</v>
      </c>
      <c r="R12" t="s">
        <v>58</v>
      </c>
      <c r="S12">
        <v>8</v>
      </c>
      <c r="T12" t="s">
        <v>4416</v>
      </c>
      <c r="V12">
        <v>16384</v>
      </c>
      <c r="X12" t="s">
        <v>4406</v>
      </c>
      <c r="Y12" t="s">
        <v>4407</v>
      </c>
      <c r="Z12" t="s">
        <v>4408</v>
      </c>
      <c r="AA12" t="s">
        <v>4420</v>
      </c>
      <c r="AG12" t="s">
        <v>64</v>
      </c>
      <c r="AJ12" t="s">
        <v>4424</v>
      </c>
      <c r="AL12" t="s">
        <v>4411</v>
      </c>
      <c r="AN12" t="s">
        <v>4412</v>
      </c>
      <c r="AO12" t="s">
        <v>4413</v>
      </c>
      <c r="AQ12">
        <v>1</v>
      </c>
      <c r="AS12">
        <v>56320</v>
      </c>
      <c r="AX12" s="98" t="s">
        <v>757</v>
      </c>
      <c r="AY12">
        <f>MATCH(A12,VmSpecs[Original Hostname (CMO)],0)</f>
        <v>195</v>
      </c>
      <c r="AZ12" t="str" cm="1">
        <f t="array" ref="AZ12">INDEX(VmSpecs[VM Name],AY12)</f>
        <v>vmpfbpf2aho04</v>
      </c>
      <c r="BA12" t="str">
        <f t="shared" si="0"/>
        <v>ehgpfawsaho04</v>
      </c>
      <c r="BB12" t="s">
        <v>4280</v>
      </c>
      <c r="BD12" t="str" cm="1">
        <f t="array" ref="BD12">INDEX(VmSpecs[Server Role],AY12)</f>
        <v>OHS-API Gatway N4</v>
      </c>
    </row>
    <row r="13" spans="1:56" hidden="1" x14ac:dyDescent="0.35">
      <c r="A13" t="s">
        <v>499</v>
      </c>
      <c r="B13" t="s">
        <v>4399</v>
      </c>
      <c r="C13" t="s">
        <v>63</v>
      </c>
      <c r="D13" t="s">
        <v>4400</v>
      </c>
      <c r="E13" t="s">
        <v>4401</v>
      </c>
      <c r="J13" t="s">
        <v>4425</v>
      </c>
      <c r="K13" t="s">
        <v>4419</v>
      </c>
      <c r="L13" t="s">
        <v>4404</v>
      </c>
      <c r="P13" t="s">
        <v>4340</v>
      </c>
      <c r="R13" t="s">
        <v>58</v>
      </c>
      <c r="S13">
        <v>8</v>
      </c>
      <c r="T13" t="s">
        <v>4405</v>
      </c>
      <c r="V13">
        <v>16384</v>
      </c>
      <c r="Y13" t="s">
        <v>4407</v>
      </c>
      <c r="Z13" t="s">
        <v>4408</v>
      </c>
      <c r="AJ13" t="s">
        <v>4426</v>
      </c>
      <c r="AL13" t="s">
        <v>4411</v>
      </c>
      <c r="AN13" t="s">
        <v>4412</v>
      </c>
      <c r="AQ13">
        <v>1</v>
      </c>
      <c r="AX13" s="98" t="s">
        <v>757</v>
      </c>
      <c r="AY13">
        <f>MATCH(A13,VmSpecs[Original Hostname (CMO)],0)</f>
        <v>196</v>
      </c>
      <c r="AZ13" t="str" cm="1">
        <f t="array" ref="AZ13">INDEX(VmSpecs[VM Name],AY13)</f>
        <v>vmpfbpf2cho01</v>
      </c>
      <c r="BA13" t="str">
        <f t="shared" si="0"/>
        <v>ehgpfawscho01</v>
      </c>
      <c r="BB13" t="s">
        <v>4280</v>
      </c>
      <c r="BD13" t="str" cm="1">
        <f t="array" ref="BD13">INDEX(VmSpecs[Server Role],AY13)</f>
        <v>OHS-Common OSB</v>
      </c>
    </row>
    <row r="14" spans="1:56" hidden="1" x14ac:dyDescent="0.35">
      <c r="A14" t="s">
        <v>501</v>
      </c>
      <c r="B14" t="s">
        <v>4399</v>
      </c>
      <c r="C14" t="s">
        <v>63</v>
      </c>
      <c r="D14" t="s">
        <v>4400</v>
      </c>
      <c r="E14" t="s">
        <v>4401</v>
      </c>
      <c r="J14" t="s">
        <v>4425</v>
      </c>
      <c r="K14" t="s">
        <v>4419</v>
      </c>
      <c r="L14" t="s">
        <v>4404</v>
      </c>
      <c r="P14" t="s">
        <v>4340</v>
      </c>
      <c r="R14" t="s">
        <v>58</v>
      </c>
      <c r="S14">
        <v>8</v>
      </c>
      <c r="T14" t="s">
        <v>4405</v>
      </c>
      <c r="V14">
        <v>16384</v>
      </c>
      <c r="Y14" t="s">
        <v>4407</v>
      </c>
      <c r="Z14" t="s">
        <v>4408</v>
      </c>
      <c r="AJ14" t="s">
        <v>4426</v>
      </c>
      <c r="AL14" t="s">
        <v>4411</v>
      </c>
      <c r="AN14" t="s">
        <v>4412</v>
      </c>
      <c r="AQ14">
        <v>1</v>
      </c>
      <c r="AX14" s="98" t="s">
        <v>757</v>
      </c>
      <c r="AY14">
        <f>MATCH(A14,VmSpecs[Original Hostname (CMO)],0)</f>
        <v>197</v>
      </c>
      <c r="AZ14" t="str" cm="1">
        <f t="array" ref="AZ14">INDEX(VmSpecs[VM Name],AY14)</f>
        <v>vmpfbpf2cho02</v>
      </c>
      <c r="BA14" t="str">
        <f t="shared" si="0"/>
        <v>ehgpfawscho02</v>
      </c>
      <c r="BB14" t="s">
        <v>4280</v>
      </c>
      <c r="BD14" t="str" cm="1">
        <f t="array" ref="BD14">INDEX(VmSpecs[Server Role],AY14)</f>
        <v>OHS-Common OSB</v>
      </c>
    </row>
    <row r="15" spans="1:56" hidden="1" x14ac:dyDescent="0.35">
      <c r="A15" t="s">
        <v>503</v>
      </c>
      <c r="B15" t="s">
        <v>4399</v>
      </c>
      <c r="C15" t="s">
        <v>63</v>
      </c>
      <c r="D15" t="s">
        <v>4400</v>
      </c>
      <c r="E15" t="s">
        <v>4401</v>
      </c>
      <c r="J15" t="s">
        <v>4425</v>
      </c>
      <c r="K15" t="s">
        <v>4419</v>
      </c>
      <c r="L15" t="s">
        <v>4404</v>
      </c>
      <c r="P15" t="s">
        <v>4340</v>
      </c>
      <c r="R15" t="s">
        <v>58</v>
      </c>
      <c r="S15">
        <v>8</v>
      </c>
      <c r="T15" t="s">
        <v>4405</v>
      </c>
      <c r="V15">
        <v>16384</v>
      </c>
      <c r="Y15" t="s">
        <v>4407</v>
      </c>
      <c r="Z15" t="s">
        <v>4408</v>
      </c>
      <c r="AJ15" t="s">
        <v>4426</v>
      </c>
      <c r="AL15" t="s">
        <v>4411</v>
      </c>
      <c r="AN15" t="s">
        <v>4412</v>
      </c>
      <c r="AQ15">
        <v>1</v>
      </c>
      <c r="AX15" s="98" t="s">
        <v>757</v>
      </c>
      <c r="AY15">
        <f>MATCH(A15,VmSpecs[Original Hostname (CMO)],0)</f>
        <v>198</v>
      </c>
      <c r="AZ15" t="str" cm="1">
        <f t="array" ref="AZ15">INDEX(VmSpecs[VM Name],AY15)</f>
        <v>vmpfbpf2cho03</v>
      </c>
      <c r="BA15" t="str">
        <f t="shared" si="0"/>
        <v>ehgpfawscho03</v>
      </c>
      <c r="BB15" t="s">
        <v>4280</v>
      </c>
      <c r="BD15" t="str" cm="1">
        <f t="array" ref="BD15">INDEX(VmSpecs[Server Role],AY15)</f>
        <v>OHS-Common OSB</v>
      </c>
    </row>
    <row r="16" spans="1:56" hidden="1" x14ac:dyDescent="0.35">
      <c r="A16" t="s">
        <v>90</v>
      </c>
      <c r="B16" t="s">
        <v>4399</v>
      </c>
      <c r="C16" t="s">
        <v>63</v>
      </c>
      <c r="D16" t="s">
        <v>4400</v>
      </c>
      <c r="E16" t="s">
        <v>4401</v>
      </c>
      <c r="J16" t="s">
        <v>4080</v>
      </c>
      <c r="K16" t="s">
        <v>4427</v>
      </c>
      <c r="L16" t="s">
        <v>4404</v>
      </c>
      <c r="P16" t="s">
        <v>4340</v>
      </c>
      <c r="R16" t="s">
        <v>58</v>
      </c>
      <c r="S16">
        <v>8</v>
      </c>
      <c r="T16" t="s">
        <v>4416</v>
      </c>
      <c r="V16">
        <v>24576</v>
      </c>
      <c r="X16" t="s">
        <v>4406</v>
      </c>
      <c r="Y16" t="s">
        <v>4407</v>
      </c>
      <c r="Z16" t="s">
        <v>4408</v>
      </c>
      <c r="AA16" t="s">
        <v>4409</v>
      </c>
      <c r="AG16" t="s">
        <v>64</v>
      </c>
      <c r="AJ16" t="s">
        <v>4428</v>
      </c>
      <c r="AL16" t="s">
        <v>4411</v>
      </c>
      <c r="AN16" t="s">
        <v>4412</v>
      </c>
      <c r="AO16" t="s">
        <v>4413</v>
      </c>
      <c r="AQ16">
        <v>2</v>
      </c>
      <c r="AS16">
        <v>81920</v>
      </c>
      <c r="AX16" s="98" t="s">
        <v>801</v>
      </c>
      <c r="AY16">
        <f>MATCH(A16,VmSpecs[Original Hostname (CMO)],0)</f>
        <v>9</v>
      </c>
      <c r="AZ16" t="str" cm="1">
        <f t="array" ref="AZ16">INDEX(VmSpecs[VM Name],AY16)</f>
        <v>vmpfbpf2crp02</v>
      </c>
      <c r="BA16" t="str">
        <f t="shared" si="0"/>
        <v>ehgpfaascrp02</v>
      </c>
      <c r="BB16" t="s">
        <v>4280</v>
      </c>
      <c r="BD16" t="str" cm="1">
        <f t="array" ref="BD16">INDEX(VmSpecs[Server Role],AY16)</f>
        <v>OSB CRP Domain N2</v>
      </c>
    </row>
    <row r="17" spans="1:56" hidden="1" x14ac:dyDescent="0.35">
      <c r="A17" t="s">
        <v>92</v>
      </c>
      <c r="B17" t="s">
        <v>4399</v>
      </c>
      <c r="C17" t="s">
        <v>63</v>
      </c>
      <c r="D17" t="s">
        <v>4400</v>
      </c>
      <c r="E17" t="s">
        <v>4401</v>
      </c>
      <c r="J17" t="s">
        <v>4080</v>
      </c>
      <c r="K17" t="s">
        <v>4427</v>
      </c>
      <c r="L17" t="s">
        <v>4404</v>
      </c>
      <c r="P17" t="s">
        <v>4340</v>
      </c>
      <c r="R17" t="s">
        <v>58</v>
      </c>
      <c r="S17">
        <v>8</v>
      </c>
      <c r="T17" t="s">
        <v>4416</v>
      </c>
      <c r="V17">
        <v>24576</v>
      </c>
      <c r="X17" t="s">
        <v>4406</v>
      </c>
      <c r="Y17" t="s">
        <v>4407</v>
      </c>
      <c r="Z17" t="s">
        <v>4408</v>
      </c>
      <c r="AA17" t="s">
        <v>4409</v>
      </c>
      <c r="AG17" t="s">
        <v>64</v>
      </c>
      <c r="AJ17" t="s">
        <v>4429</v>
      </c>
      <c r="AL17" t="s">
        <v>4411</v>
      </c>
      <c r="AN17" t="s">
        <v>4412</v>
      </c>
      <c r="AO17" t="s">
        <v>4413</v>
      </c>
      <c r="AQ17">
        <v>2</v>
      </c>
      <c r="AS17">
        <v>81920</v>
      </c>
      <c r="AX17" s="98" t="s">
        <v>801</v>
      </c>
      <c r="AY17">
        <f>MATCH(A17,VmSpecs[Original Hostname (CMO)],0)</f>
        <v>10</v>
      </c>
      <c r="AZ17" t="str" cm="1">
        <f t="array" ref="AZ17">INDEX(VmSpecs[VM Name],AY17)</f>
        <v>vmpfbpf2crp03</v>
      </c>
      <c r="BA17" t="str">
        <f t="shared" si="0"/>
        <v>ehgpfaascrp03</v>
      </c>
      <c r="BB17" t="s">
        <v>4280</v>
      </c>
      <c r="BD17" t="str" cm="1">
        <f t="array" ref="BD17">INDEX(VmSpecs[Server Role],AY17)</f>
        <v>OSB CRP Domain N3</v>
      </c>
    </row>
    <row r="18" spans="1:56" hidden="1" x14ac:dyDescent="0.35">
      <c r="A18" t="s">
        <v>94</v>
      </c>
      <c r="B18" t="s">
        <v>4399</v>
      </c>
      <c r="C18" t="s">
        <v>63</v>
      </c>
      <c r="D18" t="s">
        <v>4400</v>
      </c>
      <c r="E18" t="s">
        <v>4401</v>
      </c>
      <c r="J18" t="s">
        <v>4080</v>
      </c>
      <c r="K18" t="s">
        <v>4427</v>
      </c>
      <c r="L18" t="s">
        <v>4404</v>
      </c>
      <c r="P18" t="s">
        <v>4340</v>
      </c>
      <c r="R18" t="s">
        <v>58</v>
      </c>
      <c r="S18">
        <v>8</v>
      </c>
      <c r="T18" t="s">
        <v>4416</v>
      </c>
      <c r="V18">
        <v>24576</v>
      </c>
      <c r="X18" t="s">
        <v>4406</v>
      </c>
      <c r="Y18" t="s">
        <v>4407</v>
      </c>
      <c r="Z18" t="s">
        <v>4408</v>
      </c>
      <c r="AA18" t="s">
        <v>4409</v>
      </c>
      <c r="AG18" t="s">
        <v>64</v>
      </c>
      <c r="AJ18" t="s">
        <v>4430</v>
      </c>
      <c r="AL18" t="s">
        <v>4411</v>
      </c>
      <c r="AN18" t="s">
        <v>4412</v>
      </c>
      <c r="AO18" t="s">
        <v>4413</v>
      </c>
      <c r="AQ18">
        <v>2</v>
      </c>
      <c r="AS18">
        <v>81920</v>
      </c>
      <c r="AX18" s="98" t="s">
        <v>801</v>
      </c>
      <c r="AY18">
        <f>MATCH(A18,VmSpecs[Original Hostname (CMO)],0)</f>
        <v>11</v>
      </c>
      <c r="AZ18" t="str" cm="1">
        <f t="array" ref="AZ18">INDEX(VmSpecs[VM Name],AY18)</f>
        <v>vmpfbpf2crp04</v>
      </c>
      <c r="BA18" t="str">
        <f t="shared" si="0"/>
        <v>ehgpfaascrp04</v>
      </c>
      <c r="BB18" t="s">
        <v>4280</v>
      </c>
      <c r="BD18" t="str" cm="1">
        <f t="array" ref="BD18">INDEX(VmSpecs[Server Role],AY18)</f>
        <v>OSB CRP Domain N4</v>
      </c>
    </row>
    <row r="19" spans="1:56" hidden="1" x14ac:dyDescent="0.35">
      <c r="A19" t="s">
        <v>96</v>
      </c>
      <c r="B19" t="s">
        <v>4399</v>
      </c>
      <c r="C19" t="s">
        <v>63</v>
      </c>
      <c r="D19" t="s">
        <v>4400</v>
      </c>
      <c r="E19" t="s">
        <v>4401</v>
      </c>
      <c r="J19" t="s">
        <v>4080</v>
      </c>
      <c r="K19" t="s">
        <v>4427</v>
      </c>
      <c r="L19" t="s">
        <v>4404</v>
      </c>
      <c r="P19" t="s">
        <v>4340</v>
      </c>
      <c r="R19" t="s">
        <v>58</v>
      </c>
      <c r="S19">
        <v>8</v>
      </c>
      <c r="T19" t="s">
        <v>4416</v>
      </c>
      <c r="V19">
        <v>24576</v>
      </c>
      <c r="X19" t="s">
        <v>4406</v>
      </c>
      <c r="Y19" t="s">
        <v>4407</v>
      </c>
      <c r="Z19" t="s">
        <v>4408</v>
      </c>
      <c r="AA19" t="s">
        <v>4409</v>
      </c>
      <c r="AG19" t="s">
        <v>64</v>
      </c>
      <c r="AJ19" t="s">
        <v>4431</v>
      </c>
      <c r="AL19" t="s">
        <v>4411</v>
      </c>
      <c r="AN19" t="s">
        <v>4412</v>
      </c>
      <c r="AO19" t="s">
        <v>4413</v>
      </c>
      <c r="AQ19">
        <v>2</v>
      </c>
      <c r="AS19">
        <v>81920</v>
      </c>
      <c r="AX19" s="98" t="s">
        <v>801</v>
      </c>
      <c r="AY19">
        <f>MATCH(A19,VmSpecs[Original Hostname (CMO)],0)</f>
        <v>12</v>
      </c>
      <c r="AZ19" t="str" cm="1">
        <f t="array" ref="AZ19">INDEX(VmSpecs[VM Name],AY19)</f>
        <v>vmpfbpf2crp05</v>
      </c>
      <c r="BA19" t="str">
        <f t="shared" si="0"/>
        <v>ehgpfaascrp05</v>
      </c>
      <c r="BB19" t="s">
        <v>4280</v>
      </c>
      <c r="BD19" t="str" cm="1">
        <f t="array" ref="BD19">INDEX(VmSpecs[Server Role],AY19)</f>
        <v>OSB CRP Domain N5</v>
      </c>
    </row>
    <row r="20" spans="1:56" hidden="1" x14ac:dyDescent="0.35">
      <c r="A20" t="s">
        <v>98</v>
      </c>
      <c r="B20" t="s">
        <v>4399</v>
      </c>
      <c r="C20" t="s">
        <v>63</v>
      </c>
      <c r="D20" t="s">
        <v>4400</v>
      </c>
      <c r="E20" t="s">
        <v>4401</v>
      </c>
      <c r="J20" t="s">
        <v>4080</v>
      </c>
      <c r="K20" t="s">
        <v>4427</v>
      </c>
      <c r="L20" t="s">
        <v>4404</v>
      </c>
      <c r="P20" t="s">
        <v>4340</v>
      </c>
      <c r="R20" t="s">
        <v>58</v>
      </c>
      <c r="S20">
        <v>8</v>
      </c>
      <c r="T20" t="s">
        <v>4416</v>
      </c>
      <c r="V20">
        <v>24576</v>
      </c>
      <c r="X20" t="s">
        <v>4406</v>
      </c>
      <c r="Y20" t="s">
        <v>4407</v>
      </c>
      <c r="Z20" t="s">
        <v>4408</v>
      </c>
      <c r="AA20" t="s">
        <v>4409</v>
      </c>
      <c r="AG20" t="s">
        <v>64</v>
      </c>
      <c r="AJ20" t="s">
        <v>4432</v>
      </c>
      <c r="AL20" t="s">
        <v>4411</v>
      </c>
      <c r="AN20" t="s">
        <v>4412</v>
      </c>
      <c r="AO20" t="s">
        <v>4413</v>
      </c>
      <c r="AQ20">
        <v>2</v>
      </c>
      <c r="AS20">
        <v>81920</v>
      </c>
      <c r="AX20" s="98" t="s">
        <v>801</v>
      </c>
      <c r="AY20">
        <f>MATCH(A20,VmSpecs[Original Hostname (CMO)],0)</f>
        <v>13</v>
      </c>
      <c r="AZ20" t="str" cm="1">
        <f t="array" ref="AZ20">INDEX(VmSpecs[VM Name],AY20)</f>
        <v>vmpfbpf2crp06</v>
      </c>
      <c r="BA20" t="str">
        <f t="shared" si="0"/>
        <v>ehgpfaascrp06</v>
      </c>
      <c r="BB20" t="s">
        <v>4280</v>
      </c>
      <c r="BD20" t="str" cm="1">
        <f t="array" ref="BD20">INDEX(VmSpecs[Server Role],AY20)</f>
        <v>OSB CRP Domain N6</v>
      </c>
    </row>
    <row r="21" spans="1:56" hidden="1" x14ac:dyDescent="0.35">
      <c r="A21" t="s">
        <v>101</v>
      </c>
      <c r="B21" t="s">
        <v>4399</v>
      </c>
      <c r="C21" t="s">
        <v>63</v>
      </c>
      <c r="D21" t="s">
        <v>4400</v>
      </c>
      <c r="E21" t="s">
        <v>4401</v>
      </c>
      <c r="J21" t="s">
        <v>4080</v>
      </c>
      <c r="K21" t="s">
        <v>4427</v>
      </c>
      <c r="L21" t="s">
        <v>4404</v>
      </c>
      <c r="P21" t="s">
        <v>4340</v>
      </c>
      <c r="R21" t="s">
        <v>58</v>
      </c>
      <c r="S21">
        <v>8</v>
      </c>
      <c r="T21" t="s">
        <v>4416</v>
      </c>
      <c r="V21">
        <v>24576</v>
      </c>
      <c r="X21" t="s">
        <v>4406</v>
      </c>
      <c r="Y21" t="s">
        <v>4407</v>
      </c>
      <c r="Z21" t="s">
        <v>4408</v>
      </c>
      <c r="AA21" t="s">
        <v>4409</v>
      </c>
      <c r="AG21" t="s">
        <v>64</v>
      </c>
      <c r="AJ21" t="s">
        <v>4433</v>
      </c>
      <c r="AL21" t="s">
        <v>4411</v>
      </c>
      <c r="AN21" t="s">
        <v>4412</v>
      </c>
      <c r="AO21" t="s">
        <v>4413</v>
      </c>
      <c r="AQ21">
        <v>2</v>
      </c>
      <c r="AS21">
        <v>81920</v>
      </c>
      <c r="AX21" s="98" t="s">
        <v>801</v>
      </c>
      <c r="AY21">
        <f>MATCH(A21,VmSpecs[Original Hostname (CMO)],0)</f>
        <v>14</v>
      </c>
      <c r="AZ21" t="str" cm="1">
        <f t="array" ref="AZ21">INDEX(VmSpecs[VM Name],AY21)</f>
        <v>vmpfbpf2crp07</v>
      </c>
      <c r="BA21" t="str">
        <f t="shared" si="0"/>
        <v>ehgpfaascrp07</v>
      </c>
      <c r="BB21" t="s">
        <v>4280</v>
      </c>
      <c r="BD21" t="str" cm="1">
        <f t="array" ref="BD21">INDEX(VmSpecs[Server Role],AY21)</f>
        <v>OSB CRP Domain N7</v>
      </c>
    </row>
    <row r="22" spans="1:56" hidden="1" x14ac:dyDescent="0.35">
      <c r="A22" t="s">
        <v>104</v>
      </c>
      <c r="B22" t="s">
        <v>4399</v>
      </c>
      <c r="C22" t="s">
        <v>63</v>
      </c>
      <c r="D22" t="s">
        <v>4400</v>
      </c>
      <c r="E22" t="s">
        <v>4401</v>
      </c>
      <c r="J22" t="s">
        <v>4080</v>
      </c>
      <c r="K22" t="s">
        <v>4427</v>
      </c>
      <c r="L22" t="s">
        <v>4404</v>
      </c>
      <c r="P22" t="s">
        <v>4340</v>
      </c>
      <c r="R22" t="s">
        <v>58</v>
      </c>
      <c r="S22">
        <v>8</v>
      </c>
      <c r="T22" t="s">
        <v>4416</v>
      </c>
      <c r="V22">
        <v>24576</v>
      </c>
      <c r="X22" t="s">
        <v>4406</v>
      </c>
      <c r="Y22" t="s">
        <v>4407</v>
      </c>
      <c r="Z22" t="s">
        <v>4408</v>
      </c>
      <c r="AA22" t="s">
        <v>4409</v>
      </c>
      <c r="AG22" t="s">
        <v>64</v>
      </c>
      <c r="AJ22" t="s">
        <v>4434</v>
      </c>
      <c r="AL22" t="s">
        <v>4411</v>
      </c>
      <c r="AN22" t="s">
        <v>4412</v>
      </c>
      <c r="AO22" t="s">
        <v>4413</v>
      </c>
      <c r="AQ22">
        <v>2</v>
      </c>
      <c r="AS22">
        <v>81920</v>
      </c>
      <c r="AX22" s="98" t="s">
        <v>801</v>
      </c>
      <c r="AY22">
        <f>MATCH(A22,VmSpecs[Original Hostname (CMO)],0)</f>
        <v>15</v>
      </c>
      <c r="AZ22" t="str" cm="1">
        <f t="array" ref="AZ22">INDEX(VmSpecs[VM Name],AY22)</f>
        <v>vmpfbpf2crp08</v>
      </c>
      <c r="BA22" t="str">
        <f t="shared" si="0"/>
        <v>ehgpfaascrp08</v>
      </c>
      <c r="BB22" t="s">
        <v>4280</v>
      </c>
      <c r="BD22" t="str" cm="1">
        <f t="array" ref="BD22">INDEX(VmSpecs[Server Role],AY22)</f>
        <v>OSB CRP Domain N8</v>
      </c>
    </row>
    <row r="23" spans="1:56" hidden="1" x14ac:dyDescent="0.35">
      <c r="A23" t="s">
        <v>88</v>
      </c>
      <c r="B23" t="s">
        <v>4399</v>
      </c>
      <c r="C23" t="s">
        <v>63</v>
      </c>
      <c r="D23" t="s">
        <v>4400</v>
      </c>
      <c r="E23" t="s">
        <v>4401</v>
      </c>
      <c r="J23" t="s">
        <v>4080</v>
      </c>
      <c r="K23" t="s">
        <v>4427</v>
      </c>
      <c r="L23" t="s">
        <v>4404</v>
      </c>
      <c r="P23" t="s">
        <v>4340</v>
      </c>
      <c r="R23" t="s">
        <v>58</v>
      </c>
      <c r="S23">
        <v>8</v>
      </c>
      <c r="T23" t="s">
        <v>4416</v>
      </c>
      <c r="V23">
        <v>32768</v>
      </c>
      <c r="X23" t="s">
        <v>4406</v>
      </c>
      <c r="Y23" t="s">
        <v>4407</v>
      </c>
      <c r="Z23" t="s">
        <v>4408</v>
      </c>
      <c r="AA23" t="s">
        <v>4409</v>
      </c>
      <c r="AG23" t="s">
        <v>64</v>
      </c>
      <c r="AJ23" t="s">
        <v>4435</v>
      </c>
      <c r="AL23" t="s">
        <v>4411</v>
      </c>
      <c r="AN23" t="s">
        <v>4412</v>
      </c>
      <c r="AO23" t="s">
        <v>4413</v>
      </c>
      <c r="AQ23">
        <v>2</v>
      </c>
      <c r="AS23">
        <v>81920</v>
      </c>
      <c r="AX23" s="98" t="s">
        <v>801</v>
      </c>
      <c r="AY23">
        <f>MATCH(A23,VmSpecs[Original Hostname (CMO)],0)</f>
        <v>8</v>
      </c>
      <c r="AZ23" t="str" cm="1">
        <f t="array" ref="AZ23">INDEX(VmSpecs[VM Name],AY23)</f>
        <v>vmpfbpf2crp01</v>
      </c>
      <c r="BA23" t="str">
        <f t="shared" si="0"/>
        <v>ehgpfaascrp01</v>
      </c>
      <c r="BB23" t="s">
        <v>4280</v>
      </c>
      <c r="BD23" t="str" cm="1">
        <f t="array" ref="BD23">INDEX(VmSpecs[Server Role],AY23)</f>
        <v>OSB CRP Domain N1</v>
      </c>
    </row>
    <row r="24" spans="1:56" hidden="1" x14ac:dyDescent="0.35">
      <c r="A24" t="s">
        <v>108</v>
      </c>
      <c r="B24" t="s">
        <v>4399</v>
      </c>
      <c r="C24" t="s">
        <v>63</v>
      </c>
      <c r="D24" t="s">
        <v>4400</v>
      </c>
      <c r="E24" t="s">
        <v>4401</v>
      </c>
      <c r="J24" t="s">
        <v>4081</v>
      </c>
      <c r="K24" t="s">
        <v>4436</v>
      </c>
      <c r="L24" t="s">
        <v>4404</v>
      </c>
      <c r="P24" t="s">
        <v>4340</v>
      </c>
      <c r="R24" t="s">
        <v>58</v>
      </c>
      <c r="S24">
        <v>8</v>
      </c>
      <c r="T24" t="s">
        <v>4416</v>
      </c>
      <c r="V24">
        <v>24576</v>
      </c>
      <c r="X24" t="s">
        <v>4406</v>
      </c>
      <c r="Y24" t="s">
        <v>4407</v>
      </c>
      <c r="Z24" t="s">
        <v>4408</v>
      </c>
      <c r="AA24" t="s">
        <v>4409</v>
      </c>
      <c r="AG24" t="s">
        <v>64</v>
      </c>
      <c r="AJ24" t="s">
        <v>4437</v>
      </c>
      <c r="AL24" t="s">
        <v>4411</v>
      </c>
      <c r="AN24" t="s">
        <v>4412</v>
      </c>
      <c r="AO24" t="s">
        <v>4413</v>
      </c>
      <c r="AQ24">
        <v>2</v>
      </c>
      <c r="AS24">
        <v>81920</v>
      </c>
      <c r="AX24" s="98" t="s">
        <v>801</v>
      </c>
      <c r="AY24">
        <f>MATCH(A24,VmSpecs[Original Hostname (CMO)],0)</f>
        <v>17</v>
      </c>
      <c r="AZ24" t="str" cm="1">
        <f t="array" ref="AZ24">INDEX(VmSpecs[VM Name],AY24)</f>
        <v>vmpfbpf2dcr02</v>
      </c>
      <c r="BA24" t="str">
        <f t="shared" si="0"/>
        <v>ehgpfaasdcr02</v>
      </c>
      <c r="BB24" t="s">
        <v>4280</v>
      </c>
      <c r="BD24" t="str" cm="1">
        <f t="array" ref="BD24">INDEX(VmSpecs[Server Role],AY24)</f>
        <v>OSB DCR N2</v>
      </c>
    </row>
    <row r="25" spans="1:56" hidden="1" x14ac:dyDescent="0.35">
      <c r="A25" t="s">
        <v>110</v>
      </c>
      <c r="B25" t="s">
        <v>4399</v>
      </c>
      <c r="C25" t="s">
        <v>63</v>
      </c>
      <c r="D25" t="s">
        <v>4400</v>
      </c>
      <c r="E25" t="s">
        <v>4401</v>
      </c>
      <c r="J25" t="s">
        <v>4081</v>
      </c>
      <c r="K25" t="s">
        <v>4436</v>
      </c>
      <c r="L25" t="s">
        <v>4404</v>
      </c>
      <c r="P25" t="s">
        <v>4340</v>
      </c>
      <c r="R25" t="s">
        <v>58</v>
      </c>
      <c r="S25">
        <v>8</v>
      </c>
      <c r="T25" t="s">
        <v>4416</v>
      </c>
      <c r="V25">
        <v>24576</v>
      </c>
      <c r="X25" t="s">
        <v>4406</v>
      </c>
      <c r="Y25" t="s">
        <v>4407</v>
      </c>
      <c r="Z25" t="s">
        <v>4408</v>
      </c>
      <c r="AA25" t="s">
        <v>4409</v>
      </c>
      <c r="AG25" t="s">
        <v>64</v>
      </c>
      <c r="AJ25" t="s">
        <v>4438</v>
      </c>
      <c r="AL25" t="s">
        <v>4411</v>
      </c>
      <c r="AN25" t="s">
        <v>4412</v>
      </c>
      <c r="AO25" t="s">
        <v>4413</v>
      </c>
      <c r="AQ25">
        <v>2</v>
      </c>
      <c r="AS25">
        <v>81920</v>
      </c>
      <c r="AX25" s="98" t="s">
        <v>801</v>
      </c>
      <c r="AY25">
        <f>MATCH(A25,VmSpecs[Original Hostname (CMO)],0)</f>
        <v>18</v>
      </c>
      <c r="AZ25" t="str" cm="1">
        <f t="array" ref="AZ25">INDEX(VmSpecs[VM Name],AY25)</f>
        <v>vmpfbpf2dcr03</v>
      </c>
      <c r="BA25" t="str">
        <f t="shared" si="0"/>
        <v>ehgpfaasdcr03</v>
      </c>
      <c r="BB25" t="s">
        <v>4280</v>
      </c>
      <c r="BD25" t="str" cm="1">
        <f t="array" ref="BD25">INDEX(VmSpecs[Server Role],AY25)</f>
        <v>OSB DCR N3</v>
      </c>
    </row>
    <row r="26" spans="1:56" hidden="1" x14ac:dyDescent="0.35">
      <c r="A26" t="s">
        <v>106</v>
      </c>
      <c r="B26" t="s">
        <v>4399</v>
      </c>
      <c r="C26" t="s">
        <v>63</v>
      </c>
      <c r="D26" t="s">
        <v>4400</v>
      </c>
      <c r="E26" t="s">
        <v>4401</v>
      </c>
      <c r="J26" t="s">
        <v>4081</v>
      </c>
      <c r="K26" t="s">
        <v>4436</v>
      </c>
      <c r="L26" t="s">
        <v>4404</v>
      </c>
      <c r="P26" t="s">
        <v>4340</v>
      </c>
      <c r="R26" t="s">
        <v>58</v>
      </c>
      <c r="S26">
        <v>8</v>
      </c>
      <c r="T26" t="s">
        <v>4416</v>
      </c>
      <c r="V26">
        <v>32768</v>
      </c>
      <c r="X26" t="s">
        <v>4406</v>
      </c>
      <c r="Y26" t="s">
        <v>4407</v>
      </c>
      <c r="Z26" t="s">
        <v>4408</v>
      </c>
      <c r="AA26" t="s">
        <v>4409</v>
      </c>
      <c r="AG26" t="s">
        <v>64</v>
      </c>
      <c r="AJ26" t="s">
        <v>4439</v>
      </c>
      <c r="AL26" t="s">
        <v>4411</v>
      </c>
      <c r="AN26" t="s">
        <v>4412</v>
      </c>
      <c r="AO26" t="s">
        <v>4413</v>
      </c>
      <c r="AQ26">
        <v>2</v>
      </c>
      <c r="AS26">
        <v>81920</v>
      </c>
      <c r="AX26" s="98" t="s">
        <v>801</v>
      </c>
      <c r="AY26">
        <f>MATCH(A26,VmSpecs[Original Hostname (CMO)],0)</f>
        <v>16</v>
      </c>
      <c r="AZ26" t="str" cm="1">
        <f t="array" ref="AZ26">INDEX(VmSpecs[VM Name],AY26)</f>
        <v>vmpfbpf2dcr01</v>
      </c>
      <c r="BA26" t="str">
        <f t="shared" si="0"/>
        <v>ehgpfaasdcr01</v>
      </c>
      <c r="BB26" t="s">
        <v>4280</v>
      </c>
      <c r="BD26" t="str" cm="1">
        <f t="array" ref="BD26">INDEX(VmSpecs[Server Role],AY26)</f>
        <v>OSB DCR N1</v>
      </c>
    </row>
    <row r="27" spans="1:56" x14ac:dyDescent="0.35">
      <c r="A27" t="s">
        <v>343</v>
      </c>
      <c r="B27" t="s">
        <v>4399</v>
      </c>
      <c r="C27" t="s">
        <v>63</v>
      </c>
      <c r="D27" t="s">
        <v>4400</v>
      </c>
      <c r="E27" t="s">
        <v>4401</v>
      </c>
      <c r="J27" t="s">
        <v>4440</v>
      </c>
      <c r="K27" t="s">
        <v>4441</v>
      </c>
      <c r="L27" t="s">
        <v>4404</v>
      </c>
      <c r="P27" t="s">
        <v>4340</v>
      </c>
      <c r="R27" t="s">
        <v>58</v>
      </c>
      <c r="S27">
        <v>4</v>
      </c>
      <c r="T27" t="s">
        <v>4416</v>
      </c>
      <c r="V27">
        <v>8192</v>
      </c>
      <c r="X27" t="s">
        <v>4406</v>
      </c>
      <c r="Y27" t="s">
        <v>4407</v>
      </c>
      <c r="Z27" t="s">
        <v>4408</v>
      </c>
      <c r="AA27" t="s">
        <v>4409</v>
      </c>
      <c r="AG27" t="s">
        <v>64</v>
      </c>
      <c r="AJ27" t="s">
        <v>4442</v>
      </c>
      <c r="AL27" t="s">
        <v>4411</v>
      </c>
      <c r="AN27" t="s">
        <v>4412</v>
      </c>
      <c r="AO27" t="s">
        <v>4413</v>
      </c>
      <c r="AQ27">
        <v>2</v>
      </c>
      <c r="AS27">
        <v>81920</v>
      </c>
      <c r="AX27" s="98" t="s">
        <v>757</v>
      </c>
      <c r="AY27">
        <f>MATCH(A27,VmSpecs[Original Hostname (CMO)],0)</f>
        <v>120</v>
      </c>
      <c r="AZ27" t="str" cm="1">
        <f t="array" ref="AZ27">INDEX(VmSpecs[VM Name],AY27)</f>
        <v>vmpfbpf2oid01</v>
      </c>
      <c r="BA27" t="str">
        <f t="shared" si="0"/>
        <v>ehgpfaasoid01</v>
      </c>
      <c r="BB27" t="s">
        <v>4280</v>
      </c>
      <c r="BD27" t="str" cm="1">
        <f t="array" ref="BD27">INDEX(VmSpecs[Server Role],AY27)</f>
        <v>OID N1</v>
      </c>
    </row>
    <row r="28" spans="1:56" hidden="1" x14ac:dyDescent="0.35">
      <c r="A28" t="s">
        <v>116</v>
      </c>
      <c r="B28" t="s">
        <v>4399</v>
      </c>
      <c r="C28" t="s">
        <v>63</v>
      </c>
      <c r="D28" t="s">
        <v>4400</v>
      </c>
      <c r="E28" t="s">
        <v>4401</v>
      </c>
      <c r="J28" t="s">
        <v>4077</v>
      </c>
      <c r="K28" t="s">
        <v>4443</v>
      </c>
      <c r="L28" t="s">
        <v>4404</v>
      </c>
      <c r="P28" t="s">
        <v>4340</v>
      </c>
      <c r="R28" t="s">
        <v>58</v>
      </c>
      <c r="S28">
        <v>8</v>
      </c>
      <c r="T28" t="s">
        <v>4416</v>
      </c>
      <c r="V28">
        <v>24576</v>
      </c>
      <c r="X28" t="s">
        <v>4406</v>
      </c>
      <c r="Y28" t="s">
        <v>4407</v>
      </c>
      <c r="Z28" t="s">
        <v>4408</v>
      </c>
      <c r="AA28" t="s">
        <v>4409</v>
      </c>
      <c r="AG28" t="s">
        <v>64</v>
      </c>
      <c r="AJ28" t="s">
        <v>4444</v>
      </c>
      <c r="AL28" t="s">
        <v>4411</v>
      </c>
      <c r="AN28" t="s">
        <v>4412</v>
      </c>
      <c r="AO28" t="s">
        <v>4413</v>
      </c>
      <c r="AQ28">
        <v>2</v>
      </c>
      <c r="AS28">
        <v>81920</v>
      </c>
      <c r="AX28" s="98" t="s">
        <v>801</v>
      </c>
      <c r="AY28">
        <f>MATCH(A28,VmSpecs[Original Hostname (CMO)],0)</f>
        <v>21</v>
      </c>
      <c r="AZ28" t="str" cm="1">
        <f t="array" ref="AZ28">INDEX(VmSpecs[VM Name],AY28)</f>
        <v>vmpfbpf2dcx02</v>
      </c>
      <c r="BA28" t="str">
        <f t="shared" si="0"/>
        <v>ehgpfaasdcx02</v>
      </c>
      <c r="BB28" t="s">
        <v>4280</v>
      </c>
      <c r="BD28" t="str" cm="1">
        <f t="array" ref="BD28">INDEX(VmSpecs[Server Role],AY28)</f>
        <v>OSB DCX Domain N2</v>
      </c>
    </row>
    <row r="29" spans="1:56" hidden="1" x14ac:dyDescent="0.35">
      <c r="A29" t="s">
        <v>118</v>
      </c>
      <c r="B29" t="s">
        <v>4399</v>
      </c>
      <c r="C29" t="s">
        <v>63</v>
      </c>
      <c r="D29" t="s">
        <v>4400</v>
      </c>
      <c r="E29" t="s">
        <v>4401</v>
      </c>
      <c r="J29" t="s">
        <v>4077</v>
      </c>
      <c r="K29" t="s">
        <v>4443</v>
      </c>
      <c r="L29" t="s">
        <v>4404</v>
      </c>
      <c r="P29" t="s">
        <v>4340</v>
      </c>
      <c r="R29" t="s">
        <v>58</v>
      </c>
      <c r="S29">
        <v>8</v>
      </c>
      <c r="T29" t="s">
        <v>4416</v>
      </c>
      <c r="V29">
        <v>24576</v>
      </c>
      <c r="X29" t="s">
        <v>4406</v>
      </c>
      <c r="Y29" t="s">
        <v>4407</v>
      </c>
      <c r="Z29" t="s">
        <v>4408</v>
      </c>
      <c r="AA29" t="s">
        <v>4409</v>
      </c>
      <c r="AG29" t="s">
        <v>64</v>
      </c>
      <c r="AJ29" t="s">
        <v>4445</v>
      </c>
      <c r="AL29" t="s">
        <v>4411</v>
      </c>
      <c r="AN29" t="s">
        <v>4412</v>
      </c>
      <c r="AO29" t="s">
        <v>4413</v>
      </c>
      <c r="AQ29">
        <v>2</v>
      </c>
      <c r="AS29">
        <v>81920</v>
      </c>
      <c r="AX29" s="98" t="s">
        <v>801</v>
      </c>
      <c r="AY29">
        <f>MATCH(A29,VmSpecs[Original Hostname (CMO)],0)</f>
        <v>22</v>
      </c>
      <c r="AZ29" t="str" cm="1">
        <f t="array" ref="AZ29">INDEX(VmSpecs[VM Name],AY29)</f>
        <v>vmpfbpf2dcx03</v>
      </c>
      <c r="BA29" t="str">
        <f t="shared" si="0"/>
        <v>ehgpfaasdcx03</v>
      </c>
      <c r="BB29" t="s">
        <v>4280</v>
      </c>
      <c r="BD29" t="str" cm="1">
        <f t="array" ref="BD29">INDEX(VmSpecs[Server Role],AY29)</f>
        <v>OSB DCX Domain N3</v>
      </c>
    </row>
    <row r="30" spans="1:56" hidden="1" x14ac:dyDescent="0.35">
      <c r="A30" t="s">
        <v>120</v>
      </c>
      <c r="B30" t="s">
        <v>4399</v>
      </c>
      <c r="C30" t="s">
        <v>63</v>
      </c>
      <c r="D30" t="s">
        <v>4400</v>
      </c>
      <c r="E30" t="s">
        <v>4401</v>
      </c>
      <c r="J30" t="s">
        <v>4077</v>
      </c>
      <c r="K30" t="s">
        <v>4443</v>
      </c>
      <c r="L30" t="s">
        <v>4404</v>
      </c>
      <c r="P30" t="s">
        <v>4340</v>
      </c>
      <c r="R30" t="s">
        <v>58</v>
      </c>
      <c r="S30">
        <v>8</v>
      </c>
      <c r="T30" t="s">
        <v>4416</v>
      </c>
      <c r="V30">
        <v>24576</v>
      </c>
      <c r="X30" t="s">
        <v>4406</v>
      </c>
      <c r="Y30" t="s">
        <v>4407</v>
      </c>
      <c r="Z30" t="s">
        <v>4408</v>
      </c>
      <c r="AA30" t="s">
        <v>4409</v>
      </c>
      <c r="AG30" t="s">
        <v>64</v>
      </c>
      <c r="AJ30" t="s">
        <v>4446</v>
      </c>
      <c r="AL30" t="s">
        <v>4411</v>
      </c>
      <c r="AN30" t="s">
        <v>4412</v>
      </c>
      <c r="AO30" t="s">
        <v>4413</v>
      </c>
      <c r="AQ30">
        <v>2</v>
      </c>
      <c r="AS30">
        <v>81920</v>
      </c>
      <c r="AX30" s="98" t="s">
        <v>801</v>
      </c>
      <c r="AY30">
        <f>MATCH(A30,VmSpecs[Original Hostname (CMO)],0)</f>
        <v>23</v>
      </c>
      <c r="AZ30" t="str" cm="1">
        <f t="array" ref="AZ30">INDEX(VmSpecs[VM Name],AY30)</f>
        <v>vmpfbpf2dcx04</v>
      </c>
      <c r="BA30" t="str">
        <f t="shared" si="0"/>
        <v>ehgpfaasdcx04</v>
      </c>
      <c r="BB30" t="s">
        <v>4280</v>
      </c>
      <c r="BD30" t="str" cm="1">
        <f t="array" ref="BD30">INDEX(VmSpecs[Server Role],AY30)</f>
        <v>OSB DCX Domain N4</v>
      </c>
    </row>
    <row r="31" spans="1:56" hidden="1" x14ac:dyDescent="0.35">
      <c r="A31" t="s">
        <v>122</v>
      </c>
      <c r="B31" t="s">
        <v>4399</v>
      </c>
      <c r="C31" t="s">
        <v>63</v>
      </c>
      <c r="D31" t="s">
        <v>4400</v>
      </c>
      <c r="E31" t="s">
        <v>4401</v>
      </c>
      <c r="J31" t="s">
        <v>4077</v>
      </c>
      <c r="K31" t="s">
        <v>4443</v>
      </c>
      <c r="L31" t="s">
        <v>4404</v>
      </c>
      <c r="P31" t="s">
        <v>4340</v>
      </c>
      <c r="R31" t="s">
        <v>58</v>
      </c>
      <c r="S31">
        <v>8</v>
      </c>
      <c r="T31" t="s">
        <v>4416</v>
      </c>
      <c r="V31">
        <v>24576</v>
      </c>
      <c r="X31" t="s">
        <v>4406</v>
      </c>
      <c r="Y31" t="s">
        <v>4407</v>
      </c>
      <c r="Z31" t="s">
        <v>4408</v>
      </c>
      <c r="AA31" t="s">
        <v>4409</v>
      </c>
      <c r="AG31" t="s">
        <v>64</v>
      </c>
      <c r="AJ31" t="s">
        <v>4447</v>
      </c>
      <c r="AL31" t="s">
        <v>4411</v>
      </c>
      <c r="AN31" t="s">
        <v>4412</v>
      </c>
      <c r="AO31" t="s">
        <v>4413</v>
      </c>
      <c r="AQ31">
        <v>2</v>
      </c>
      <c r="AS31">
        <v>81920</v>
      </c>
      <c r="AX31" s="98" t="s">
        <v>801</v>
      </c>
      <c r="AY31">
        <f>MATCH(A31,VmSpecs[Original Hostname (CMO)],0)</f>
        <v>24</v>
      </c>
      <c r="AZ31" t="str" cm="1">
        <f t="array" ref="AZ31">INDEX(VmSpecs[VM Name],AY31)</f>
        <v>vmpfbpf2dcx05</v>
      </c>
      <c r="BA31" t="str">
        <f t="shared" si="0"/>
        <v>ehgpfaasdcx05</v>
      </c>
      <c r="BB31" t="s">
        <v>4280</v>
      </c>
      <c r="BD31" t="str" cm="1">
        <f t="array" ref="BD31">INDEX(VmSpecs[Server Role],AY31)</f>
        <v>OSB DCX Domain N5</v>
      </c>
    </row>
    <row r="32" spans="1:56" hidden="1" x14ac:dyDescent="0.35">
      <c r="A32" t="s">
        <v>124</v>
      </c>
      <c r="B32" t="s">
        <v>4399</v>
      </c>
      <c r="C32" t="s">
        <v>63</v>
      </c>
      <c r="D32" t="s">
        <v>4400</v>
      </c>
      <c r="E32" t="s">
        <v>4401</v>
      </c>
      <c r="J32" t="s">
        <v>4077</v>
      </c>
      <c r="K32" t="s">
        <v>4443</v>
      </c>
      <c r="L32" t="s">
        <v>4404</v>
      </c>
      <c r="P32" t="s">
        <v>4340</v>
      </c>
      <c r="R32" t="s">
        <v>58</v>
      </c>
      <c r="S32">
        <v>8</v>
      </c>
      <c r="T32" t="s">
        <v>4405</v>
      </c>
      <c r="V32">
        <v>24576</v>
      </c>
      <c r="X32" t="s">
        <v>4406</v>
      </c>
      <c r="Y32" t="s">
        <v>4407</v>
      </c>
      <c r="Z32" t="s">
        <v>4408</v>
      </c>
      <c r="AA32" t="s">
        <v>4409</v>
      </c>
      <c r="AG32" t="s">
        <v>64</v>
      </c>
      <c r="AJ32" t="s">
        <v>4446</v>
      </c>
      <c r="AL32" t="s">
        <v>4411</v>
      </c>
      <c r="AN32" t="s">
        <v>4412</v>
      </c>
      <c r="AO32" t="s">
        <v>4413</v>
      </c>
      <c r="AQ32">
        <v>2</v>
      </c>
      <c r="AS32">
        <v>81920</v>
      </c>
      <c r="AX32" s="98" t="s">
        <v>801</v>
      </c>
      <c r="AY32">
        <f>MATCH(A32,VmSpecs[Original Hostname (CMO)],0)</f>
        <v>25</v>
      </c>
      <c r="AZ32" t="str" cm="1">
        <f t="array" ref="AZ32">INDEX(VmSpecs[VM Name],AY32)</f>
        <v>vmpfbpf2dcx06</v>
      </c>
      <c r="BA32" t="str">
        <f t="shared" si="0"/>
        <v>ehgpfaasdcx06</v>
      </c>
      <c r="BB32" t="s">
        <v>4280</v>
      </c>
      <c r="BD32" t="str" cm="1">
        <f t="array" ref="BD32">INDEX(VmSpecs[Server Role],AY32)</f>
        <v>OSB DCX Domain N4</v>
      </c>
    </row>
    <row r="33" spans="1:56" hidden="1" x14ac:dyDescent="0.35">
      <c r="A33" t="s">
        <v>126</v>
      </c>
      <c r="B33" t="s">
        <v>4399</v>
      </c>
      <c r="C33" t="s">
        <v>63</v>
      </c>
      <c r="D33" t="s">
        <v>4400</v>
      </c>
      <c r="E33" t="s">
        <v>4401</v>
      </c>
      <c r="J33" t="s">
        <v>4077</v>
      </c>
      <c r="K33" t="s">
        <v>4443</v>
      </c>
      <c r="L33" t="s">
        <v>4404</v>
      </c>
      <c r="P33" t="s">
        <v>4340</v>
      </c>
      <c r="R33" t="s">
        <v>58</v>
      </c>
      <c r="S33">
        <v>8</v>
      </c>
      <c r="T33" t="s">
        <v>4405</v>
      </c>
      <c r="V33">
        <v>24576</v>
      </c>
      <c r="X33" t="s">
        <v>4406</v>
      </c>
      <c r="Y33" t="s">
        <v>4407</v>
      </c>
      <c r="Z33" t="s">
        <v>4408</v>
      </c>
      <c r="AA33" t="s">
        <v>4409</v>
      </c>
      <c r="AG33" t="s">
        <v>64</v>
      </c>
      <c r="AJ33" t="s">
        <v>4447</v>
      </c>
      <c r="AL33" t="s">
        <v>4411</v>
      </c>
      <c r="AN33" t="s">
        <v>4412</v>
      </c>
      <c r="AO33" t="s">
        <v>4413</v>
      </c>
      <c r="AQ33">
        <v>2</v>
      </c>
      <c r="AS33">
        <v>81920</v>
      </c>
      <c r="AX33" s="98" t="s">
        <v>801</v>
      </c>
      <c r="AY33">
        <f>MATCH(A33,VmSpecs[Original Hostname (CMO)],0)</f>
        <v>26</v>
      </c>
      <c r="AZ33" t="str" cm="1">
        <f t="array" ref="AZ33">INDEX(VmSpecs[VM Name],AY33)</f>
        <v>vmpfbpf2dcx07</v>
      </c>
      <c r="BA33" t="str">
        <f t="shared" si="0"/>
        <v>ehgpfaasdcx07</v>
      </c>
      <c r="BB33" t="s">
        <v>4280</v>
      </c>
      <c r="BD33" t="str" cm="1">
        <f t="array" ref="BD33">INDEX(VmSpecs[Server Role],AY33)</f>
        <v>OSB DCX Domain N5</v>
      </c>
    </row>
    <row r="34" spans="1:56" hidden="1" x14ac:dyDescent="0.35">
      <c r="A34" t="s">
        <v>128</v>
      </c>
      <c r="B34" t="s">
        <v>4399</v>
      </c>
      <c r="C34" t="s">
        <v>63</v>
      </c>
      <c r="D34" t="s">
        <v>4400</v>
      </c>
      <c r="E34" t="s">
        <v>4401</v>
      </c>
      <c r="J34" t="s">
        <v>4077</v>
      </c>
      <c r="K34" t="s">
        <v>4443</v>
      </c>
      <c r="L34" t="s">
        <v>4404</v>
      </c>
      <c r="P34" t="s">
        <v>4340</v>
      </c>
      <c r="R34" t="s">
        <v>58</v>
      </c>
      <c r="S34">
        <v>8</v>
      </c>
      <c r="T34" t="s">
        <v>4416</v>
      </c>
      <c r="V34">
        <v>24576</v>
      </c>
      <c r="X34" t="s">
        <v>4406</v>
      </c>
      <c r="Y34" t="s">
        <v>4407</v>
      </c>
      <c r="Z34" t="s">
        <v>4408</v>
      </c>
      <c r="AA34" t="s">
        <v>4409</v>
      </c>
      <c r="AG34" t="s">
        <v>64</v>
      </c>
      <c r="AJ34" t="s">
        <v>4448</v>
      </c>
      <c r="AL34" t="s">
        <v>4411</v>
      </c>
      <c r="AN34" t="s">
        <v>4412</v>
      </c>
      <c r="AO34" t="s">
        <v>4413</v>
      </c>
      <c r="AQ34">
        <v>2</v>
      </c>
      <c r="AS34">
        <v>81920</v>
      </c>
      <c r="AX34" s="98" t="s">
        <v>801</v>
      </c>
      <c r="AY34">
        <f>MATCH(A34,VmSpecs[Original Hostname (CMO)],0)</f>
        <v>27</v>
      </c>
      <c r="AZ34" t="str" cm="1">
        <f t="array" ref="AZ34">INDEX(VmSpecs[VM Name],AY34)</f>
        <v>vmpfbpf2dcx08</v>
      </c>
      <c r="BA34" t="str">
        <f t="shared" si="0"/>
        <v>ehgpfaasdcx08</v>
      </c>
      <c r="BB34" t="s">
        <v>4280</v>
      </c>
      <c r="BD34" t="str" cm="1">
        <f t="array" ref="BD34">INDEX(VmSpecs[Server Role],AY34)</f>
        <v>OSB DCX Domain N8</v>
      </c>
    </row>
    <row r="35" spans="1:56" hidden="1" x14ac:dyDescent="0.35">
      <c r="A35" t="s">
        <v>131</v>
      </c>
      <c r="B35" t="s">
        <v>4399</v>
      </c>
      <c r="C35" t="s">
        <v>63</v>
      </c>
      <c r="D35" t="s">
        <v>4400</v>
      </c>
      <c r="E35" t="s">
        <v>4401</v>
      </c>
      <c r="J35" t="s">
        <v>4077</v>
      </c>
      <c r="K35" t="s">
        <v>4443</v>
      </c>
      <c r="L35" t="s">
        <v>4404</v>
      </c>
      <c r="P35" t="s">
        <v>4340</v>
      </c>
      <c r="R35" t="s">
        <v>58</v>
      </c>
      <c r="S35">
        <v>8</v>
      </c>
      <c r="T35" t="s">
        <v>4416</v>
      </c>
      <c r="V35">
        <v>24576</v>
      </c>
      <c r="X35" t="s">
        <v>4406</v>
      </c>
      <c r="Y35" t="s">
        <v>4407</v>
      </c>
      <c r="Z35" t="s">
        <v>4408</v>
      </c>
      <c r="AA35" t="s">
        <v>4409</v>
      </c>
      <c r="AG35" t="s">
        <v>64</v>
      </c>
      <c r="AJ35" t="s">
        <v>4449</v>
      </c>
      <c r="AL35" t="s">
        <v>4411</v>
      </c>
      <c r="AN35" t="s">
        <v>4412</v>
      </c>
      <c r="AO35" t="s">
        <v>4413</v>
      </c>
      <c r="AQ35">
        <v>2</v>
      </c>
      <c r="AS35">
        <v>81920</v>
      </c>
      <c r="AX35" s="98" t="s">
        <v>801</v>
      </c>
      <c r="AY35">
        <f>MATCH(A35,VmSpecs[Original Hostname (CMO)],0)</f>
        <v>28</v>
      </c>
      <c r="AZ35" t="str" cm="1">
        <f t="array" ref="AZ35">INDEX(VmSpecs[VM Name],AY35)</f>
        <v>vmpfbpf2dcx09</v>
      </c>
      <c r="BA35" t="str">
        <f t="shared" si="0"/>
        <v>ehgpfaasdcx09</v>
      </c>
      <c r="BB35" t="s">
        <v>4280</v>
      </c>
      <c r="BD35" t="str" cm="1">
        <f t="array" ref="BD35">INDEX(VmSpecs[Server Role],AY35)</f>
        <v>OSB DCX Domain N9</v>
      </c>
    </row>
    <row r="36" spans="1:56" hidden="1" x14ac:dyDescent="0.35">
      <c r="A36" t="s">
        <v>134</v>
      </c>
      <c r="B36" t="s">
        <v>4399</v>
      </c>
      <c r="C36" t="s">
        <v>63</v>
      </c>
      <c r="D36" t="s">
        <v>4400</v>
      </c>
      <c r="E36" t="s">
        <v>4401</v>
      </c>
      <c r="J36" t="s">
        <v>4077</v>
      </c>
      <c r="K36" t="s">
        <v>4443</v>
      </c>
      <c r="L36" t="s">
        <v>4404</v>
      </c>
      <c r="P36" t="s">
        <v>4340</v>
      </c>
      <c r="R36" t="s">
        <v>58</v>
      </c>
      <c r="S36">
        <v>8</v>
      </c>
      <c r="T36" t="s">
        <v>4416</v>
      </c>
      <c r="V36">
        <v>24576</v>
      </c>
      <c r="X36" t="s">
        <v>4406</v>
      </c>
      <c r="Y36" t="s">
        <v>4407</v>
      </c>
      <c r="Z36" t="s">
        <v>4408</v>
      </c>
      <c r="AA36" t="s">
        <v>4409</v>
      </c>
      <c r="AG36" t="s">
        <v>64</v>
      </c>
      <c r="AJ36" t="s">
        <v>4450</v>
      </c>
      <c r="AL36" t="s">
        <v>4411</v>
      </c>
      <c r="AN36" t="s">
        <v>4412</v>
      </c>
      <c r="AO36" t="s">
        <v>4413</v>
      </c>
      <c r="AQ36">
        <v>2</v>
      </c>
      <c r="AS36">
        <v>81920</v>
      </c>
      <c r="AX36" s="98" t="s">
        <v>801</v>
      </c>
      <c r="AY36">
        <f>MATCH(A36,VmSpecs[Original Hostname (CMO)],0)</f>
        <v>29</v>
      </c>
      <c r="AZ36" t="str" cm="1">
        <f t="array" ref="AZ36">INDEX(VmSpecs[VM Name],AY36)</f>
        <v>vmpfbpf2dcx10</v>
      </c>
      <c r="BA36" t="str">
        <f t="shared" si="0"/>
        <v>ehgpfaasdcx10</v>
      </c>
      <c r="BB36" t="s">
        <v>4280</v>
      </c>
      <c r="BD36" t="str" cm="1">
        <f t="array" ref="BD36">INDEX(VmSpecs[Server Role],AY36)</f>
        <v>OSB DCX Domain N10</v>
      </c>
    </row>
    <row r="37" spans="1:56" hidden="1" x14ac:dyDescent="0.35">
      <c r="A37" t="s">
        <v>114</v>
      </c>
      <c r="B37" t="s">
        <v>4399</v>
      </c>
      <c r="C37" t="s">
        <v>63</v>
      </c>
      <c r="D37" t="s">
        <v>4400</v>
      </c>
      <c r="E37" t="s">
        <v>4401</v>
      </c>
      <c r="J37" t="s">
        <v>4077</v>
      </c>
      <c r="K37" t="s">
        <v>4443</v>
      </c>
      <c r="L37" t="s">
        <v>4404</v>
      </c>
      <c r="P37" t="s">
        <v>4340</v>
      </c>
      <c r="R37" t="s">
        <v>58</v>
      </c>
      <c r="S37">
        <v>8</v>
      </c>
      <c r="T37" t="s">
        <v>4416</v>
      </c>
      <c r="V37">
        <v>32768</v>
      </c>
      <c r="X37" t="s">
        <v>4406</v>
      </c>
      <c r="Y37" t="s">
        <v>4407</v>
      </c>
      <c r="Z37" t="s">
        <v>4408</v>
      </c>
      <c r="AA37" t="s">
        <v>4409</v>
      </c>
      <c r="AG37" t="s">
        <v>64</v>
      </c>
      <c r="AJ37" t="s">
        <v>4451</v>
      </c>
      <c r="AL37" t="s">
        <v>4411</v>
      </c>
      <c r="AN37" t="s">
        <v>4412</v>
      </c>
      <c r="AO37" t="s">
        <v>4413</v>
      </c>
      <c r="AQ37">
        <v>2</v>
      </c>
      <c r="AS37">
        <v>81920</v>
      </c>
      <c r="AX37" s="98" t="s">
        <v>801</v>
      </c>
      <c r="AY37">
        <f>MATCH(A37,VmSpecs[Original Hostname (CMO)],0)</f>
        <v>20</v>
      </c>
      <c r="AZ37" t="str" cm="1">
        <f t="array" ref="AZ37">INDEX(VmSpecs[VM Name],AY37)</f>
        <v>vmpfbpf2dcx01</v>
      </c>
      <c r="BA37" t="str">
        <f t="shared" si="0"/>
        <v>ehgpfaasdcx01</v>
      </c>
      <c r="BB37" t="s">
        <v>4280</v>
      </c>
      <c r="BD37" t="str" cm="1">
        <f t="array" ref="BD37">INDEX(VmSpecs[Server Role],AY37)</f>
        <v>OSB DCX Domain N1</v>
      </c>
    </row>
    <row r="38" spans="1:56" x14ac:dyDescent="0.35">
      <c r="A38" t="s">
        <v>345</v>
      </c>
      <c r="B38" t="s">
        <v>4399</v>
      </c>
      <c r="C38" t="s">
        <v>63</v>
      </c>
      <c r="D38" t="s">
        <v>4400</v>
      </c>
      <c r="E38" t="s">
        <v>4401</v>
      </c>
      <c r="J38" t="s">
        <v>4440</v>
      </c>
      <c r="K38" t="s">
        <v>4441</v>
      </c>
      <c r="L38" t="s">
        <v>4404</v>
      </c>
      <c r="P38" t="s">
        <v>4340</v>
      </c>
      <c r="R38" t="s">
        <v>58</v>
      </c>
      <c r="S38">
        <v>4</v>
      </c>
      <c r="T38" t="s">
        <v>4416</v>
      </c>
      <c r="V38">
        <v>12288</v>
      </c>
      <c r="X38" t="s">
        <v>4406</v>
      </c>
      <c r="Y38" t="s">
        <v>4407</v>
      </c>
      <c r="Z38" t="s">
        <v>4408</v>
      </c>
      <c r="AA38" t="s">
        <v>4409</v>
      </c>
      <c r="AG38" t="s">
        <v>64</v>
      </c>
      <c r="AJ38" t="s">
        <v>4452</v>
      </c>
      <c r="AL38" t="s">
        <v>4411</v>
      </c>
      <c r="AN38" t="s">
        <v>4412</v>
      </c>
      <c r="AO38" t="s">
        <v>4413</v>
      </c>
      <c r="AQ38">
        <v>2</v>
      </c>
      <c r="AS38">
        <v>81920</v>
      </c>
      <c r="AX38" s="98" t="s">
        <v>757</v>
      </c>
      <c r="AY38">
        <f>MATCH(A38,VmSpecs[Original Hostname (CMO)],0)</f>
        <v>121</v>
      </c>
      <c r="AZ38" t="str" cm="1">
        <f t="array" ref="AZ38">INDEX(VmSpecs[VM Name],AY38)</f>
        <v>vmpfbpf2oid02</v>
      </c>
      <c r="BA38" t="str">
        <f t="shared" si="0"/>
        <v>ehgpfaasoid02</v>
      </c>
      <c r="BB38" t="s">
        <v>4280</v>
      </c>
      <c r="BD38" t="str" cm="1">
        <f t="array" ref="BD38">INDEX(VmSpecs[Server Role],AY38)</f>
        <v>OID N2</v>
      </c>
    </row>
    <row r="39" spans="1:56" x14ac:dyDescent="0.35">
      <c r="A39" t="s">
        <v>347</v>
      </c>
      <c r="B39" t="s">
        <v>4399</v>
      </c>
      <c r="C39" t="s">
        <v>63</v>
      </c>
      <c r="D39" t="s">
        <v>4400</v>
      </c>
      <c r="E39" t="s">
        <v>4401</v>
      </c>
      <c r="J39" t="s">
        <v>4440</v>
      </c>
      <c r="K39" t="s">
        <v>4441</v>
      </c>
      <c r="L39" t="s">
        <v>4404</v>
      </c>
      <c r="P39" t="s">
        <v>4340</v>
      </c>
      <c r="R39" t="s">
        <v>58</v>
      </c>
      <c r="S39">
        <v>4</v>
      </c>
      <c r="T39" t="s">
        <v>4416</v>
      </c>
      <c r="V39">
        <v>8192</v>
      </c>
      <c r="X39" t="s">
        <v>4406</v>
      </c>
      <c r="Y39" t="s">
        <v>4407</v>
      </c>
      <c r="Z39" t="s">
        <v>4408</v>
      </c>
      <c r="AA39" t="s">
        <v>4409</v>
      </c>
      <c r="AG39" t="s">
        <v>64</v>
      </c>
      <c r="AJ39" t="s">
        <v>4453</v>
      </c>
      <c r="AL39" t="s">
        <v>4411</v>
      </c>
      <c r="AN39" t="s">
        <v>4412</v>
      </c>
      <c r="AO39" t="s">
        <v>4413</v>
      </c>
      <c r="AQ39">
        <v>2</v>
      </c>
      <c r="AS39">
        <v>81920</v>
      </c>
      <c r="AX39" s="98" t="s">
        <v>757</v>
      </c>
      <c r="AY39">
        <f>MATCH(A39,VmSpecs[Original Hostname (CMO)],0)</f>
        <v>122</v>
      </c>
      <c r="AZ39" t="str" cm="1">
        <f t="array" ref="AZ39">INDEX(VmSpecs[VM Name],AY39)</f>
        <v>vmpfbpf2oid03</v>
      </c>
      <c r="BA39" t="str">
        <f t="shared" si="0"/>
        <v>ehgpfaasoid03</v>
      </c>
      <c r="BB39" t="s">
        <v>4280</v>
      </c>
      <c r="BD39" t="str" cm="1">
        <f t="array" ref="BD39">INDEX(VmSpecs[Server Role],AY39)</f>
        <v>OID N3</v>
      </c>
    </row>
    <row r="40" spans="1:56" x14ac:dyDescent="0.35">
      <c r="A40" t="s">
        <v>349</v>
      </c>
      <c r="B40" t="s">
        <v>4399</v>
      </c>
      <c r="C40" t="s">
        <v>63</v>
      </c>
      <c r="D40" t="s">
        <v>4400</v>
      </c>
      <c r="E40" t="s">
        <v>4401</v>
      </c>
      <c r="J40" t="s">
        <v>4440</v>
      </c>
      <c r="K40" t="s">
        <v>4441</v>
      </c>
      <c r="L40" t="s">
        <v>4404</v>
      </c>
      <c r="P40" t="s">
        <v>4340</v>
      </c>
      <c r="R40" t="s">
        <v>58</v>
      </c>
      <c r="S40">
        <v>4</v>
      </c>
      <c r="T40" t="s">
        <v>4416</v>
      </c>
      <c r="V40">
        <v>8192</v>
      </c>
      <c r="X40" t="s">
        <v>4406</v>
      </c>
      <c r="Y40" t="s">
        <v>4407</v>
      </c>
      <c r="Z40" t="s">
        <v>4408</v>
      </c>
      <c r="AA40" t="s">
        <v>4409</v>
      </c>
      <c r="AG40" t="s">
        <v>64</v>
      </c>
      <c r="AJ40" t="s">
        <v>4454</v>
      </c>
      <c r="AL40" t="s">
        <v>4411</v>
      </c>
      <c r="AN40" t="s">
        <v>4412</v>
      </c>
      <c r="AO40" t="s">
        <v>4413</v>
      </c>
      <c r="AQ40">
        <v>2</v>
      </c>
      <c r="AS40">
        <v>81920</v>
      </c>
      <c r="AX40" s="98" t="s">
        <v>757</v>
      </c>
      <c r="AY40">
        <f>MATCH(A40,VmSpecs[Original Hostname (CMO)],0)</f>
        <v>123</v>
      </c>
      <c r="AZ40" t="str" cm="1">
        <f t="array" ref="AZ40">INDEX(VmSpecs[VM Name],AY40)</f>
        <v>vmpfbpf2oid04</v>
      </c>
      <c r="BA40" t="str">
        <f t="shared" si="0"/>
        <v>ehgpfaasoid04</v>
      </c>
      <c r="BB40" t="s">
        <v>4280</v>
      </c>
      <c r="BD40" t="str" cm="1">
        <f t="array" ref="BD40">INDEX(VmSpecs[Server Role],AY40)</f>
        <v>OID N4</v>
      </c>
    </row>
    <row r="41" spans="1:56" x14ac:dyDescent="0.35">
      <c r="A41" t="s">
        <v>351</v>
      </c>
      <c r="B41" t="s">
        <v>4399</v>
      </c>
      <c r="C41" t="s">
        <v>63</v>
      </c>
      <c r="D41" t="s">
        <v>4400</v>
      </c>
      <c r="E41" t="s">
        <v>4401</v>
      </c>
      <c r="J41" t="s">
        <v>4440</v>
      </c>
      <c r="K41" t="s">
        <v>4441</v>
      </c>
      <c r="L41" t="s">
        <v>4404</v>
      </c>
      <c r="P41" t="s">
        <v>4340</v>
      </c>
      <c r="R41" t="s">
        <v>58</v>
      </c>
      <c r="S41">
        <v>4</v>
      </c>
      <c r="T41" t="s">
        <v>4416</v>
      </c>
      <c r="V41">
        <v>8192</v>
      </c>
      <c r="X41" t="s">
        <v>4406</v>
      </c>
      <c r="Y41" t="s">
        <v>4407</v>
      </c>
      <c r="Z41" t="s">
        <v>4408</v>
      </c>
      <c r="AA41" t="s">
        <v>4409</v>
      </c>
      <c r="AG41" t="s">
        <v>64</v>
      </c>
      <c r="AJ41" t="s">
        <v>4455</v>
      </c>
      <c r="AL41" t="s">
        <v>4411</v>
      </c>
      <c r="AN41" t="s">
        <v>4412</v>
      </c>
      <c r="AO41" t="s">
        <v>4413</v>
      </c>
      <c r="AQ41">
        <v>2</v>
      </c>
      <c r="AS41">
        <v>81920</v>
      </c>
      <c r="AX41" s="98" t="s">
        <v>757</v>
      </c>
      <c r="AY41">
        <f>MATCH(A41,VmSpecs[Original Hostname (CMO)],0)</f>
        <v>124</v>
      </c>
      <c r="AZ41" t="str" cm="1">
        <f t="array" ref="AZ41">INDEX(VmSpecs[VM Name],AY41)</f>
        <v>vmpfbpf2oid05</v>
      </c>
      <c r="BA41" t="str">
        <f t="shared" si="0"/>
        <v>ehgpfaasoid05</v>
      </c>
      <c r="BB41" t="s">
        <v>4280</v>
      </c>
      <c r="BD41" t="str" cm="1">
        <f t="array" ref="BD41">INDEX(VmSpecs[Server Role],AY41)</f>
        <v>OID N5</v>
      </c>
    </row>
    <row r="42" spans="1:56" x14ac:dyDescent="0.35">
      <c r="A42" t="s">
        <v>353</v>
      </c>
      <c r="B42" t="s">
        <v>4399</v>
      </c>
      <c r="C42" t="s">
        <v>63</v>
      </c>
      <c r="D42" t="s">
        <v>4400</v>
      </c>
      <c r="E42" t="s">
        <v>4401</v>
      </c>
      <c r="J42" t="s">
        <v>4440</v>
      </c>
      <c r="K42" t="s">
        <v>4441</v>
      </c>
      <c r="L42" t="s">
        <v>4404</v>
      </c>
      <c r="P42" t="s">
        <v>4340</v>
      </c>
      <c r="R42" t="s">
        <v>58</v>
      </c>
      <c r="S42">
        <v>4</v>
      </c>
      <c r="T42" t="s">
        <v>4416</v>
      </c>
      <c r="V42">
        <v>8192</v>
      </c>
      <c r="X42" t="s">
        <v>4406</v>
      </c>
      <c r="Y42" t="s">
        <v>4407</v>
      </c>
      <c r="Z42" t="s">
        <v>4408</v>
      </c>
      <c r="AA42" t="s">
        <v>4409</v>
      </c>
      <c r="AG42" t="s">
        <v>64</v>
      </c>
      <c r="AJ42" t="s">
        <v>4456</v>
      </c>
      <c r="AL42" t="s">
        <v>4411</v>
      </c>
      <c r="AN42" t="s">
        <v>4412</v>
      </c>
      <c r="AO42" t="s">
        <v>4413</v>
      </c>
      <c r="AQ42">
        <v>2</v>
      </c>
      <c r="AS42">
        <v>81920</v>
      </c>
      <c r="AX42" s="98" t="s">
        <v>757</v>
      </c>
      <c r="AY42">
        <f>MATCH(A42,VmSpecs[Original Hostname (CMO)],0)</f>
        <v>125</v>
      </c>
      <c r="AZ42" t="str" cm="1">
        <f t="array" ref="AZ42">INDEX(VmSpecs[VM Name],AY42)</f>
        <v>vmpfbpf2oid06</v>
      </c>
      <c r="BA42" t="str">
        <f t="shared" si="0"/>
        <v>ehgpfaasoid06</v>
      </c>
      <c r="BB42" t="s">
        <v>4280</v>
      </c>
      <c r="BD42" t="str" cm="1">
        <f t="array" ref="BD42">INDEX(VmSpecs[Server Role],AY42)</f>
        <v>OID N6</v>
      </c>
    </row>
    <row r="43" spans="1:56" x14ac:dyDescent="0.35">
      <c r="A43" t="s">
        <v>355</v>
      </c>
      <c r="B43" t="s">
        <v>4399</v>
      </c>
      <c r="C43" t="s">
        <v>63</v>
      </c>
      <c r="D43" t="s">
        <v>4400</v>
      </c>
      <c r="E43" t="s">
        <v>4401</v>
      </c>
      <c r="J43" t="s">
        <v>4440</v>
      </c>
      <c r="K43" t="s">
        <v>4441</v>
      </c>
      <c r="L43" t="s">
        <v>4404</v>
      </c>
      <c r="P43" t="s">
        <v>4340</v>
      </c>
      <c r="R43" t="s">
        <v>58</v>
      </c>
      <c r="S43">
        <v>2</v>
      </c>
      <c r="T43" t="s">
        <v>4416</v>
      </c>
      <c r="V43">
        <v>8192</v>
      </c>
      <c r="X43" t="s">
        <v>4406</v>
      </c>
      <c r="Y43" t="s">
        <v>4407</v>
      </c>
      <c r="Z43" t="s">
        <v>4408</v>
      </c>
      <c r="AA43" t="s">
        <v>4409</v>
      </c>
      <c r="AG43" t="s">
        <v>64</v>
      </c>
      <c r="AJ43" t="s">
        <v>4457</v>
      </c>
      <c r="AL43" t="s">
        <v>4411</v>
      </c>
      <c r="AN43" t="s">
        <v>4412</v>
      </c>
      <c r="AO43" t="s">
        <v>4413</v>
      </c>
      <c r="AQ43">
        <v>2</v>
      </c>
      <c r="AS43">
        <v>81920</v>
      </c>
      <c r="AX43" s="98" t="s">
        <v>757</v>
      </c>
      <c r="AY43">
        <f>MATCH(A43,VmSpecs[Original Hostname (CMO)],0)</f>
        <v>126</v>
      </c>
      <c r="AZ43" t="str" cm="1">
        <f t="array" ref="AZ43">INDEX(VmSpecs[VM Name],AY43)</f>
        <v>vmpfbpf2oid07</v>
      </c>
      <c r="BA43" t="str">
        <f t="shared" si="0"/>
        <v>ehgpfaasoid07</v>
      </c>
      <c r="BB43" t="s">
        <v>4280</v>
      </c>
      <c r="BD43" t="str" cm="1">
        <f t="array" ref="BD43">INDEX(VmSpecs[Server Role],AY43)</f>
        <v>OID N7</v>
      </c>
    </row>
    <row r="44" spans="1:56" x14ac:dyDescent="0.35">
      <c r="A44" t="s">
        <v>357</v>
      </c>
      <c r="B44" t="s">
        <v>4399</v>
      </c>
      <c r="C44" t="s">
        <v>63</v>
      </c>
      <c r="D44" t="s">
        <v>4400</v>
      </c>
      <c r="E44" t="s">
        <v>4401</v>
      </c>
      <c r="J44" t="s">
        <v>4440</v>
      </c>
      <c r="K44" t="s">
        <v>4441</v>
      </c>
      <c r="L44" t="s">
        <v>4404</v>
      </c>
      <c r="P44" t="s">
        <v>4340</v>
      </c>
      <c r="R44" t="s">
        <v>58</v>
      </c>
      <c r="S44">
        <v>2</v>
      </c>
      <c r="T44" t="s">
        <v>4416</v>
      </c>
      <c r="V44">
        <v>8192</v>
      </c>
      <c r="X44" t="s">
        <v>4406</v>
      </c>
      <c r="Y44" t="s">
        <v>4407</v>
      </c>
      <c r="Z44" t="s">
        <v>4408</v>
      </c>
      <c r="AA44" t="s">
        <v>4409</v>
      </c>
      <c r="AG44" t="s">
        <v>64</v>
      </c>
      <c r="AJ44" t="s">
        <v>4458</v>
      </c>
      <c r="AL44" t="s">
        <v>4411</v>
      </c>
      <c r="AN44" t="s">
        <v>4412</v>
      </c>
      <c r="AO44" t="s">
        <v>4413</v>
      </c>
      <c r="AQ44">
        <v>2</v>
      </c>
      <c r="AS44">
        <v>81920</v>
      </c>
      <c r="AX44" s="98" t="s">
        <v>757</v>
      </c>
      <c r="AY44">
        <f>MATCH(A44,VmSpecs[Original Hostname (CMO)],0)</f>
        <v>127</v>
      </c>
      <c r="AZ44" t="str" cm="1">
        <f t="array" ref="AZ44">INDEX(VmSpecs[VM Name],AY44)</f>
        <v>vmpfbpf2oid08</v>
      </c>
      <c r="BA44" t="str">
        <f t="shared" si="0"/>
        <v>ehgpfaasoid08</v>
      </c>
      <c r="BB44" t="s">
        <v>4280</v>
      </c>
      <c r="BD44" t="str" cm="1">
        <f t="array" ref="BD44">INDEX(VmSpecs[Server Role],AY44)</f>
        <v>OID N8</v>
      </c>
    </row>
    <row r="45" spans="1:56" hidden="1" x14ac:dyDescent="0.35">
      <c r="A45" t="s">
        <v>281</v>
      </c>
      <c r="B45" t="s">
        <v>4399</v>
      </c>
      <c r="C45" t="s">
        <v>63</v>
      </c>
      <c r="D45" t="s">
        <v>4400</v>
      </c>
      <c r="E45" t="s">
        <v>4401</v>
      </c>
      <c r="J45" t="s">
        <v>4459</v>
      </c>
      <c r="K45" t="s">
        <v>4460</v>
      </c>
      <c r="L45" t="s">
        <v>4404</v>
      </c>
      <c r="P45" t="s">
        <v>4340</v>
      </c>
      <c r="R45" t="s">
        <v>58</v>
      </c>
      <c r="S45">
        <v>4</v>
      </c>
      <c r="V45">
        <v>16384</v>
      </c>
      <c r="AJ45" t="s">
        <v>4461</v>
      </c>
      <c r="AL45" t="s">
        <v>4411</v>
      </c>
      <c r="AN45" t="s">
        <v>4412</v>
      </c>
      <c r="AQ45">
        <v>2</v>
      </c>
      <c r="AX45" s="98" t="s">
        <v>757</v>
      </c>
      <c r="AY45">
        <f>MATCH(A45,VmSpecs[Original Hostname (CMO)],0)</f>
        <v>90</v>
      </c>
      <c r="AZ45" t="str" cm="1">
        <f t="array" ref="AZ45">INDEX(VmSpecs[VM Name],AY45)</f>
        <v>vmpfbpf2hmr11</v>
      </c>
      <c r="BA45" t="str">
        <f t="shared" si="0"/>
        <v>ehgpfaashmr11</v>
      </c>
      <c r="BB45" t="s">
        <v>4280</v>
      </c>
      <c r="BD45" t="str" cm="1">
        <f t="array" ref="BD45">INDEX(VmSpecs[Server Role],AY45)</f>
        <v>RLS N11</v>
      </c>
    </row>
    <row r="46" spans="1:56" hidden="1" x14ac:dyDescent="0.35">
      <c r="A46" t="s">
        <v>283</v>
      </c>
      <c r="B46" t="s">
        <v>4399</v>
      </c>
      <c r="C46" t="s">
        <v>63</v>
      </c>
      <c r="D46" t="s">
        <v>4400</v>
      </c>
      <c r="E46" t="s">
        <v>4401</v>
      </c>
      <c r="J46" t="s">
        <v>4459</v>
      </c>
      <c r="K46" t="s">
        <v>4460</v>
      </c>
      <c r="L46" t="s">
        <v>4404</v>
      </c>
      <c r="P46" t="s">
        <v>4340</v>
      </c>
      <c r="R46" t="s">
        <v>58</v>
      </c>
      <c r="S46">
        <v>4</v>
      </c>
      <c r="V46">
        <v>16384</v>
      </c>
      <c r="AJ46" t="s">
        <v>4462</v>
      </c>
      <c r="AL46" t="s">
        <v>4411</v>
      </c>
      <c r="AN46" t="s">
        <v>4412</v>
      </c>
      <c r="AQ46">
        <v>2</v>
      </c>
      <c r="AX46" s="98" t="s">
        <v>757</v>
      </c>
      <c r="AY46">
        <f>MATCH(A46,VmSpecs[Original Hostname (CMO)],0)</f>
        <v>91</v>
      </c>
      <c r="AZ46" t="str" cm="1">
        <f t="array" ref="AZ46">INDEX(VmSpecs[VM Name],AY46)</f>
        <v>vmpfbpf2hmr12</v>
      </c>
      <c r="BA46" t="str">
        <f t="shared" si="0"/>
        <v>ehgpfaashmr12</v>
      </c>
      <c r="BB46" t="s">
        <v>4280</v>
      </c>
      <c r="BD46" t="str" cm="1">
        <f t="array" ref="BD46">INDEX(VmSpecs[Server Role],AY46)</f>
        <v>RLS N12</v>
      </c>
    </row>
    <row r="47" spans="1:56" hidden="1" x14ac:dyDescent="0.35">
      <c r="A47" t="s">
        <v>584</v>
      </c>
      <c r="B47" t="s">
        <v>4399</v>
      </c>
      <c r="C47" t="s">
        <v>63</v>
      </c>
      <c r="D47" t="s">
        <v>4400</v>
      </c>
      <c r="E47" t="s">
        <v>4463</v>
      </c>
      <c r="J47" t="s">
        <v>4464</v>
      </c>
      <c r="K47" t="s">
        <v>4465</v>
      </c>
      <c r="L47" t="s">
        <v>4404</v>
      </c>
      <c r="P47" t="s">
        <v>4340</v>
      </c>
      <c r="R47" t="s">
        <v>58</v>
      </c>
      <c r="S47">
        <v>2</v>
      </c>
      <c r="V47">
        <v>16384</v>
      </c>
      <c r="AJ47" t="s">
        <v>4466</v>
      </c>
      <c r="AL47" t="s">
        <v>4411</v>
      </c>
      <c r="AN47" t="s">
        <v>4412</v>
      </c>
      <c r="AO47" t="s">
        <v>4413</v>
      </c>
      <c r="AQ47">
        <v>1</v>
      </c>
      <c r="AX47" s="98" t="s">
        <v>757</v>
      </c>
      <c r="AY47">
        <f>MATCH(A47,VmSpecs[Original Hostname (CMO)],0)</f>
        <v>237</v>
      </c>
      <c r="AZ47" t="str" cm="1">
        <f t="array" ref="AZ47">INDEX(VmSpecs[VM Name],AY47)</f>
        <v>vmpfbpf2mob01</v>
      </c>
      <c r="BA47" t="str">
        <f t="shared" si="0"/>
        <v>ehgpfawsmob01</v>
      </c>
      <c r="BB47" t="s">
        <v>4280</v>
      </c>
      <c r="BD47" t="str" cm="1">
        <f t="array" ref="BD47">INDEX(VmSpecs[Server Role],AY47)</f>
        <v>B2M-OAG N1</v>
      </c>
    </row>
    <row r="48" spans="1:56" hidden="1" x14ac:dyDescent="0.35">
      <c r="A48" t="s">
        <v>586</v>
      </c>
      <c r="B48" t="s">
        <v>4399</v>
      </c>
      <c r="C48" t="s">
        <v>63</v>
      </c>
      <c r="D48" t="s">
        <v>4400</v>
      </c>
      <c r="E48" t="s">
        <v>4463</v>
      </c>
      <c r="J48" t="s">
        <v>4464</v>
      </c>
      <c r="K48" t="s">
        <v>4465</v>
      </c>
      <c r="L48" t="s">
        <v>4404</v>
      </c>
      <c r="P48" t="s">
        <v>4340</v>
      </c>
      <c r="R48" t="s">
        <v>58</v>
      </c>
      <c r="S48">
        <v>2</v>
      </c>
      <c r="V48">
        <v>16384</v>
      </c>
      <c r="AJ48" t="s">
        <v>4467</v>
      </c>
      <c r="AL48" t="s">
        <v>4411</v>
      </c>
      <c r="AN48" t="s">
        <v>4412</v>
      </c>
      <c r="AO48" t="s">
        <v>4413</v>
      </c>
      <c r="AQ48">
        <v>1</v>
      </c>
      <c r="AX48" s="98" t="s">
        <v>757</v>
      </c>
      <c r="AY48">
        <f>MATCH(A48,VmSpecs[Original Hostname (CMO)],0)</f>
        <v>238</v>
      </c>
      <c r="AZ48" t="str" cm="1">
        <f t="array" ref="AZ48">INDEX(VmSpecs[VM Name],AY48)</f>
        <v>vmpfbpf2mob02</v>
      </c>
      <c r="BA48" t="str">
        <f t="shared" si="0"/>
        <v>ehgpfawsmob02</v>
      </c>
      <c r="BB48" t="s">
        <v>4280</v>
      </c>
      <c r="BD48" t="str" cm="1">
        <f t="array" ref="BD48">INDEX(VmSpecs[Server Role],AY48)</f>
        <v>B2M-OAG N2</v>
      </c>
    </row>
    <row r="49" spans="1:56" hidden="1" x14ac:dyDescent="0.35">
      <c r="A49" t="s">
        <v>325</v>
      </c>
      <c r="B49" t="s">
        <v>4399</v>
      </c>
      <c r="C49" t="s">
        <v>63</v>
      </c>
      <c r="D49" t="s">
        <v>4400</v>
      </c>
      <c r="E49" t="s">
        <v>4401</v>
      </c>
      <c r="J49" t="s">
        <v>4468</v>
      </c>
      <c r="K49" t="s">
        <v>4469</v>
      </c>
      <c r="L49" t="s">
        <v>4404</v>
      </c>
      <c r="P49" t="s">
        <v>4340</v>
      </c>
      <c r="R49" t="s">
        <v>58</v>
      </c>
      <c r="S49">
        <v>2</v>
      </c>
      <c r="V49">
        <v>16384</v>
      </c>
      <c r="AJ49" t="s">
        <v>4470</v>
      </c>
      <c r="AL49" t="s">
        <v>4411</v>
      </c>
      <c r="AN49" t="s">
        <v>4412</v>
      </c>
      <c r="AO49" t="s">
        <v>4413</v>
      </c>
      <c r="AQ49">
        <v>2</v>
      </c>
      <c r="AX49" s="98" t="s">
        <v>757</v>
      </c>
      <c r="AY49">
        <f>MATCH(A49,VmSpecs[Original Hostname (CMO)],0)</f>
        <v>111</v>
      </c>
      <c r="AZ49" t="str" cm="1">
        <f t="array" ref="AZ49">INDEX(VmSpecs[VM Name],AY49)</f>
        <v>vmpfbpf2oes11</v>
      </c>
      <c r="BA49" t="str">
        <f t="shared" si="0"/>
        <v>ehgpfaasoes11</v>
      </c>
      <c r="BB49" t="s">
        <v>4280</v>
      </c>
      <c r="BD49" t="str" cm="1">
        <f t="array" ref="BD49">INDEX(VmSpecs[Server Role],AY49)</f>
        <v>OES N11</v>
      </c>
    </row>
    <row r="50" spans="1:56" hidden="1" x14ac:dyDescent="0.35">
      <c r="A50" t="s">
        <v>327</v>
      </c>
      <c r="B50" t="s">
        <v>4399</v>
      </c>
      <c r="C50" t="s">
        <v>63</v>
      </c>
      <c r="D50" t="s">
        <v>4400</v>
      </c>
      <c r="E50" t="s">
        <v>4401</v>
      </c>
      <c r="J50" t="s">
        <v>4468</v>
      </c>
      <c r="K50" t="s">
        <v>4469</v>
      </c>
      <c r="L50" t="s">
        <v>4404</v>
      </c>
      <c r="P50" t="s">
        <v>4340</v>
      </c>
      <c r="R50" t="s">
        <v>58</v>
      </c>
      <c r="S50">
        <v>2</v>
      </c>
      <c r="V50">
        <v>16384</v>
      </c>
      <c r="AJ50" t="s">
        <v>4471</v>
      </c>
      <c r="AL50" t="s">
        <v>4411</v>
      </c>
      <c r="AN50" t="s">
        <v>4412</v>
      </c>
      <c r="AO50" t="s">
        <v>4413</v>
      </c>
      <c r="AQ50">
        <v>2</v>
      </c>
      <c r="AX50" s="98" t="s">
        <v>757</v>
      </c>
      <c r="AY50">
        <f>MATCH(A50,VmSpecs[Original Hostname (CMO)],0)</f>
        <v>112</v>
      </c>
      <c r="AZ50" t="str" cm="1">
        <f t="array" ref="AZ50">INDEX(VmSpecs[VM Name],AY50)</f>
        <v>vmpfbpf2oes12</v>
      </c>
      <c r="BA50" t="str">
        <f t="shared" si="0"/>
        <v>ehgpfaasoes12</v>
      </c>
      <c r="BB50" t="s">
        <v>4280</v>
      </c>
      <c r="BD50" t="str" cm="1">
        <f t="array" ref="BD50">INDEX(VmSpecs[Server Role],AY50)</f>
        <v>OES N12</v>
      </c>
    </row>
    <row r="51" spans="1:56" hidden="1" x14ac:dyDescent="0.35">
      <c r="A51" t="s">
        <v>329</v>
      </c>
      <c r="B51" t="s">
        <v>4399</v>
      </c>
      <c r="C51" t="s">
        <v>63</v>
      </c>
      <c r="D51" t="s">
        <v>4400</v>
      </c>
      <c r="E51" t="s">
        <v>4401</v>
      </c>
      <c r="J51" t="s">
        <v>4468</v>
      </c>
      <c r="K51" t="s">
        <v>4469</v>
      </c>
      <c r="L51" t="s">
        <v>4404</v>
      </c>
      <c r="P51" t="s">
        <v>4340</v>
      </c>
      <c r="R51" t="s">
        <v>58</v>
      </c>
      <c r="S51">
        <v>2</v>
      </c>
      <c r="V51">
        <v>16384</v>
      </c>
      <c r="AJ51" t="s">
        <v>4472</v>
      </c>
      <c r="AL51" t="s">
        <v>4411</v>
      </c>
      <c r="AN51" t="s">
        <v>4412</v>
      </c>
      <c r="AO51" t="s">
        <v>4413</v>
      </c>
      <c r="AQ51">
        <v>2</v>
      </c>
      <c r="AX51" s="98" t="s">
        <v>757</v>
      </c>
      <c r="AY51">
        <f>MATCH(A51,VmSpecs[Original Hostname (CMO)],0)</f>
        <v>113</v>
      </c>
      <c r="AZ51" t="str" cm="1">
        <f t="array" ref="AZ51">INDEX(VmSpecs[VM Name],AY51)</f>
        <v>vmpfbpf2oes13</v>
      </c>
      <c r="BA51" t="str">
        <f t="shared" si="0"/>
        <v>ehgpfaasoes13</v>
      </c>
      <c r="BB51" t="s">
        <v>4280</v>
      </c>
      <c r="BD51" t="str" cm="1">
        <f t="array" ref="BD51">INDEX(VmSpecs[Server Role],AY51)</f>
        <v>OES N13</v>
      </c>
    </row>
    <row r="52" spans="1:56" hidden="1" x14ac:dyDescent="0.35">
      <c r="A52" t="s">
        <v>178</v>
      </c>
      <c r="B52" t="s">
        <v>4399</v>
      </c>
      <c r="C52" t="s">
        <v>63</v>
      </c>
      <c r="D52" t="s">
        <v>4400</v>
      </c>
      <c r="E52" t="s">
        <v>4401</v>
      </c>
      <c r="J52" t="s">
        <v>4473</v>
      </c>
      <c r="K52" t="s">
        <v>4474</v>
      </c>
      <c r="L52" t="s">
        <v>4404</v>
      </c>
      <c r="P52" t="s">
        <v>4340</v>
      </c>
      <c r="R52" t="s">
        <v>58</v>
      </c>
      <c r="S52">
        <v>2</v>
      </c>
      <c r="T52" t="s">
        <v>4416</v>
      </c>
      <c r="V52">
        <v>8192</v>
      </c>
      <c r="X52" t="s">
        <v>4406</v>
      </c>
      <c r="Y52" t="s">
        <v>4407</v>
      </c>
      <c r="Z52" t="s">
        <v>4408</v>
      </c>
      <c r="AA52" t="s">
        <v>4409</v>
      </c>
      <c r="AG52" t="s">
        <v>64</v>
      </c>
      <c r="AJ52" t="s">
        <v>4475</v>
      </c>
      <c r="AL52" t="s">
        <v>4411</v>
      </c>
      <c r="AN52" t="s">
        <v>4412</v>
      </c>
      <c r="AO52" t="s">
        <v>4413</v>
      </c>
      <c r="AQ52">
        <v>2</v>
      </c>
      <c r="AS52">
        <v>81920</v>
      </c>
      <c r="AX52" s="98" t="s">
        <v>1067</v>
      </c>
      <c r="AY52">
        <f>MATCH(A52,VmSpecs[Original Hostname (CMO)],0)</f>
        <v>44</v>
      </c>
      <c r="AZ52" t="str" cm="1">
        <f t="array" ref="AZ52">INDEX(VmSpecs[VM Name],AY52)</f>
        <v>vmpfbpf2dsm01</v>
      </c>
      <c r="BA52" t="str">
        <f t="shared" si="0"/>
        <v>ehgpfaasdsm01</v>
      </c>
      <c r="BB52" t="s">
        <v>4280</v>
      </c>
      <c r="BD52" t="str" cm="1">
        <f t="array" ref="BD52">INDEX(VmSpecs[Server Role],AY52)</f>
        <v>ODSM N1</v>
      </c>
    </row>
    <row r="53" spans="1:56" hidden="1" x14ac:dyDescent="0.35">
      <c r="A53" t="s">
        <v>505</v>
      </c>
      <c r="B53" t="s">
        <v>4399</v>
      </c>
      <c r="C53" t="s">
        <v>63</v>
      </c>
      <c r="D53" t="s">
        <v>4400</v>
      </c>
      <c r="E53" t="s">
        <v>4463</v>
      </c>
      <c r="J53" t="s">
        <v>4076</v>
      </c>
      <c r="K53" t="s">
        <v>4476</v>
      </c>
      <c r="L53" t="s">
        <v>4404</v>
      </c>
      <c r="P53" t="s">
        <v>4340</v>
      </c>
      <c r="R53" t="s">
        <v>58</v>
      </c>
      <c r="S53">
        <v>8</v>
      </c>
      <c r="T53" t="s">
        <v>4416</v>
      </c>
      <c r="V53">
        <v>24576</v>
      </c>
      <c r="X53" t="s">
        <v>4406</v>
      </c>
      <c r="Y53" t="s">
        <v>4477</v>
      </c>
      <c r="Z53" t="s">
        <v>4408</v>
      </c>
      <c r="AA53" t="s">
        <v>4420</v>
      </c>
      <c r="AG53" t="s">
        <v>64</v>
      </c>
      <c r="AJ53" t="s">
        <v>4478</v>
      </c>
      <c r="AL53" t="s">
        <v>4411</v>
      </c>
      <c r="AN53" t="s">
        <v>4412</v>
      </c>
      <c r="AO53" t="s">
        <v>4413</v>
      </c>
      <c r="AQ53">
        <v>1</v>
      </c>
      <c r="AS53">
        <v>56320</v>
      </c>
      <c r="AX53" s="98" t="s">
        <v>801</v>
      </c>
      <c r="AY53">
        <f>MATCH(A53,VmSpecs[Original Hostname (CMO)],0)</f>
        <v>199</v>
      </c>
      <c r="AZ53" t="str" cm="1">
        <f t="array" ref="AZ53">INDEX(VmSpecs[VM Name],AY53)</f>
        <v>vmpfbpf2fhi01</v>
      </c>
      <c r="BA53" t="str">
        <f t="shared" si="0"/>
        <v>ehgpfawsfhi01</v>
      </c>
      <c r="BB53" t="s">
        <v>4280</v>
      </c>
      <c r="BD53" t="str" cm="1">
        <f t="array" ref="BD53">INDEX(VmSpecs[Server Role],AY53)</f>
        <v>FHIR-OAG N1</v>
      </c>
    </row>
    <row r="54" spans="1:56" hidden="1" x14ac:dyDescent="0.35">
      <c r="A54" t="s">
        <v>507</v>
      </c>
      <c r="B54" t="s">
        <v>4399</v>
      </c>
      <c r="C54" t="s">
        <v>63</v>
      </c>
      <c r="D54" t="s">
        <v>4400</v>
      </c>
      <c r="E54" t="s">
        <v>4463</v>
      </c>
      <c r="J54" t="s">
        <v>4076</v>
      </c>
      <c r="K54" t="s">
        <v>4476</v>
      </c>
      <c r="L54" t="s">
        <v>4404</v>
      </c>
      <c r="P54" t="s">
        <v>4340</v>
      </c>
      <c r="R54" t="s">
        <v>58</v>
      </c>
      <c r="S54">
        <v>8</v>
      </c>
      <c r="T54" t="s">
        <v>4416</v>
      </c>
      <c r="V54">
        <v>24576</v>
      </c>
      <c r="X54" t="s">
        <v>4406</v>
      </c>
      <c r="Y54" t="s">
        <v>4477</v>
      </c>
      <c r="Z54" t="s">
        <v>4408</v>
      </c>
      <c r="AA54" t="s">
        <v>4420</v>
      </c>
      <c r="AG54" t="s">
        <v>64</v>
      </c>
      <c r="AJ54" t="s">
        <v>4479</v>
      </c>
      <c r="AL54" t="s">
        <v>4411</v>
      </c>
      <c r="AN54" t="s">
        <v>4412</v>
      </c>
      <c r="AO54" t="s">
        <v>4413</v>
      </c>
      <c r="AQ54">
        <v>1</v>
      </c>
      <c r="AS54">
        <v>56320</v>
      </c>
      <c r="AX54" s="98" t="s">
        <v>801</v>
      </c>
      <c r="AY54">
        <f>MATCH(A54,VmSpecs[Original Hostname (CMO)],0)</f>
        <v>200</v>
      </c>
      <c r="AZ54" t="str" cm="1">
        <f t="array" ref="AZ54">INDEX(VmSpecs[VM Name],AY54)</f>
        <v>vmpfbpf2fhi02</v>
      </c>
      <c r="BA54" t="str">
        <f t="shared" si="0"/>
        <v>ehgpfawsfhi02</v>
      </c>
      <c r="BB54" t="s">
        <v>4280</v>
      </c>
      <c r="BD54" t="str" cm="1">
        <f t="array" ref="BD54">INDEX(VmSpecs[Server Role],AY54)</f>
        <v>FHIR-OAG N2</v>
      </c>
    </row>
    <row r="55" spans="1:56" hidden="1" x14ac:dyDescent="0.35">
      <c r="A55" t="s">
        <v>509</v>
      </c>
      <c r="B55" t="s">
        <v>4399</v>
      </c>
      <c r="C55" t="s">
        <v>63</v>
      </c>
      <c r="D55" t="s">
        <v>4400</v>
      </c>
      <c r="E55" t="s">
        <v>4463</v>
      </c>
      <c r="J55" t="s">
        <v>4076</v>
      </c>
      <c r="K55" t="s">
        <v>4476</v>
      </c>
      <c r="L55" t="s">
        <v>4404</v>
      </c>
      <c r="P55" t="s">
        <v>4340</v>
      </c>
      <c r="R55" t="s">
        <v>58</v>
      </c>
      <c r="S55">
        <v>8</v>
      </c>
      <c r="T55" t="s">
        <v>4416</v>
      </c>
      <c r="V55">
        <v>24576</v>
      </c>
      <c r="X55" t="s">
        <v>4406</v>
      </c>
      <c r="Y55" t="s">
        <v>4477</v>
      </c>
      <c r="Z55" t="s">
        <v>4408</v>
      </c>
      <c r="AA55" t="s">
        <v>4420</v>
      </c>
      <c r="AG55" t="s">
        <v>64</v>
      </c>
      <c r="AJ55" t="s">
        <v>4480</v>
      </c>
      <c r="AL55" t="s">
        <v>4411</v>
      </c>
      <c r="AN55" t="s">
        <v>4412</v>
      </c>
      <c r="AO55" t="s">
        <v>4413</v>
      </c>
      <c r="AQ55">
        <v>1</v>
      </c>
      <c r="AS55">
        <v>56320</v>
      </c>
      <c r="AX55" s="98" t="s">
        <v>801</v>
      </c>
      <c r="AY55">
        <f>MATCH(A55,VmSpecs[Original Hostname (CMO)],0)</f>
        <v>201</v>
      </c>
      <c r="AZ55" t="str" cm="1">
        <f t="array" ref="AZ55">INDEX(VmSpecs[VM Name],AY55)</f>
        <v>vmpfbpf2fhi03</v>
      </c>
      <c r="BA55" t="str">
        <f t="shared" si="0"/>
        <v>ehgpfawsfhi03</v>
      </c>
      <c r="BB55" t="s">
        <v>4280</v>
      </c>
      <c r="BD55" t="str" cm="1">
        <f t="array" ref="BD55">INDEX(VmSpecs[Server Role],AY55)</f>
        <v>FHIR-OAG N3</v>
      </c>
    </row>
    <row r="56" spans="1:56" hidden="1" x14ac:dyDescent="0.35">
      <c r="A56" t="s">
        <v>511</v>
      </c>
      <c r="B56" t="s">
        <v>4399</v>
      </c>
      <c r="C56" t="s">
        <v>63</v>
      </c>
      <c r="D56" t="s">
        <v>4400</v>
      </c>
      <c r="E56" t="s">
        <v>4463</v>
      </c>
      <c r="J56" t="s">
        <v>4076</v>
      </c>
      <c r="K56" t="s">
        <v>4476</v>
      </c>
      <c r="L56" t="s">
        <v>4404</v>
      </c>
      <c r="P56" t="s">
        <v>4340</v>
      </c>
      <c r="R56" t="s">
        <v>58</v>
      </c>
      <c r="S56">
        <v>8</v>
      </c>
      <c r="T56" t="s">
        <v>4416</v>
      </c>
      <c r="V56">
        <v>24576</v>
      </c>
      <c r="X56" t="s">
        <v>4406</v>
      </c>
      <c r="Y56" t="s">
        <v>4477</v>
      </c>
      <c r="Z56" t="s">
        <v>4408</v>
      </c>
      <c r="AA56" t="s">
        <v>4420</v>
      </c>
      <c r="AG56" t="s">
        <v>64</v>
      </c>
      <c r="AJ56" t="s">
        <v>4481</v>
      </c>
      <c r="AL56" t="s">
        <v>4411</v>
      </c>
      <c r="AN56" t="s">
        <v>4412</v>
      </c>
      <c r="AO56" t="s">
        <v>4413</v>
      </c>
      <c r="AQ56">
        <v>1</v>
      </c>
      <c r="AS56">
        <v>56320</v>
      </c>
      <c r="AX56" s="98" t="s">
        <v>801</v>
      </c>
      <c r="AY56">
        <f>MATCH(A56,VmSpecs[Original Hostname (CMO)],0)</f>
        <v>202</v>
      </c>
      <c r="AZ56" t="str" cm="1">
        <f t="array" ref="AZ56">INDEX(VmSpecs[VM Name],AY56)</f>
        <v>vmpfbpf2fhi04</v>
      </c>
      <c r="BA56" t="str">
        <f t="shared" si="0"/>
        <v>ehgpfawsfhi04</v>
      </c>
      <c r="BB56" t="s">
        <v>4280</v>
      </c>
      <c r="BD56" t="str" cm="1">
        <f t="array" ref="BD56">INDEX(VmSpecs[Server Role],AY56)</f>
        <v>FHIR-OAG N4</v>
      </c>
    </row>
    <row r="57" spans="1:56" hidden="1" x14ac:dyDescent="0.35">
      <c r="A57" t="s">
        <v>331</v>
      </c>
      <c r="B57" t="s">
        <v>4399</v>
      </c>
      <c r="C57" t="s">
        <v>63</v>
      </c>
      <c r="D57" t="s">
        <v>4400</v>
      </c>
      <c r="E57" t="s">
        <v>4401</v>
      </c>
      <c r="J57" t="s">
        <v>4468</v>
      </c>
      <c r="K57" t="s">
        <v>4469</v>
      </c>
      <c r="L57" t="s">
        <v>4404</v>
      </c>
      <c r="P57" t="s">
        <v>4340</v>
      </c>
      <c r="R57" t="s">
        <v>58</v>
      </c>
      <c r="S57">
        <v>2</v>
      </c>
      <c r="V57">
        <v>16384</v>
      </c>
      <c r="AJ57" t="s">
        <v>4482</v>
      </c>
      <c r="AL57" t="s">
        <v>4411</v>
      </c>
      <c r="AN57" t="s">
        <v>4412</v>
      </c>
      <c r="AO57" t="s">
        <v>4413</v>
      </c>
      <c r="AQ57">
        <v>2</v>
      </c>
      <c r="AX57" s="98" t="s">
        <v>757</v>
      </c>
      <c r="AY57">
        <f>MATCH(A57,VmSpecs[Original Hostname (CMO)],0)</f>
        <v>114</v>
      </c>
      <c r="AZ57" t="str" cm="1">
        <f t="array" ref="AZ57">INDEX(VmSpecs[VM Name],AY57)</f>
        <v>vmpfbpf2oes14</v>
      </c>
      <c r="BA57" t="str">
        <f t="shared" si="0"/>
        <v>ehgpfaasoes14</v>
      </c>
      <c r="BB57" t="s">
        <v>4280</v>
      </c>
      <c r="BD57" t="str" cm="1">
        <f t="array" ref="BD57">INDEX(VmSpecs[Server Role],AY57)</f>
        <v>OES N14</v>
      </c>
    </row>
    <row r="58" spans="1:56" hidden="1" x14ac:dyDescent="0.35">
      <c r="A58" t="s">
        <v>333</v>
      </c>
      <c r="B58" t="s">
        <v>4399</v>
      </c>
      <c r="C58" t="s">
        <v>63</v>
      </c>
      <c r="D58" t="s">
        <v>4400</v>
      </c>
      <c r="E58" t="s">
        <v>4401</v>
      </c>
      <c r="J58" t="s">
        <v>4468</v>
      </c>
      <c r="K58" t="s">
        <v>4469</v>
      </c>
      <c r="L58" t="s">
        <v>4404</v>
      </c>
      <c r="P58" t="s">
        <v>4340</v>
      </c>
      <c r="R58" t="s">
        <v>58</v>
      </c>
      <c r="S58">
        <v>2</v>
      </c>
      <c r="V58">
        <v>16384</v>
      </c>
      <c r="AJ58" t="s">
        <v>4483</v>
      </c>
      <c r="AL58" t="s">
        <v>4411</v>
      </c>
      <c r="AN58" t="s">
        <v>4412</v>
      </c>
      <c r="AO58" t="s">
        <v>4413</v>
      </c>
      <c r="AQ58">
        <v>2</v>
      </c>
      <c r="AX58" s="98" t="s">
        <v>757</v>
      </c>
      <c r="AY58">
        <f>MATCH(A58,VmSpecs[Original Hostname (CMO)],0)</f>
        <v>115</v>
      </c>
      <c r="AZ58" t="str" cm="1">
        <f t="array" ref="AZ58">INDEX(VmSpecs[VM Name],AY58)</f>
        <v>vmpfbpf2oes15</v>
      </c>
      <c r="BA58" t="str">
        <f t="shared" si="0"/>
        <v>ehgpfaasoes15</v>
      </c>
      <c r="BB58" t="s">
        <v>4280</v>
      </c>
      <c r="BD58" t="str" cm="1">
        <f t="array" ref="BD58">INDEX(VmSpecs[Server Role],AY58)</f>
        <v>OES N15</v>
      </c>
    </row>
    <row r="59" spans="1:56" hidden="1" x14ac:dyDescent="0.35">
      <c r="A59" t="s">
        <v>335</v>
      </c>
      <c r="B59" t="s">
        <v>4399</v>
      </c>
      <c r="C59" t="s">
        <v>63</v>
      </c>
      <c r="D59" t="s">
        <v>4400</v>
      </c>
      <c r="E59" t="s">
        <v>4401</v>
      </c>
      <c r="J59" t="s">
        <v>4468</v>
      </c>
      <c r="K59" t="s">
        <v>4469</v>
      </c>
      <c r="L59" t="s">
        <v>4404</v>
      </c>
      <c r="P59" t="s">
        <v>4340</v>
      </c>
      <c r="R59" t="s">
        <v>58</v>
      </c>
      <c r="S59">
        <v>2</v>
      </c>
      <c r="V59">
        <v>16384</v>
      </c>
      <c r="AJ59" t="s">
        <v>4484</v>
      </c>
      <c r="AL59" t="s">
        <v>4411</v>
      </c>
      <c r="AN59" t="s">
        <v>4412</v>
      </c>
      <c r="AO59" t="s">
        <v>4413</v>
      </c>
      <c r="AQ59">
        <v>2</v>
      </c>
      <c r="AX59" s="98" t="s">
        <v>757</v>
      </c>
      <c r="AY59">
        <f>MATCH(A59,VmSpecs[Original Hostname (CMO)],0)</f>
        <v>116</v>
      </c>
      <c r="AZ59" t="str" cm="1">
        <f t="array" ref="AZ59">INDEX(VmSpecs[VM Name],AY59)</f>
        <v>vmpfbpf2oes16</v>
      </c>
      <c r="BA59" t="str">
        <f t="shared" si="0"/>
        <v>ehgpfaasoes16</v>
      </c>
      <c r="BB59" t="s">
        <v>4280</v>
      </c>
      <c r="BD59" t="str" cm="1">
        <f t="array" ref="BD59">INDEX(VmSpecs[Server Role],AY59)</f>
        <v>OES N16</v>
      </c>
    </row>
    <row r="60" spans="1:56" hidden="1" x14ac:dyDescent="0.35">
      <c r="A60" t="s">
        <v>337</v>
      </c>
      <c r="B60" t="s">
        <v>4399</v>
      </c>
      <c r="C60" t="s">
        <v>63</v>
      </c>
      <c r="D60" t="s">
        <v>4400</v>
      </c>
      <c r="E60" t="s">
        <v>4401</v>
      </c>
      <c r="J60" t="s">
        <v>4468</v>
      </c>
      <c r="K60" t="s">
        <v>4469</v>
      </c>
      <c r="L60" t="s">
        <v>4404</v>
      </c>
      <c r="P60" t="s">
        <v>4340</v>
      </c>
      <c r="R60" t="s">
        <v>58</v>
      </c>
      <c r="S60">
        <v>2</v>
      </c>
      <c r="V60">
        <v>16384</v>
      </c>
      <c r="AJ60" t="s">
        <v>4485</v>
      </c>
      <c r="AL60" t="s">
        <v>4411</v>
      </c>
      <c r="AN60" t="s">
        <v>4412</v>
      </c>
      <c r="AO60" t="s">
        <v>4413</v>
      </c>
      <c r="AQ60">
        <v>2</v>
      </c>
      <c r="AX60" s="98" t="s">
        <v>757</v>
      </c>
      <c r="AY60">
        <f>MATCH(A60,VmSpecs[Original Hostname (CMO)],0)</f>
        <v>117</v>
      </c>
      <c r="AZ60" t="str" cm="1">
        <f t="array" ref="AZ60">INDEX(VmSpecs[VM Name],AY60)</f>
        <v>vmpfbpf2oes17</v>
      </c>
      <c r="BA60" t="str">
        <f t="shared" si="0"/>
        <v>ehgpfaasoes17</v>
      </c>
      <c r="BB60" t="s">
        <v>4280</v>
      </c>
      <c r="BD60" t="str" cm="1">
        <f t="array" ref="BD60">INDEX(VmSpecs[Server Role],AY60)</f>
        <v>OES N17</v>
      </c>
    </row>
    <row r="61" spans="1:56" hidden="1" x14ac:dyDescent="0.35">
      <c r="A61" t="s">
        <v>180</v>
      </c>
      <c r="B61" t="s">
        <v>4399</v>
      </c>
      <c r="C61" t="s">
        <v>63</v>
      </c>
      <c r="D61" t="s">
        <v>4400</v>
      </c>
      <c r="E61" t="s">
        <v>4401</v>
      </c>
      <c r="J61" t="s">
        <v>4486</v>
      </c>
      <c r="K61" t="s">
        <v>4487</v>
      </c>
      <c r="L61" t="s">
        <v>4404</v>
      </c>
      <c r="P61" t="s">
        <v>4340</v>
      </c>
      <c r="R61" t="s">
        <v>58</v>
      </c>
      <c r="S61">
        <v>6</v>
      </c>
      <c r="T61" t="s">
        <v>4416</v>
      </c>
      <c r="V61">
        <v>24576</v>
      </c>
      <c r="X61" t="s">
        <v>4406</v>
      </c>
      <c r="Y61" t="s">
        <v>4407</v>
      </c>
      <c r="Z61" t="s">
        <v>4408</v>
      </c>
      <c r="AA61" t="s">
        <v>4409</v>
      </c>
      <c r="AG61" t="s">
        <v>64</v>
      </c>
      <c r="AJ61" t="s">
        <v>4488</v>
      </c>
      <c r="AL61" t="s">
        <v>4411</v>
      </c>
      <c r="AN61" t="s">
        <v>4412</v>
      </c>
      <c r="AO61" t="s">
        <v>4413</v>
      </c>
      <c r="AQ61">
        <v>2</v>
      </c>
      <c r="AS61">
        <v>71680</v>
      </c>
      <c r="AX61" s="98" t="s">
        <v>801</v>
      </c>
      <c r="AY61">
        <f>MATCH(A61,VmSpecs[Original Hostname (CMO)],0)</f>
        <v>45</v>
      </c>
      <c r="AZ61" t="str" cm="1">
        <f t="array" ref="AZ61">INDEX(VmSpecs[VM Name],AY61)</f>
        <v>vmpfbpf2hdr01</v>
      </c>
      <c r="BA61" t="str">
        <f t="shared" si="0"/>
        <v>ehgpfaashdr01</v>
      </c>
      <c r="BB61" t="s">
        <v>4280</v>
      </c>
      <c r="BD61" t="str" cm="1">
        <f t="array" ref="BD61">INDEX(VmSpecs[Server Role],AY61)</f>
        <v>HDR N1</v>
      </c>
    </row>
    <row r="62" spans="1:56" hidden="1" x14ac:dyDescent="0.35">
      <c r="A62" t="s">
        <v>182</v>
      </c>
      <c r="B62" t="s">
        <v>4399</v>
      </c>
      <c r="C62" t="s">
        <v>63</v>
      </c>
      <c r="D62" t="s">
        <v>4400</v>
      </c>
      <c r="E62" t="s">
        <v>4401</v>
      </c>
      <c r="J62" t="s">
        <v>4486</v>
      </c>
      <c r="K62" t="s">
        <v>4487</v>
      </c>
      <c r="L62" t="s">
        <v>4404</v>
      </c>
      <c r="P62" t="s">
        <v>4340</v>
      </c>
      <c r="R62" t="s">
        <v>58</v>
      </c>
      <c r="S62">
        <v>6</v>
      </c>
      <c r="T62" t="s">
        <v>4416</v>
      </c>
      <c r="V62">
        <v>24576</v>
      </c>
      <c r="X62" t="s">
        <v>4406</v>
      </c>
      <c r="Y62" t="s">
        <v>4407</v>
      </c>
      <c r="Z62" t="s">
        <v>4408</v>
      </c>
      <c r="AA62" t="s">
        <v>4409</v>
      </c>
      <c r="AG62" t="s">
        <v>64</v>
      </c>
      <c r="AJ62" t="s">
        <v>4489</v>
      </c>
      <c r="AL62" t="s">
        <v>4411</v>
      </c>
      <c r="AN62" t="s">
        <v>4412</v>
      </c>
      <c r="AO62" t="s">
        <v>4413</v>
      </c>
      <c r="AQ62">
        <v>2</v>
      </c>
      <c r="AS62">
        <v>71680</v>
      </c>
      <c r="AX62" s="98" t="s">
        <v>801</v>
      </c>
      <c r="AY62">
        <f>MATCH(A62,VmSpecs[Original Hostname (CMO)],0)</f>
        <v>46</v>
      </c>
      <c r="AZ62" t="str" cm="1">
        <f t="array" ref="AZ62">INDEX(VmSpecs[VM Name],AY62)</f>
        <v>vmpfbpf2hdr02</v>
      </c>
      <c r="BA62" t="str">
        <f t="shared" si="0"/>
        <v>ehgpfaashdr02</v>
      </c>
      <c r="BB62" t="s">
        <v>4280</v>
      </c>
      <c r="BD62" t="str" cm="1">
        <f t="array" ref="BD62">INDEX(VmSpecs[Server Role],AY62)</f>
        <v>HDR N2</v>
      </c>
    </row>
    <row r="63" spans="1:56" hidden="1" x14ac:dyDescent="0.35">
      <c r="A63" t="s">
        <v>184</v>
      </c>
      <c r="B63" t="s">
        <v>4399</v>
      </c>
      <c r="C63" t="s">
        <v>63</v>
      </c>
      <c r="D63" t="s">
        <v>4400</v>
      </c>
      <c r="E63" t="s">
        <v>4401</v>
      </c>
      <c r="J63" t="s">
        <v>4486</v>
      </c>
      <c r="K63" t="s">
        <v>4487</v>
      </c>
      <c r="L63" t="s">
        <v>4404</v>
      </c>
      <c r="P63" t="s">
        <v>4340</v>
      </c>
      <c r="R63" t="s">
        <v>58</v>
      </c>
      <c r="S63">
        <v>6</v>
      </c>
      <c r="T63" t="s">
        <v>4416</v>
      </c>
      <c r="V63">
        <v>24576</v>
      </c>
      <c r="X63" t="s">
        <v>4406</v>
      </c>
      <c r="Y63" t="s">
        <v>4407</v>
      </c>
      <c r="Z63" t="s">
        <v>4408</v>
      </c>
      <c r="AA63" t="s">
        <v>4409</v>
      </c>
      <c r="AG63" t="s">
        <v>64</v>
      </c>
      <c r="AJ63" t="s">
        <v>4490</v>
      </c>
      <c r="AL63" t="s">
        <v>4411</v>
      </c>
      <c r="AN63" t="s">
        <v>4412</v>
      </c>
      <c r="AO63" t="s">
        <v>4413</v>
      </c>
      <c r="AQ63">
        <v>2</v>
      </c>
      <c r="AS63">
        <v>71680</v>
      </c>
      <c r="AX63" s="98" t="s">
        <v>801</v>
      </c>
      <c r="AY63">
        <f>MATCH(A63,VmSpecs[Original Hostname (CMO)],0)</f>
        <v>47</v>
      </c>
      <c r="AZ63" t="str" cm="1">
        <f t="array" ref="AZ63">INDEX(VmSpecs[VM Name],AY63)</f>
        <v>vmpfbpf2hdr03</v>
      </c>
      <c r="BA63" t="str">
        <f t="shared" si="0"/>
        <v>ehgpfaashdr03</v>
      </c>
      <c r="BB63" t="s">
        <v>4280</v>
      </c>
      <c r="BD63" t="str" cm="1">
        <f t="array" ref="BD63">INDEX(VmSpecs[Server Role],AY63)</f>
        <v>HDR N3</v>
      </c>
    </row>
    <row r="64" spans="1:56" hidden="1" x14ac:dyDescent="0.35">
      <c r="A64" t="s">
        <v>186</v>
      </c>
      <c r="B64" t="s">
        <v>4399</v>
      </c>
      <c r="C64" t="s">
        <v>63</v>
      </c>
      <c r="D64" t="s">
        <v>4400</v>
      </c>
      <c r="E64" t="s">
        <v>4401</v>
      </c>
      <c r="J64" t="s">
        <v>4486</v>
      </c>
      <c r="K64" t="s">
        <v>4487</v>
      </c>
      <c r="L64" t="s">
        <v>4404</v>
      </c>
      <c r="P64" t="s">
        <v>4340</v>
      </c>
      <c r="R64" t="s">
        <v>58</v>
      </c>
      <c r="S64">
        <v>6</v>
      </c>
      <c r="T64" t="s">
        <v>4416</v>
      </c>
      <c r="V64">
        <v>24576</v>
      </c>
      <c r="X64" t="s">
        <v>4406</v>
      </c>
      <c r="Y64" t="s">
        <v>4407</v>
      </c>
      <c r="Z64" t="s">
        <v>4408</v>
      </c>
      <c r="AA64" t="s">
        <v>4409</v>
      </c>
      <c r="AG64" t="s">
        <v>64</v>
      </c>
      <c r="AJ64" t="s">
        <v>4491</v>
      </c>
      <c r="AL64" t="s">
        <v>4411</v>
      </c>
      <c r="AN64" t="s">
        <v>4412</v>
      </c>
      <c r="AO64" t="s">
        <v>4413</v>
      </c>
      <c r="AQ64">
        <v>2</v>
      </c>
      <c r="AS64">
        <v>71680</v>
      </c>
      <c r="AX64" s="98" t="s">
        <v>801</v>
      </c>
      <c r="AY64">
        <f>MATCH(A64,VmSpecs[Original Hostname (CMO)],0)</f>
        <v>48</v>
      </c>
      <c r="AZ64" t="str" cm="1">
        <f t="array" ref="AZ64">INDEX(VmSpecs[VM Name],AY64)</f>
        <v>vmpfbpf2hdr04</v>
      </c>
      <c r="BA64" t="str">
        <f t="shared" si="0"/>
        <v>ehgpfaashdr04</v>
      </c>
      <c r="BB64" t="s">
        <v>4280</v>
      </c>
      <c r="BD64" t="str" cm="1">
        <f t="array" ref="BD64">INDEX(VmSpecs[Server Role],AY64)</f>
        <v>HDR N4</v>
      </c>
    </row>
    <row r="65" spans="1:56" hidden="1" x14ac:dyDescent="0.35">
      <c r="A65" t="s">
        <v>188</v>
      </c>
      <c r="B65" t="s">
        <v>4399</v>
      </c>
      <c r="C65" t="s">
        <v>63</v>
      </c>
      <c r="D65" t="s">
        <v>4400</v>
      </c>
      <c r="E65" t="s">
        <v>4401</v>
      </c>
      <c r="J65" t="s">
        <v>4486</v>
      </c>
      <c r="K65" t="s">
        <v>4487</v>
      </c>
      <c r="L65" t="s">
        <v>4404</v>
      </c>
      <c r="P65" t="s">
        <v>4340</v>
      </c>
      <c r="R65" t="s">
        <v>58</v>
      </c>
      <c r="S65">
        <v>6</v>
      </c>
      <c r="T65" t="s">
        <v>4416</v>
      </c>
      <c r="V65">
        <v>24576</v>
      </c>
      <c r="X65" t="s">
        <v>4406</v>
      </c>
      <c r="Y65" t="s">
        <v>4407</v>
      </c>
      <c r="Z65" t="s">
        <v>4408</v>
      </c>
      <c r="AA65" t="s">
        <v>4409</v>
      </c>
      <c r="AG65" t="s">
        <v>64</v>
      </c>
      <c r="AJ65" t="s">
        <v>4492</v>
      </c>
      <c r="AL65" t="s">
        <v>4411</v>
      </c>
      <c r="AN65" t="s">
        <v>4412</v>
      </c>
      <c r="AO65" t="s">
        <v>4413</v>
      </c>
      <c r="AQ65">
        <v>2</v>
      </c>
      <c r="AS65">
        <v>71680</v>
      </c>
      <c r="AX65" s="98" t="s">
        <v>801</v>
      </c>
      <c r="AY65">
        <f>MATCH(A65,VmSpecs[Original Hostname (CMO)],0)</f>
        <v>49</v>
      </c>
      <c r="AZ65" t="str" cm="1">
        <f t="array" ref="AZ65">INDEX(VmSpecs[VM Name],AY65)</f>
        <v>vmpfbpf2hdr05</v>
      </c>
      <c r="BA65" t="str">
        <f t="shared" si="0"/>
        <v>ehgpfaashdr05</v>
      </c>
      <c r="BB65" t="s">
        <v>4280</v>
      </c>
      <c r="BD65" t="str" cm="1">
        <f t="array" ref="BD65">INDEX(VmSpecs[Server Role],AY65)</f>
        <v>HDR N5</v>
      </c>
    </row>
    <row r="66" spans="1:56" hidden="1" x14ac:dyDescent="0.35">
      <c r="A66" t="s">
        <v>190</v>
      </c>
      <c r="B66" t="s">
        <v>4399</v>
      </c>
      <c r="C66" t="s">
        <v>63</v>
      </c>
      <c r="D66" t="s">
        <v>4400</v>
      </c>
      <c r="E66" t="s">
        <v>4401</v>
      </c>
      <c r="J66" t="s">
        <v>4486</v>
      </c>
      <c r="K66" t="s">
        <v>4487</v>
      </c>
      <c r="L66" t="s">
        <v>4404</v>
      </c>
      <c r="P66" t="s">
        <v>4340</v>
      </c>
      <c r="R66" t="s">
        <v>58</v>
      </c>
      <c r="S66">
        <v>6</v>
      </c>
      <c r="T66" t="s">
        <v>4416</v>
      </c>
      <c r="V66">
        <v>24576</v>
      </c>
      <c r="X66" t="s">
        <v>4406</v>
      </c>
      <c r="Y66" t="s">
        <v>4407</v>
      </c>
      <c r="Z66" t="s">
        <v>4408</v>
      </c>
      <c r="AA66" t="s">
        <v>4409</v>
      </c>
      <c r="AG66" t="s">
        <v>64</v>
      </c>
      <c r="AJ66" t="s">
        <v>4493</v>
      </c>
      <c r="AL66" t="s">
        <v>4411</v>
      </c>
      <c r="AN66" t="s">
        <v>4412</v>
      </c>
      <c r="AO66" t="s">
        <v>4413</v>
      </c>
      <c r="AQ66">
        <v>2</v>
      </c>
      <c r="AS66">
        <v>71680</v>
      </c>
      <c r="AX66" s="98" t="s">
        <v>801</v>
      </c>
      <c r="AY66">
        <f>MATCH(A66,VmSpecs[Original Hostname (CMO)],0)</f>
        <v>50</v>
      </c>
      <c r="AZ66" t="str" cm="1">
        <f t="array" ref="AZ66">INDEX(VmSpecs[VM Name],AY66)</f>
        <v>vmpfbpf2hdr06</v>
      </c>
      <c r="BA66" t="str">
        <f t="shared" si="0"/>
        <v>ehgpfaashdr06</v>
      </c>
      <c r="BB66" t="s">
        <v>4280</v>
      </c>
      <c r="BD66" t="str" cm="1">
        <f t="array" ref="BD66">INDEX(VmSpecs[Server Role],AY66)</f>
        <v>HDR N6</v>
      </c>
    </row>
    <row r="67" spans="1:56" hidden="1" x14ac:dyDescent="0.35">
      <c r="A67" t="s">
        <v>192</v>
      </c>
      <c r="B67" t="s">
        <v>4399</v>
      </c>
      <c r="C67" t="s">
        <v>63</v>
      </c>
      <c r="D67" t="s">
        <v>4400</v>
      </c>
      <c r="E67" t="s">
        <v>4401</v>
      </c>
      <c r="J67" t="s">
        <v>4486</v>
      </c>
      <c r="K67" t="s">
        <v>4487</v>
      </c>
      <c r="L67" t="s">
        <v>4404</v>
      </c>
      <c r="P67" t="s">
        <v>4340</v>
      </c>
      <c r="R67" t="s">
        <v>58</v>
      </c>
      <c r="S67">
        <v>6</v>
      </c>
      <c r="T67" t="s">
        <v>4416</v>
      </c>
      <c r="V67">
        <v>24576</v>
      </c>
      <c r="X67" t="s">
        <v>4406</v>
      </c>
      <c r="Y67" t="s">
        <v>4407</v>
      </c>
      <c r="Z67" t="s">
        <v>4408</v>
      </c>
      <c r="AA67" t="s">
        <v>4409</v>
      </c>
      <c r="AG67" t="s">
        <v>64</v>
      </c>
      <c r="AJ67" t="s">
        <v>4494</v>
      </c>
      <c r="AL67" t="s">
        <v>4411</v>
      </c>
      <c r="AN67" t="s">
        <v>4412</v>
      </c>
      <c r="AO67" t="s">
        <v>4413</v>
      </c>
      <c r="AQ67">
        <v>2</v>
      </c>
      <c r="AS67">
        <v>71680</v>
      </c>
      <c r="AX67" s="98" t="s">
        <v>801</v>
      </c>
      <c r="AY67">
        <f>MATCH(A67,VmSpecs[Original Hostname (CMO)],0)</f>
        <v>51</v>
      </c>
      <c r="AZ67" t="str" cm="1">
        <f t="array" ref="AZ67">INDEX(VmSpecs[VM Name],AY67)</f>
        <v>vmpfbpf2hdr07</v>
      </c>
      <c r="BA67" t="str">
        <f t="shared" ref="BA67:BA130" si="1">A67</f>
        <v>ehgpfaashdr07</v>
      </c>
      <c r="BB67" t="s">
        <v>4280</v>
      </c>
      <c r="BD67" t="str" cm="1">
        <f t="array" ref="BD67">INDEX(VmSpecs[Server Role],AY67)</f>
        <v>HDR N7</v>
      </c>
    </row>
    <row r="68" spans="1:56" hidden="1" x14ac:dyDescent="0.35">
      <c r="A68" t="s">
        <v>194</v>
      </c>
      <c r="B68" t="s">
        <v>4399</v>
      </c>
      <c r="C68" t="s">
        <v>63</v>
      </c>
      <c r="D68" t="s">
        <v>4400</v>
      </c>
      <c r="E68" t="s">
        <v>4401</v>
      </c>
      <c r="J68" t="s">
        <v>4486</v>
      </c>
      <c r="K68" t="s">
        <v>4487</v>
      </c>
      <c r="L68" t="s">
        <v>4404</v>
      </c>
      <c r="P68" t="s">
        <v>4340</v>
      </c>
      <c r="R68" t="s">
        <v>58</v>
      </c>
      <c r="S68">
        <v>6</v>
      </c>
      <c r="T68" t="s">
        <v>4416</v>
      </c>
      <c r="V68">
        <v>24576</v>
      </c>
      <c r="X68" t="s">
        <v>4406</v>
      </c>
      <c r="Y68" t="s">
        <v>4407</v>
      </c>
      <c r="Z68" t="s">
        <v>4408</v>
      </c>
      <c r="AA68" t="s">
        <v>4409</v>
      </c>
      <c r="AG68" t="s">
        <v>64</v>
      </c>
      <c r="AJ68" t="s">
        <v>4495</v>
      </c>
      <c r="AL68" t="s">
        <v>4411</v>
      </c>
      <c r="AN68" t="s">
        <v>4412</v>
      </c>
      <c r="AO68" t="s">
        <v>4413</v>
      </c>
      <c r="AQ68">
        <v>2</v>
      </c>
      <c r="AS68">
        <v>71680</v>
      </c>
      <c r="AX68" s="98" t="s">
        <v>801</v>
      </c>
      <c r="AY68">
        <f>MATCH(A68,VmSpecs[Original Hostname (CMO)],0)</f>
        <v>52</v>
      </c>
      <c r="AZ68" t="str" cm="1">
        <f t="array" ref="AZ68">INDEX(VmSpecs[VM Name],AY68)</f>
        <v>vmpfbpf2hdr08</v>
      </c>
      <c r="BA68" t="str">
        <f t="shared" si="1"/>
        <v>ehgpfaashdr08</v>
      </c>
      <c r="BB68" t="s">
        <v>4280</v>
      </c>
      <c r="BD68" t="str" cm="1">
        <f t="array" ref="BD68">INDEX(VmSpecs[Server Role],AY68)</f>
        <v>HDR N8</v>
      </c>
    </row>
    <row r="69" spans="1:56" hidden="1" x14ac:dyDescent="0.35">
      <c r="A69" t="s">
        <v>196</v>
      </c>
      <c r="B69" t="s">
        <v>4399</v>
      </c>
      <c r="C69" t="s">
        <v>63</v>
      </c>
      <c r="D69" t="s">
        <v>4400</v>
      </c>
      <c r="E69" t="s">
        <v>4401</v>
      </c>
      <c r="J69" t="s">
        <v>4486</v>
      </c>
      <c r="K69" t="s">
        <v>4487</v>
      </c>
      <c r="L69" t="s">
        <v>4404</v>
      </c>
      <c r="P69" t="s">
        <v>4340</v>
      </c>
      <c r="R69" t="s">
        <v>58</v>
      </c>
      <c r="S69">
        <v>6</v>
      </c>
      <c r="T69" t="s">
        <v>4416</v>
      </c>
      <c r="V69">
        <v>24576</v>
      </c>
      <c r="X69" t="s">
        <v>4406</v>
      </c>
      <c r="Y69" t="s">
        <v>4407</v>
      </c>
      <c r="Z69" t="s">
        <v>4408</v>
      </c>
      <c r="AA69" t="s">
        <v>4409</v>
      </c>
      <c r="AG69" t="s">
        <v>64</v>
      </c>
      <c r="AJ69" t="s">
        <v>4496</v>
      </c>
      <c r="AL69" t="s">
        <v>4411</v>
      </c>
      <c r="AN69" t="s">
        <v>4412</v>
      </c>
      <c r="AO69" t="s">
        <v>4413</v>
      </c>
      <c r="AQ69">
        <v>2</v>
      </c>
      <c r="AS69">
        <v>71680</v>
      </c>
      <c r="AX69" s="98" t="s">
        <v>801</v>
      </c>
      <c r="AY69">
        <f>MATCH(A69,VmSpecs[Original Hostname (CMO)],0)</f>
        <v>53</v>
      </c>
      <c r="AZ69" t="str" cm="1">
        <f t="array" ref="AZ69">INDEX(VmSpecs[VM Name],AY69)</f>
        <v>vmpfbpf2hdr09</v>
      </c>
      <c r="BA69" t="str">
        <f t="shared" si="1"/>
        <v>ehgpfaashdr09</v>
      </c>
      <c r="BB69" t="s">
        <v>4280</v>
      </c>
      <c r="BD69" t="str" cm="1">
        <f t="array" ref="BD69">INDEX(VmSpecs[Server Role],AY69)</f>
        <v>HDR N9</v>
      </c>
    </row>
    <row r="70" spans="1:56" hidden="1" x14ac:dyDescent="0.35">
      <c r="A70" t="s">
        <v>198</v>
      </c>
      <c r="B70" t="s">
        <v>4399</v>
      </c>
      <c r="C70" t="s">
        <v>63</v>
      </c>
      <c r="D70" t="s">
        <v>4400</v>
      </c>
      <c r="E70" t="s">
        <v>4401</v>
      </c>
      <c r="J70" t="s">
        <v>4486</v>
      </c>
      <c r="K70" t="s">
        <v>4487</v>
      </c>
      <c r="L70" t="s">
        <v>4404</v>
      </c>
      <c r="P70" t="s">
        <v>4340</v>
      </c>
      <c r="R70" t="s">
        <v>58</v>
      </c>
      <c r="S70">
        <v>6</v>
      </c>
      <c r="T70" t="s">
        <v>4416</v>
      </c>
      <c r="V70">
        <v>24576</v>
      </c>
      <c r="X70" t="s">
        <v>4406</v>
      </c>
      <c r="Y70" t="s">
        <v>4407</v>
      </c>
      <c r="Z70" t="s">
        <v>4408</v>
      </c>
      <c r="AA70" t="s">
        <v>4409</v>
      </c>
      <c r="AG70" t="s">
        <v>64</v>
      </c>
      <c r="AJ70" t="s">
        <v>4497</v>
      </c>
      <c r="AL70" t="s">
        <v>4411</v>
      </c>
      <c r="AN70" t="s">
        <v>4412</v>
      </c>
      <c r="AO70" t="s">
        <v>4413</v>
      </c>
      <c r="AQ70">
        <v>2</v>
      </c>
      <c r="AS70">
        <v>71680</v>
      </c>
      <c r="AX70" s="98" t="s">
        <v>801</v>
      </c>
      <c r="AY70">
        <f>MATCH(A70,VmSpecs[Original Hostname (CMO)],0)</f>
        <v>54</v>
      </c>
      <c r="AZ70" t="str" cm="1">
        <f t="array" ref="AZ70">INDEX(VmSpecs[VM Name],AY70)</f>
        <v>vmpfbpf2hdr10</v>
      </c>
      <c r="BA70" t="str">
        <f t="shared" si="1"/>
        <v>ehgpfaashdr10</v>
      </c>
      <c r="BB70" t="s">
        <v>4280</v>
      </c>
      <c r="BD70" t="str" cm="1">
        <f t="array" ref="BD70">INDEX(VmSpecs[Server Role],AY70)</f>
        <v>HDR N10</v>
      </c>
    </row>
    <row r="71" spans="1:56" hidden="1" x14ac:dyDescent="0.35">
      <c r="A71" t="s">
        <v>200</v>
      </c>
      <c r="B71" t="s">
        <v>4399</v>
      </c>
      <c r="C71" t="s">
        <v>63</v>
      </c>
      <c r="D71" t="s">
        <v>4400</v>
      </c>
      <c r="E71" t="s">
        <v>4401</v>
      </c>
      <c r="J71" t="s">
        <v>4486</v>
      </c>
      <c r="K71" t="s">
        <v>4487</v>
      </c>
      <c r="L71" t="s">
        <v>4404</v>
      </c>
      <c r="P71" t="s">
        <v>4340</v>
      </c>
      <c r="R71" t="s">
        <v>58</v>
      </c>
      <c r="S71">
        <v>6</v>
      </c>
      <c r="T71" t="s">
        <v>4416</v>
      </c>
      <c r="V71">
        <v>24576</v>
      </c>
      <c r="X71" t="s">
        <v>4406</v>
      </c>
      <c r="Y71" t="s">
        <v>4407</v>
      </c>
      <c r="Z71" t="s">
        <v>4408</v>
      </c>
      <c r="AA71" t="s">
        <v>4409</v>
      </c>
      <c r="AG71" t="s">
        <v>64</v>
      </c>
      <c r="AJ71" t="s">
        <v>4498</v>
      </c>
      <c r="AL71" t="s">
        <v>4411</v>
      </c>
      <c r="AN71" t="s">
        <v>4412</v>
      </c>
      <c r="AO71" t="s">
        <v>4413</v>
      </c>
      <c r="AQ71">
        <v>2</v>
      </c>
      <c r="AS71">
        <v>71680</v>
      </c>
      <c r="AX71" s="98" t="s">
        <v>801</v>
      </c>
      <c r="AY71">
        <f>MATCH(A71,VmSpecs[Original Hostname (CMO)],0)</f>
        <v>55</v>
      </c>
      <c r="AZ71" t="str" cm="1">
        <f t="array" ref="AZ71">INDEX(VmSpecs[VM Name],AY71)</f>
        <v>vmpfbpf2hdr11</v>
      </c>
      <c r="BA71" t="str">
        <f t="shared" si="1"/>
        <v>ehgpfaashdr11</v>
      </c>
      <c r="BB71" t="s">
        <v>4280</v>
      </c>
      <c r="BD71" t="str" cm="1">
        <f t="array" ref="BD71">INDEX(VmSpecs[Server Role],AY71)</f>
        <v>HDR N11</v>
      </c>
    </row>
    <row r="72" spans="1:56" hidden="1" x14ac:dyDescent="0.35">
      <c r="A72" t="s">
        <v>202</v>
      </c>
      <c r="B72" t="s">
        <v>4399</v>
      </c>
      <c r="C72" t="s">
        <v>63</v>
      </c>
      <c r="D72" t="s">
        <v>4400</v>
      </c>
      <c r="E72" t="s">
        <v>4401</v>
      </c>
      <c r="J72" t="s">
        <v>4486</v>
      </c>
      <c r="K72" t="s">
        <v>4487</v>
      </c>
      <c r="L72" t="s">
        <v>4404</v>
      </c>
      <c r="P72" t="s">
        <v>4340</v>
      </c>
      <c r="R72" t="s">
        <v>58</v>
      </c>
      <c r="S72">
        <v>6</v>
      </c>
      <c r="T72" t="s">
        <v>4416</v>
      </c>
      <c r="V72">
        <v>24576</v>
      </c>
      <c r="X72" t="s">
        <v>4406</v>
      </c>
      <c r="Y72" t="s">
        <v>4407</v>
      </c>
      <c r="Z72" t="s">
        <v>4408</v>
      </c>
      <c r="AA72" t="s">
        <v>4409</v>
      </c>
      <c r="AG72" t="s">
        <v>64</v>
      </c>
      <c r="AJ72" t="s">
        <v>4499</v>
      </c>
      <c r="AL72" t="s">
        <v>4411</v>
      </c>
      <c r="AN72" t="s">
        <v>4412</v>
      </c>
      <c r="AO72" t="s">
        <v>4413</v>
      </c>
      <c r="AQ72">
        <v>2</v>
      </c>
      <c r="AS72">
        <v>71680</v>
      </c>
      <c r="AX72" s="98" t="s">
        <v>801</v>
      </c>
      <c r="AY72">
        <f>MATCH(A72,VmSpecs[Original Hostname (CMO)],0)</f>
        <v>56</v>
      </c>
      <c r="AZ72" t="str" cm="1">
        <f t="array" ref="AZ72">INDEX(VmSpecs[VM Name],AY72)</f>
        <v>vmpfbpf2hdr12</v>
      </c>
      <c r="BA72" t="str">
        <f t="shared" si="1"/>
        <v>ehgpfaashdr12</v>
      </c>
      <c r="BB72" t="s">
        <v>4280</v>
      </c>
      <c r="BD72" t="str" cm="1">
        <f t="array" ref="BD72">INDEX(VmSpecs[Server Role],AY72)</f>
        <v>HDR N12</v>
      </c>
    </row>
    <row r="73" spans="1:56" hidden="1" x14ac:dyDescent="0.35">
      <c r="A73" t="s">
        <v>204</v>
      </c>
      <c r="B73" t="s">
        <v>4399</v>
      </c>
      <c r="C73" t="s">
        <v>63</v>
      </c>
      <c r="D73" t="s">
        <v>4400</v>
      </c>
      <c r="E73" t="s">
        <v>4401</v>
      </c>
      <c r="J73" t="s">
        <v>4486</v>
      </c>
      <c r="K73" t="s">
        <v>4487</v>
      </c>
      <c r="L73" t="s">
        <v>4404</v>
      </c>
      <c r="P73" t="s">
        <v>4340</v>
      </c>
      <c r="R73" t="s">
        <v>58</v>
      </c>
      <c r="S73">
        <v>6</v>
      </c>
      <c r="T73" t="s">
        <v>4416</v>
      </c>
      <c r="V73">
        <v>24576</v>
      </c>
      <c r="X73" t="s">
        <v>4406</v>
      </c>
      <c r="Y73" t="s">
        <v>4407</v>
      </c>
      <c r="Z73" t="s">
        <v>4408</v>
      </c>
      <c r="AA73" t="s">
        <v>4409</v>
      </c>
      <c r="AG73" t="s">
        <v>64</v>
      </c>
      <c r="AJ73" t="s">
        <v>4500</v>
      </c>
      <c r="AL73" t="s">
        <v>4411</v>
      </c>
      <c r="AN73" t="s">
        <v>4412</v>
      </c>
      <c r="AO73" t="s">
        <v>4413</v>
      </c>
      <c r="AQ73">
        <v>2</v>
      </c>
      <c r="AS73">
        <v>71680</v>
      </c>
      <c r="AX73" s="98" t="s">
        <v>801</v>
      </c>
      <c r="AY73">
        <f>MATCH(A73,VmSpecs[Original Hostname (CMO)],0)</f>
        <v>57</v>
      </c>
      <c r="AZ73" t="str" cm="1">
        <f t="array" ref="AZ73">INDEX(VmSpecs[VM Name],AY73)</f>
        <v>vmpfbpf2hdr13</v>
      </c>
      <c r="BA73" t="str">
        <f t="shared" si="1"/>
        <v>ehgpfaashdr13</v>
      </c>
      <c r="BB73" t="s">
        <v>4280</v>
      </c>
      <c r="BD73" t="str" cm="1">
        <f t="array" ref="BD73">INDEX(VmSpecs[Server Role],AY73)</f>
        <v>HDR N13</v>
      </c>
    </row>
    <row r="74" spans="1:56" hidden="1" x14ac:dyDescent="0.35">
      <c r="A74" t="s">
        <v>206</v>
      </c>
      <c r="B74" t="s">
        <v>4399</v>
      </c>
      <c r="C74" t="s">
        <v>63</v>
      </c>
      <c r="D74" t="s">
        <v>4400</v>
      </c>
      <c r="E74" t="s">
        <v>4401</v>
      </c>
      <c r="J74" t="s">
        <v>4486</v>
      </c>
      <c r="K74" t="s">
        <v>4487</v>
      </c>
      <c r="L74" t="s">
        <v>4404</v>
      </c>
      <c r="P74" t="s">
        <v>4340</v>
      </c>
      <c r="R74" t="s">
        <v>58</v>
      </c>
      <c r="S74">
        <v>6</v>
      </c>
      <c r="T74" t="s">
        <v>4416</v>
      </c>
      <c r="V74">
        <v>24576</v>
      </c>
      <c r="X74" t="s">
        <v>4406</v>
      </c>
      <c r="Y74" t="s">
        <v>4407</v>
      </c>
      <c r="Z74" t="s">
        <v>4408</v>
      </c>
      <c r="AA74" t="s">
        <v>4409</v>
      </c>
      <c r="AG74" t="s">
        <v>64</v>
      </c>
      <c r="AJ74" t="s">
        <v>4501</v>
      </c>
      <c r="AL74" t="s">
        <v>4411</v>
      </c>
      <c r="AN74" t="s">
        <v>4412</v>
      </c>
      <c r="AO74" t="s">
        <v>4413</v>
      </c>
      <c r="AQ74">
        <v>2</v>
      </c>
      <c r="AS74">
        <v>71680</v>
      </c>
      <c r="AX74" s="98" t="s">
        <v>801</v>
      </c>
      <c r="AY74">
        <f>MATCH(A74,VmSpecs[Original Hostname (CMO)],0)</f>
        <v>58</v>
      </c>
      <c r="AZ74" t="str" cm="1">
        <f t="array" ref="AZ74">INDEX(VmSpecs[VM Name],AY74)</f>
        <v>vmpfbpf2hdr14</v>
      </c>
      <c r="BA74" t="str">
        <f t="shared" si="1"/>
        <v>ehgpfaashdr14</v>
      </c>
      <c r="BB74" t="s">
        <v>4280</v>
      </c>
      <c r="BD74" t="str" cm="1">
        <f t="array" ref="BD74">INDEX(VmSpecs[Server Role],AY74)</f>
        <v>HDR N14</v>
      </c>
    </row>
    <row r="75" spans="1:56" hidden="1" x14ac:dyDescent="0.35">
      <c r="A75" t="s">
        <v>208</v>
      </c>
      <c r="B75" t="s">
        <v>4399</v>
      </c>
      <c r="C75" t="s">
        <v>63</v>
      </c>
      <c r="D75" t="s">
        <v>4400</v>
      </c>
      <c r="E75" t="s">
        <v>4401</v>
      </c>
      <c r="J75" t="s">
        <v>4486</v>
      </c>
      <c r="K75" t="s">
        <v>4487</v>
      </c>
      <c r="L75" t="s">
        <v>4404</v>
      </c>
      <c r="P75" t="s">
        <v>4340</v>
      </c>
      <c r="R75" t="s">
        <v>58</v>
      </c>
      <c r="S75">
        <v>6</v>
      </c>
      <c r="T75" t="s">
        <v>4416</v>
      </c>
      <c r="V75">
        <v>24576</v>
      </c>
      <c r="X75" t="s">
        <v>4406</v>
      </c>
      <c r="Y75" t="s">
        <v>4407</v>
      </c>
      <c r="Z75" t="s">
        <v>4408</v>
      </c>
      <c r="AA75" t="s">
        <v>4409</v>
      </c>
      <c r="AG75" t="s">
        <v>64</v>
      </c>
      <c r="AJ75" t="s">
        <v>4502</v>
      </c>
      <c r="AL75" t="s">
        <v>4411</v>
      </c>
      <c r="AN75" t="s">
        <v>4412</v>
      </c>
      <c r="AO75" t="s">
        <v>4413</v>
      </c>
      <c r="AQ75">
        <v>2</v>
      </c>
      <c r="AS75">
        <v>71680</v>
      </c>
      <c r="AX75" s="98" t="s">
        <v>801</v>
      </c>
      <c r="AY75">
        <f>MATCH(A75,VmSpecs[Original Hostname (CMO)],0)</f>
        <v>59</v>
      </c>
      <c r="AZ75" t="str" cm="1">
        <f t="array" ref="AZ75">INDEX(VmSpecs[VM Name],AY75)</f>
        <v>vmpfbpf2hdr15</v>
      </c>
      <c r="BA75" t="str">
        <f t="shared" si="1"/>
        <v>ehgpfaashdr15</v>
      </c>
      <c r="BB75" t="s">
        <v>4280</v>
      </c>
      <c r="BD75" t="str" cm="1">
        <f t="array" ref="BD75">INDEX(VmSpecs[Server Role],AY75)</f>
        <v>HDR N15</v>
      </c>
    </row>
    <row r="76" spans="1:56" hidden="1" x14ac:dyDescent="0.35">
      <c r="A76" t="s">
        <v>210</v>
      </c>
      <c r="B76" t="s">
        <v>4399</v>
      </c>
      <c r="C76" t="s">
        <v>63</v>
      </c>
      <c r="D76" t="s">
        <v>4400</v>
      </c>
      <c r="E76" t="s">
        <v>4401</v>
      </c>
      <c r="J76" t="s">
        <v>4486</v>
      </c>
      <c r="K76" t="s">
        <v>4487</v>
      </c>
      <c r="L76" t="s">
        <v>4404</v>
      </c>
      <c r="P76" t="s">
        <v>4340</v>
      </c>
      <c r="R76" t="s">
        <v>58</v>
      </c>
      <c r="S76">
        <v>6</v>
      </c>
      <c r="T76" t="s">
        <v>4416</v>
      </c>
      <c r="V76">
        <v>24576</v>
      </c>
      <c r="X76" t="s">
        <v>4406</v>
      </c>
      <c r="Y76" t="s">
        <v>4407</v>
      </c>
      <c r="Z76" t="s">
        <v>4408</v>
      </c>
      <c r="AA76" t="s">
        <v>4409</v>
      </c>
      <c r="AG76" t="s">
        <v>64</v>
      </c>
      <c r="AJ76" t="s">
        <v>4503</v>
      </c>
      <c r="AL76" t="s">
        <v>4411</v>
      </c>
      <c r="AN76" t="s">
        <v>4412</v>
      </c>
      <c r="AO76" t="s">
        <v>4413</v>
      </c>
      <c r="AQ76">
        <v>2</v>
      </c>
      <c r="AS76">
        <v>71680</v>
      </c>
      <c r="AX76" s="98" t="s">
        <v>801</v>
      </c>
      <c r="AY76">
        <f>MATCH(A76,VmSpecs[Original Hostname (CMO)],0)</f>
        <v>60</v>
      </c>
      <c r="AZ76" t="str" cm="1">
        <f t="array" ref="AZ76">INDEX(VmSpecs[VM Name],AY76)</f>
        <v>vmpfbpf2hdr16</v>
      </c>
      <c r="BA76" t="str">
        <f t="shared" si="1"/>
        <v>ehgpfaashdr16</v>
      </c>
      <c r="BB76" t="s">
        <v>4280</v>
      </c>
      <c r="BD76" t="str" cm="1">
        <f t="array" ref="BD76">INDEX(VmSpecs[Server Role],AY76)</f>
        <v>HDR P1</v>
      </c>
    </row>
    <row r="77" spans="1:56" hidden="1" x14ac:dyDescent="0.35">
      <c r="A77" t="s">
        <v>212</v>
      </c>
      <c r="B77" t="s">
        <v>4399</v>
      </c>
      <c r="C77" t="s">
        <v>63</v>
      </c>
      <c r="D77" t="s">
        <v>4400</v>
      </c>
      <c r="E77" t="s">
        <v>4401</v>
      </c>
      <c r="J77" t="s">
        <v>4486</v>
      </c>
      <c r="K77" t="s">
        <v>4487</v>
      </c>
      <c r="L77" t="s">
        <v>4404</v>
      </c>
      <c r="P77" t="s">
        <v>4340</v>
      </c>
      <c r="R77" t="s">
        <v>58</v>
      </c>
      <c r="S77">
        <v>6</v>
      </c>
      <c r="T77" t="s">
        <v>4416</v>
      </c>
      <c r="V77">
        <v>24576</v>
      </c>
      <c r="X77" t="s">
        <v>4406</v>
      </c>
      <c r="Y77" t="s">
        <v>4407</v>
      </c>
      <c r="Z77" t="s">
        <v>4408</v>
      </c>
      <c r="AA77" t="s">
        <v>4409</v>
      </c>
      <c r="AG77" t="s">
        <v>64</v>
      </c>
      <c r="AJ77" t="s">
        <v>4503</v>
      </c>
      <c r="AL77" t="s">
        <v>4411</v>
      </c>
      <c r="AN77" t="s">
        <v>4412</v>
      </c>
      <c r="AO77" t="s">
        <v>4413</v>
      </c>
      <c r="AQ77">
        <v>2</v>
      </c>
      <c r="AS77">
        <v>71680</v>
      </c>
      <c r="AX77" s="98" t="s">
        <v>801</v>
      </c>
      <c r="AY77">
        <f>MATCH(A77,VmSpecs[Original Hostname (CMO)],0)</f>
        <v>61</v>
      </c>
      <c r="AZ77" t="str" cm="1">
        <f t="array" ref="AZ77">INDEX(VmSpecs[VM Name],AY77)</f>
        <v>vmpfbpf2hdr17</v>
      </c>
      <c r="BA77" t="str">
        <f t="shared" si="1"/>
        <v>ehgpfaashdr17</v>
      </c>
      <c r="BB77" t="s">
        <v>4280</v>
      </c>
      <c r="BD77" t="str" cm="1">
        <f t="array" ref="BD77">INDEX(VmSpecs[Server Role],AY77)</f>
        <v>HDR P1</v>
      </c>
    </row>
    <row r="78" spans="1:56" hidden="1" x14ac:dyDescent="0.35">
      <c r="A78" t="s">
        <v>214</v>
      </c>
      <c r="B78" t="s">
        <v>4399</v>
      </c>
      <c r="C78" t="s">
        <v>63</v>
      </c>
      <c r="D78" t="s">
        <v>4400</v>
      </c>
      <c r="E78" t="s">
        <v>4401</v>
      </c>
      <c r="J78" t="s">
        <v>4486</v>
      </c>
      <c r="K78" t="s">
        <v>4487</v>
      </c>
      <c r="L78" t="s">
        <v>4404</v>
      </c>
      <c r="P78" t="s">
        <v>4340</v>
      </c>
      <c r="R78" t="s">
        <v>58</v>
      </c>
      <c r="S78">
        <v>6</v>
      </c>
      <c r="T78" t="s">
        <v>4416</v>
      </c>
      <c r="V78">
        <v>24576</v>
      </c>
      <c r="X78" t="s">
        <v>4406</v>
      </c>
      <c r="Y78" t="s">
        <v>4407</v>
      </c>
      <c r="Z78" t="s">
        <v>4408</v>
      </c>
      <c r="AA78" t="s">
        <v>4409</v>
      </c>
      <c r="AG78" t="s">
        <v>64</v>
      </c>
      <c r="AJ78" t="s">
        <v>4504</v>
      </c>
      <c r="AL78" t="s">
        <v>4411</v>
      </c>
      <c r="AN78" t="s">
        <v>4412</v>
      </c>
      <c r="AO78" t="s">
        <v>4413</v>
      </c>
      <c r="AQ78">
        <v>2</v>
      </c>
      <c r="AS78">
        <v>71680</v>
      </c>
      <c r="AX78" s="98" t="s">
        <v>801</v>
      </c>
      <c r="AY78">
        <f>MATCH(A78,VmSpecs[Original Hostname (CMO)],0)</f>
        <v>62</v>
      </c>
      <c r="AZ78" t="str" cm="1">
        <f t="array" ref="AZ78">INDEX(VmSpecs[VM Name],AY78)</f>
        <v>vmpfbpf2hdr18</v>
      </c>
      <c r="BA78" t="str">
        <f t="shared" si="1"/>
        <v>ehgpfaashdr18</v>
      </c>
      <c r="BB78" t="s">
        <v>4280</v>
      </c>
      <c r="BD78" t="str" cm="1">
        <f t="array" ref="BD78">INDEX(VmSpecs[Server Role],AY78)</f>
        <v>HDR P2</v>
      </c>
    </row>
    <row r="79" spans="1:56" hidden="1" x14ac:dyDescent="0.35">
      <c r="A79" t="s">
        <v>216</v>
      </c>
      <c r="B79" t="s">
        <v>4399</v>
      </c>
      <c r="C79" t="s">
        <v>63</v>
      </c>
      <c r="D79" t="s">
        <v>4400</v>
      </c>
      <c r="E79" t="s">
        <v>4401</v>
      </c>
      <c r="J79" t="s">
        <v>4486</v>
      </c>
      <c r="K79" t="s">
        <v>4487</v>
      </c>
      <c r="L79" t="s">
        <v>4404</v>
      </c>
      <c r="P79" t="s">
        <v>4340</v>
      </c>
      <c r="R79" t="s">
        <v>58</v>
      </c>
      <c r="S79">
        <v>6</v>
      </c>
      <c r="T79" t="s">
        <v>4416</v>
      </c>
      <c r="V79">
        <v>24576</v>
      </c>
      <c r="X79" t="s">
        <v>4406</v>
      </c>
      <c r="Y79" t="s">
        <v>4407</v>
      </c>
      <c r="Z79" t="s">
        <v>4408</v>
      </c>
      <c r="AA79" t="s">
        <v>4409</v>
      </c>
      <c r="AG79" t="s">
        <v>64</v>
      </c>
      <c r="AJ79" t="s">
        <v>4504</v>
      </c>
      <c r="AL79" t="s">
        <v>4411</v>
      </c>
      <c r="AN79" t="s">
        <v>4412</v>
      </c>
      <c r="AO79" t="s">
        <v>4413</v>
      </c>
      <c r="AQ79">
        <v>2</v>
      </c>
      <c r="AS79">
        <v>71680</v>
      </c>
      <c r="AX79" s="98" t="s">
        <v>801</v>
      </c>
      <c r="AY79">
        <f>MATCH(A79,VmSpecs[Original Hostname (CMO)],0)</f>
        <v>63</v>
      </c>
      <c r="AZ79" t="str" cm="1">
        <f t="array" ref="AZ79">INDEX(VmSpecs[VM Name],AY79)</f>
        <v>vmpfbpf2hdr19</v>
      </c>
      <c r="BA79" t="str">
        <f t="shared" si="1"/>
        <v>ehgpfaashdr19</v>
      </c>
      <c r="BB79" t="s">
        <v>4280</v>
      </c>
      <c r="BD79" t="str" cm="1">
        <f t="array" ref="BD79">INDEX(VmSpecs[Server Role],AY79)</f>
        <v>HDR P2</v>
      </c>
    </row>
    <row r="80" spans="1:56" hidden="1" x14ac:dyDescent="0.35">
      <c r="A80" t="s">
        <v>218</v>
      </c>
      <c r="B80" t="s">
        <v>4399</v>
      </c>
      <c r="C80" t="s">
        <v>63</v>
      </c>
      <c r="D80" t="s">
        <v>4400</v>
      </c>
      <c r="E80" t="s">
        <v>4401</v>
      </c>
      <c r="J80" t="s">
        <v>4486</v>
      </c>
      <c r="K80" t="s">
        <v>4487</v>
      </c>
      <c r="L80" t="s">
        <v>4404</v>
      </c>
      <c r="P80" t="s">
        <v>4340</v>
      </c>
      <c r="R80" t="s">
        <v>58</v>
      </c>
      <c r="S80">
        <v>6</v>
      </c>
      <c r="T80" t="s">
        <v>4416</v>
      </c>
      <c r="V80">
        <v>24576</v>
      </c>
      <c r="X80" t="s">
        <v>4406</v>
      </c>
      <c r="Y80" t="s">
        <v>4407</v>
      </c>
      <c r="Z80" t="s">
        <v>4408</v>
      </c>
      <c r="AA80" t="s">
        <v>4409</v>
      </c>
      <c r="AG80" t="s">
        <v>64</v>
      </c>
      <c r="AJ80" t="s">
        <v>4504</v>
      </c>
      <c r="AL80" t="s">
        <v>4411</v>
      </c>
      <c r="AN80" t="s">
        <v>4412</v>
      </c>
      <c r="AO80" t="s">
        <v>4413</v>
      </c>
      <c r="AQ80">
        <v>2</v>
      </c>
      <c r="AS80">
        <v>71680</v>
      </c>
      <c r="AX80" s="98" t="s">
        <v>801</v>
      </c>
      <c r="AY80">
        <f>MATCH(A80,VmSpecs[Original Hostname (CMO)],0)</f>
        <v>64</v>
      </c>
      <c r="AZ80" t="str" cm="1">
        <f t="array" ref="AZ80">INDEX(VmSpecs[VM Name],AY80)</f>
        <v>vmpfbpf2hdr20</v>
      </c>
      <c r="BA80" t="str">
        <f t="shared" si="1"/>
        <v>ehgpfaashdr20</v>
      </c>
      <c r="BB80" t="s">
        <v>4280</v>
      </c>
      <c r="BD80" t="str" cm="1">
        <f t="array" ref="BD80">INDEX(VmSpecs[Server Role],AY80)</f>
        <v>HDR P2</v>
      </c>
    </row>
    <row r="81" spans="1:56" hidden="1" x14ac:dyDescent="0.35">
      <c r="A81" t="s">
        <v>220</v>
      </c>
      <c r="B81" t="s">
        <v>4399</v>
      </c>
      <c r="C81" t="s">
        <v>63</v>
      </c>
      <c r="D81" t="s">
        <v>4400</v>
      </c>
      <c r="E81" t="s">
        <v>4401</v>
      </c>
      <c r="J81" t="s">
        <v>4486</v>
      </c>
      <c r="K81" t="s">
        <v>4487</v>
      </c>
      <c r="L81" t="s">
        <v>4404</v>
      </c>
      <c r="P81" t="s">
        <v>4340</v>
      </c>
      <c r="R81" t="s">
        <v>58</v>
      </c>
      <c r="S81">
        <v>6</v>
      </c>
      <c r="T81" t="s">
        <v>4416</v>
      </c>
      <c r="V81">
        <v>24576</v>
      </c>
      <c r="X81" t="s">
        <v>4406</v>
      </c>
      <c r="Y81" t="s">
        <v>4407</v>
      </c>
      <c r="Z81" t="s">
        <v>4408</v>
      </c>
      <c r="AA81" t="s">
        <v>4409</v>
      </c>
      <c r="AG81" t="s">
        <v>64</v>
      </c>
      <c r="AJ81" t="s">
        <v>4504</v>
      </c>
      <c r="AL81" t="s">
        <v>4411</v>
      </c>
      <c r="AN81" t="s">
        <v>4412</v>
      </c>
      <c r="AO81" t="s">
        <v>4413</v>
      </c>
      <c r="AQ81">
        <v>2</v>
      </c>
      <c r="AS81">
        <v>71680</v>
      </c>
      <c r="AX81" s="98" t="s">
        <v>801</v>
      </c>
      <c r="AY81">
        <f>MATCH(A81,VmSpecs[Original Hostname (CMO)],0)</f>
        <v>65</v>
      </c>
      <c r="AZ81" t="str" cm="1">
        <f t="array" ref="AZ81">INDEX(VmSpecs[VM Name],AY81)</f>
        <v>vmpfbpf2hdr21</v>
      </c>
      <c r="BA81" t="str">
        <f t="shared" si="1"/>
        <v>ehgpfaashdr21</v>
      </c>
      <c r="BB81" t="s">
        <v>4280</v>
      </c>
      <c r="BD81" t="str" cm="1">
        <f t="array" ref="BD81">INDEX(VmSpecs[Server Role],AY81)</f>
        <v>HDR P2</v>
      </c>
    </row>
    <row r="82" spans="1:56" hidden="1" x14ac:dyDescent="0.35">
      <c r="A82" t="s">
        <v>222</v>
      </c>
      <c r="B82" t="s">
        <v>4399</v>
      </c>
      <c r="C82" t="s">
        <v>63</v>
      </c>
      <c r="D82" t="s">
        <v>4400</v>
      </c>
      <c r="E82" t="s">
        <v>4401</v>
      </c>
      <c r="J82" t="s">
        <v>4486</v>
      </c>
      <c r="K82" t="s">
        <v>4487</v>
      </c>
      <c r="L82" t="s">
        <v>4404</v>
      </c>
      <c r="P82" t="s">
        <v>4340</v>
      </c>
      <c r="R82" t="s">
        <v>58</v>
      </c>
      <c r="S82">
        <v>6</v>
      </c>
      <c r="T82" t="s">
        <v>4416</v>
      </c>
      <c r="V82">
        <v>24576</v>
      </c>
      <c r="X82" t="s">
        <v>4406</v>
      </c>
      <c r="Y82" t="s">
        <v>4407</v>
      </c>
      <c r="Z82" t="s">
        <v>4408</v>
      </c>
      <c r="AA82" t="s">
        <v>4409</v>
      </c>
      <c r="AG82" t="s">
        <v>64</v>
      </c>
      <c r="AJ82" t="s">
        <v>4504</v>
      </c>
      <c r="AL82" t="s">
        <v>4411</v>
      </c>
      <c r="AN82" t="s">
        <v>4412</v>
      </c>
      <c r="AO82" t="s">
        <v>4413</v>
      </c>
      <c r="AQ82">
        <v>2</v>
      </c>
      <c r="AS82">
        <v>71680</v>
      </c>
      <c r="AX82" s="98" t="s">
        <v>801</v>
      </c>
      <c r="AY82">
        <f>MATCH(A82,VmSpecs[Original Hostname (CMO)],0)</f>
        <v>66</v>
      </c>
      <c r="AZ82" t="str" cm="1">
        <f t="array" ref="AZ82">INDEX(VmSpecs[VM Name],AY82)</f>
        <v>vmpfbpf2hdr22</v>
      </c>
      <c r="BA82" t="str">
        <f t="shared" si="1"/>
        <v>ehgpfaashdr22</v>
      </c>
      <c r="BB82" t="s">
        <v>4280</v>
      </c>
      <c r="BD82" t="str" cm="1">
        <f t="array" ref="BD82">INDEX(VmSpecs[Server Role],AY82)</f>
        <v>HDR P2</v>
      </c>
    </row>
    <row r="83" spans="1:56" hidden="1" x14ac:dyDescent="0.35">
      <c r="A83" t="s">
        <v>339</v>
      </c>
      <c r="B83" t="s">
        <v>4399</v>
      </c>
      <c r="C83" t="s">
        <v>63</v>
      </c>
      <c r="D83" t="s">
        <v>4400</v>
      </c>
      <c r="E83" t="s">
        <v>4401</v>
      </c>
      <c r="J83" t="s">
        <v>4468</v>
      </c>
      <c r="K83" t="s">
        <v>4469</v>
      </c>
      <c r="L83" t="s">
        <v>4404</v>
      </c>
      <c r="P83" t="s">
        <v>4340</v>
      </c>
      <c r="R83" t="s">
        <v>58</v>
      </c>
      <c r="S83">
        <v>2</v>
      </c>
      <c r="V83">
        <v>16384</v>
      </c>
      <c r="AJ83" t="s">
        <v>4505</v>
      </c>
      <c r="AL83" t="s">
        <v>4411</v>
      </c>
      <c r="AN83" t="s">
        <v>4412</v>
      </c>
      <c r="AO83" t="s">
        <v>4413</v>
      </c>
      <c r="AQ83">
        <v>2</v>
      </c>
      <c r="AX83" s="98" t="s">
        <v>757</v>
      </c>
      <c r="AY83">
        <f>MATCH(A83,VmSpecs[Original Hostname (CMO)],0)</f>
        <v>118</v>
      </c>
      <c r="AZ83" t="str" cm="1">
        <f t="array" ref="AZ83">INDEX(VmSpecs[VM Name],AY83)</f>
        <v>vmpfbpf2oes18</v>
      </c>
      <c r="BA83" t="str">
        <f t="shared" si="1"/>
        <v>ehgpfaasoes18</v>
      </c>
      <c r="BB83" t="s">
        <v>4280</v>
      </c>
      <c r="BD83" t="str" cm="1">
        <f t="array" ref="BD83">INDEX(VmSpecs[Server Role],AY83)</f>
        <v>OES N18</v>
      </c>
    </row>
    <row r="84" spans="1:56" hidden="1" x14ac:dyDescent="0.35">
      <c r="A84" t="s">
        <v>341</v>
      </c>
      <c r="B84" t="s">
        <v>4399</v>
      </c>
      <c r="C84" t="s">
        <v>63</v>
      </c>
      <c r="D84" t="s">
        <v>4400</v>
      </c>
      <c r="E84" t="s">
        <v>4401</v>
      </c>
      <c r="J84" t="s">
        <v>4468</v>
      </c>
      <c r="K84" t="s">
        <v>4469</v>
      </c>
      <c r="L84" t="s">
        <v>4404</v>
      </c>
      <c r="P84" t="s">
        <v>4340</v>
      </c>
      <c r="R84" t="s">
        <v>58</v>
      </c>
      <c r="S84">
        <v>2</v>
      </c>
      <c r="V84">
        <v>16384</v>
      </c>
      <c r="AJ84" t="s">
        <v>4506</v>
      </c>
      <c r="AL84" t="s">
        <v>4411</v>
      </c>
      <c r="AN84" t="s">
        <v>4412</v>
      </c>
      <c r="AO84" t="s">
        <v>4413</v>
      </c>
      <c r="AQ84">
        <v>2</v>
      </c>
      <c r="AX84" s="98" t="s">
        <v>757</v>
      </c>
      <c r="AY84">
        <f>MATCH(A84,VmSpecs[Original Hostname (CMO)],0)</f>
        <v>119</v>
      </c>
      <c r="AZ84" t="str" cm="1">
        <f t="array" ref="AZ84">INDEX(VmSpecs[VM Name],AY84)</f>
        <v>vmpfbpf2oes19</v>
      </c>
      <c r="BA84" t="str">
        <f t="shared" si="1"/>
        <v>ehgpfaasoes19</v>
      </c>
      <c r="BB84" t="s">
        <v>4280</v>
      </c>
      <c r="BD84" t="str" cm="1">
        <f t="array" ref="BD84">INDEX(VmSpecs[Server Role],AY84)</f>
        <v>OES N19</v>
      </c>
    </row>
    <row r="85" spans="1:56" hidden="1" x14ac:dyDescent="0.35">
      <c r="A85" t="s">
        <v>112</v>
      </c>
      <c r="B85" t="s">
        <v>4399</v>
      </c>
      <c r="C85" t="s">
        <v>63</v>
      </c>
      <c r="D85" t="s">
        <v>4400</v>
      </c>
      <c r="E85" t="s">
        <v>4401</v>
      </c>
      <c r="J85" t="s">
        <v>4081</v>
      </c>
      <c r="K85" t="s">
        <v>4436</v>
      </c>
      <c r="L85" t="s">
        <v>4404</v>
      </c>
      <c r="P85" t="s">
        <v>4340</v>
      </c>
      <c r="R85" t="s">
        <v>58</v>
      </c>
      <c r="S85">
        <v>8</v>
      </c>
      <c r="V85">
        <v>24576</v>
      </c>
      <c r="AJ85" t="s">
        <v>4507</v>
      </c>
      <c r="AL85" t="s">
        <v>4411</v>
      </c>
      <c r="AN85" t="s">
        <v>4412</v>
      </c>
      <c r="AQ85">
        <v>2</v>
      </c>
      <c r="AX85" s="98" t="s">
        <v>801</v>
      </c>
      <c r="AY85">
        <f>MATCH(A85,VmSpecs[Original Hostname (CMO)],0)</f>
        <v>19</v>
      </c>
      <c r="AZ85" t="str" cm="1">
        <f t="array" ref="AZ85">INDEX(VmSpecs[VM Name],AY85)</f>
        <v>vmpfbpf2dcr04</v>
      </c>
      <c r="BA85" t="str">
        <f t="shared" si="1"/>
        <v>ehgpfaasdcr04</v>
      </c>
      <c r="BB85" t="s">
        <v>4280</v>
      </c>
      <c r="BD85" t="str" cm="1">
        <f t="array" ref="BD85">INDEX(VmSpecs[Server Role],AY85)</f>
        <v>OSB DCR</v>
      </c>
    </row>
    <row r="86" spans="1:56" hidden="1" x14ac:dyDescent="0.35">
      <c r="A86" t="s">
        <v>137</v>
      </c>
      <c r="B86" t="s">
        <v>4399</v>
      </c>
      <c r="C86" t="s">
        <v>63</v>
      </c>
      <c r="D86" t="s">
        <v>4400</v>
      </c>
      <c r="E86" t="s">
        <v>4401</v>
      </c>
      <c r="J86" t="s">
        <v>4077</v>
      </c>
      <c r="K86" t="s">
        <v>4443</v>
      </c>
      <c r="L86" t="s">
        <v>4404</v>
      </c>
      <c r="P86" t="s">
        <v>4340</v>
      </c>
      <c r="R86" t="s">
        <v>58</v>
      </c>
      <c r="S86">
        <v>8</v>
      </c>
      <c r="V86">
        <v>24576</v>
      </c>
      <c r="AG86" t="s">
        <v>64</v>
      </c>
      <c r="AJ86" t="s">
        <v>4508</v>
      </c>
      <c r="AL86" t="s">
        <v>4411</v>
      </c>
      <c r="AN86" t="s">
        <v>4412</v>
      </c>
      <c r="AQ86">
        <v>2</v>
      </c>
      <c r="AX86" s="98" t="s">
        <v>801</v>
      </c>
      <c r="AY86">
        <f>MATCH(A86,VmSpecs[Original Hostname (CMO)],0)</f>
        <v>30</v>
      </c>
      <c r="AZ86" t="str" cm="1">
        <f t="array" ref="AZ86">INDEX(VmSpecs[VM Name],AY86)</f>
        <v>vmpfbpf2dcx11</v>
      </c>
      <c r="BA86" t="str">
        <f t="shared" si="1"/>
        <v>ehgpfaasdcx11</v>
      </c>
      <c r="BB86" t="s">
        <v>4280</v>
      </c>
      <c r="BD86" t="str" cm="1">
        <f t="array" ref="BD86">INDEX(VmSpecs[Server Role],AY86)</f>
        <v>OSB DCX Domain N11</v>
      </c>
    </row>
    <row r="87" spans="1:56" hidden="1" x14ac:dyDescent="0.35">
      <c r="A87" t="s">
        <v>140</v>
      </c>
      <c r="B87" t="s">
        <v>4399</v>
      </c>
      <c r="C87" t="s">
        <v>63</v>
      </c>
      <c r="D87" t="s">
        <v>4400</v>
      </c>
      <c r="E87" t="s">
        <v>4401</v>
      </c>
      <c r="J87" t="s">
        <v>4077</v>
      </c>
      <c r="K87" t="s">
        <v>4443</v>
      </c>
      <c r="L87" t="s">
        <v>4404</v>
      </c>
      <c r="P87" t="s">
        <v>4340</v>
      </c>
      <c r="R87" t="s">
        <v>58</v>
      </c>
      <c r="S87">
        <v>8</v>
      </c>
      <c r="V87">
        <v>24576</v>
      </c>
      <c r="AG87" t="s">
        <v>64</v>
      </c>
      <c r="AJ87" t="s">
        <v>4509</v>
      </c>
      <c r="AL87" t="s">
        <v>4411</v>
      </c>
      <c r="AN87" t="s">
        <v>4412</v>
      </c>
      <c r="AQ87">
        <v>2</v>
      </c>
      <c r="AX87" s="98" t="s">
        <v>801</v>
      </c>
      <c r="AY87">
        <f>MATCH(A87,VmSpecs[Original Hostname (CMO)],0)</f>
        <v>31</v>
      </c>
      <c r="AZ87" t="str" cm="1">
        <f t="array" ref="AZ87">INDEX(VmSpecs[VM Name],AY87)</f>
        <v>vmpfbpf2dcx12</v>
      </c>
      <c r="BA87" t="str">
        <f t="shared" si="1"/>
        <v>ehgpfaasdcx12</v>
      </c>
      <c r="BB87" t="s">
        <v>4280</v>
      </c>
      <c r="BD87" t="str" cm="1">
        <f t="array" ref="BD87">INDEX(VmSpecs[Server Role],AY87)</f>
        <v>OSB DCX Domain N12</v>
      </c>
    </row>
    <row r="88" spans="1:56" hidden="1" x14ac:dyDescent="0.35">
      <c r="A88" t="s">
        <v>143</v>
      </c>
      <c r="B88" t="s">
        <v>4399</v>
      </c>
      <c r="C88" t="s">
        <v>63</v>
      </c>
      <c r="D88" t="s">
        <v>4400</v>
      </c>
      <c r="E88" t="s">
        <v>4401</v>
      </c>
      <c r="J88" t="s">
        <v>4077</v>
      </c>
      <c r="K88" t="s">
        <v>4443</v>
      </c>
      <c r="L88" t="s">
        <v>4404</v>
      </c>
      <c r="P88" t="s">
        <v>4340</v>
      </c>
      <c r="R88" t="s">
        <v>58</v>
      </c>
      <c r="S88">
        <v>8</v>
      </c>
      <c r="V88">
        <v>24576</v>
      </c>
      <c r="AG88" t="s">
        <v>64</v>
      </c>
      <c r="AJ88" t="s">
        <v>4510</v>
      </c>
      <c r="AL88" t="s">
        <v>4411</v>
      </c>
      <c r="AN88" t="s">
        <v>4412</v>
      </c>
      <c r="AQ88">
        <v>2</v>
      </c>
      <c r="AX88" s="98" t="s">
        <v>801</v>
      </c>
      <c r="AY88">
        <f>MATCH(A88,VmSpecs[Original Hostname (CMO)],0)</f>
        <v>32</v>
      </c>
      <c r="AZ88" t="str" cm="1">
        <f t="array" ref="AZ88">INDEX(VmSpecs[VM Name],AY88)</f>
        <v>vmpfbpf2dcx13</v>
      </c>
      <c r="BA88" t="str">
        <f t="shared" si="1"/>
        <v>ehgpfaasdcx13</v>
      </c>
      <c r="BB88" t="s">
        <v>4280</v>
      </c>
      <c r="BD88" t="str" cm="1">
        <f t="array" ref="BD88">INDEX(VmSpecs[Server Role],AY88)</f>
        <v>OSB DCX Domain N13</v>
      </c>
    </row>
    <row r="89" spans="1:56" hidden="1" x14ac:dyDescent="0.35">
      <c r="A89" t="s">
        <v>146</v>
      </c>
      <c r="B89" t="s">
        <v>4399</v>
      </c>
      <c r="C89" t="s">
        <v>63</v>
      </c>
      <c r="D89" t="s">
        <v>4400</v>
      </c>
      <c r="E89" t="s">
        <v>4401</v>
      </c>
      <c r="J89" t="s">
        <v>4077</v>
      </c>
      <c r="K89" t="s">
        <v>4443</v>
      </c>
      <c r="L89" t="s">
        <v>4404</v>
      </c>
      <c r="P89" t="s">
        <v>4340</v>
      </c>
      <c r="R89" t="s">
        <v>58</v>
      </c>
      <c r="S89">
        <v>8</v>
      </c>
      <c r="V89">
        <v>24576</v>
      </c>
      <c r="AG89" t="s">
        <v>64</v>
      </c>
      <c r="AJ89" t="s">
        <v>4511</v>
      </c>
      <c r="AL89" t="s">
        <v>4411</v>
      </c>
      <c r="AN89" t="s">
        <v>4412</v>
      </c>
      <c r="AQ89">
        <v>2</v>
      </c>
      <c r="AX89" s="98" t="s">
        <v>801</v>
      </c>
      <c r="AY89">
        <f>MATCH(A89,VmSpecs[Original Hostname (CMO)],0)</f>
        <v>33</v>
      </c>
      <c r="AZ89" t="str" cm="1">
        <f t="array" ref="AZ89">INDEX(VmSpecs[VM Name],AY89)</f>
        <v>vmpfbpf2dcx14</v>
      </c>
      <c r="BA89" t="str">
        <f t="shared" si="1"/>
        <v>ehgpfaasdcx14</v>
      </c>
      <c r="BB89" t="s">
        <v>4280</v>
      </c>
      <c r="BD89" t="str" cm="1">
        <f t="array" ref="BD89">INDEX(VmSpecs[Server Role],AY89)</f>
        <v>OSB DCX Domain N14</v>
      </c>
    </row>
    <row r="90" spans="1:56" hidden="1" x14ac:dyDescent="0.35">
      <c r="A90" t="s">
        <v>149</v>
      </c>
      <c r="B90" t="s">
        <v>4399</v>
      </c>
      <c r="C90" t="s">
        <v>63</v>
      </c>
      <c r="D90" t="s">
        <v>4400</v>
      </c>
      <c r="E90" t="s">
        <v>4401</v>
      </c>
      <c r="J90" t="s">
        <v>4077</v>
      </c>
      <c r="K90" t="s">
        <v>4443</v>
      </c>
      <c r="L90" t="s">
        <v>4404</v>
      </c>
      <c r="P90" t="s">
        <v>4340</v>
      </c>
      <c r="R90" t="s">
        <v>58</v>
      </c>
      <c r="S90">
        <v>8</v>
      </c>
      <c r="V90">
        <v>24576</v>
      </c>
      <c r="AG90" t="s">
        <v>64</v>
      </c>
      <c r="AJ90" t="s">
        <v>4512</v>
      </c>
      <c r="AL90" t="s">
        <v>4411</v>
      </c>
      <c r="AN90" t="s">
        <v>4412</v>
      </c>
      <c r="AQ90">
        <v>2</v>
      </c>
      <c r="AX90" s="98" t="s">
        <v>801</v>
      </c>
      <c r="AY90">
        <f>MATCH(A90,VmSpecs[Original Hostname (CMO)],0)</f>
        <v>34</v>
      </c>
      <c r="AZ90" t="str" cm="1">
        <f t="array" ref="AZ90">INDEX(VmSpecs[VM Name],AY90)</f>
        <v>vmpfbpf2dcx15</v>
      </c>
      <c r="BA90" t="str">
        <f t="shared" si="1"/>
        <v>ehgpfaasdcx15</v>
      </c>
      <c r="BB90" t="s">
        <v>4280</v>
      </c>
      <c r="BD90" t="str" cm="1">
        <f t="array" ref="BD90">INDEX(VmSpecs[Server Role],AY90)</f>
        <v>OSB DCX Domain N15</v>
      </c>
    </row>
    <row r="91" spans="1:56" hidden="1" x14ac:dyDescent="0.35">
      <c r="A91" t="s">
        <v>152</v>
      </c>
      <c r="B91" t="s">
        <v>4399</v>
      </c>
      <c r="C91" t="s">
        <v>63</v>
      </c>
      <c r="D91" t="s">
        <v>4400</v>
      </c>
      <c r="E91" t="s">
        <v>4401</v>
      </c>
      <c r="J91" t="s">
        <v>4077</v>
      </c>
      <c r="K91" t="s">
        <v>4443</v>
      </c>
      <c r="L91" t="s">
        <v>4404</v>
      </c>
      <c r="P91" t="s">
        <v>4340</v>
      </c>
      <c r="R91" t="s">
        <v>58</v>
      </c>
      <c r="S91">
        <v>8</v>
      </c>
      <c r="V91">
        <v>24576</v>
      </c>
      <c r="AG91" t="s">
        <v>64</v>
      </c>
      <c r="AJ91" t="s">
        <v>4513</v>
      </c>
      <c r="AL91" t="s">
        <v>4411</v>
      </c>
      <c r="AN91" t="s">
        <v>4412</v>
      </c>
      <c r="AQ91">
        <v>2</v>
      </c>
      <c r="AX91" s="98" t="s">
        <v>801</v>
      </c>
      <c r="AY91">
        <f>MATCH(A91,VmSpecs[Original Hostname (CMO)],0)</f>
        <v>35</v>
      </c>
      <c r="AZ91" t="str" cm="1">
        <f t="array" ref="AZ91">INDEX(VmSpecs[VM Name],AY91)</f>
        <v>vmpfbpf2dcx16</v>
      </c>
      <c r="BA91" t="str">
        <f t="shared" si="1"/>
        <v>ehgpfaasdcx16</v>
      </c>
      <c r="BB91" t="s">
        <v>4280</v>
      </c>
      <c r="BD91" t="str" cm="1">
        <f t="array" ref="BD91">INDEX(VmSpecs[Server Role],AY91)</f>
        <v>OSB DCX Domain N16</v>
      </c>
    </row>
    <row r="92" spans="1:56" hidden="1" x14ac:dyDescent="0.35">
      <c r="A92" t="s">
        <v>155</v>
      </c>
      <c r="B92" t="s">
        <v>4399</v>
      </c>
      <c r="C92" t="s">
        <v>63</v>
      </c>
      <c r="D92" t="s">
        <v>4400</v>
      </c>
      <c r="E92" t="s">
        <v>4401</v>
      </c>
      <c r="J92" t="s">
        <v>4077</v>
      </c>
      <c r="K92" t="s">
        <v>4443</v>
      </c>
      <c r="L92" t="s">
        <v>4404</v>
      </c>
      <c r="P92" t="s">
        <v>4340</v>
      </c>
      <c r="R92" t="s">
        <v>58</v>
      </c>
      <c r="S92">
        <v>8</v>
      </c>
      <c r="V92">
        <v>24576</v>
      </c>
      <c r="AG92" t="s">
        <v>64</v>
      </c>
      <c r="AJ92" t="s">
        <v>4514</v>
      </c>
      <c r="AL92" t="s">
        <v>4411</v>
      </c>
      <c r="AN92" t="s">
        <v>4412</v>
      </c>
      <c r="AQ92">
        <v>2</v>
      </c>
      <c r="AX92" s="98" t="s">
        <v>801</v>
      </c>
      <c r="AY92">
        <f>MATCH(A92,VmSpecs[Original Hostname (CMO)],0)</f>
        <v>36</v>
      </c>
      <c r="AZ92" t="str" cm="1">
        <f t="array" ref="AZ92">INDEX(VmSpecs[VM Name],AY92)</f>
        <v>vmpfbpf2dcx17</v>
      </c>
      <c r="BA92" t="str">
        <f t="shared" si="1"/>
        <v>ehgpfaasdcx17</v>
      </c>
      <c r="BB92" t="s">
        <v>4280</v>
      </c>
      <c r="BD92" t="str" cm="1">
        <f t="array" ref="BD92">INDEX(VmSpecs[Server Role],AY92)</f>
        <v>OSB DCX Domain N17</v>
      </c>
    </row>
    <row r="93" spans="1:56" hidden="1" x14ac:dyDescent="0.35">
      <c r="A93" t="s">
        <v>158</v>
      </c>
      <c r="B93" t="s">
        <v>4399</v>
      </c>
      <c r="C93" t="s">
        <v>63</v>
      </c>
      <c r="D93" t="s">
        <v>4400</v>
      </c>
      <c r="E93" t="s">
        <v>4401</v>
      </c>
      <c r="J93" t="s">
        <v>4077</v>
      </c>
      <c r="K93" t="s">
        <v>4443</v>
      </c>
      <c r="L93" t="s">
        <v>4404</v>
      </c>
      <c r="P93" t="s">
        <v>4340</v>
      </c>
      <c r="R93" t="s">
        <v>58</v>
      </c>
      <c r="S93">
        <v>8</v>
      </c>
      <c r="V93">
        <v>24576</v>
      </c>
      <c r="AG93" t="s">
        <v>64</v>
      </c>
      <c r="AJ93" t="s">
        <v>4515</v>
      </c>
      <c r="AL93" t="s">
        <v>4411</v>
      </c>
      <c r="AN93" t="s">
        <v>4412</v>
      </c>
      <c r="AQ93">
        <v>2</v>
      </c>
      <c r="AX93" s="98" t="s">
        <v>801</v>
      </c>
      <c r="AY93">
        <f>MATCH(A93,VmSpecs[Original Hostname (CMO)],0)</f>
        <v>37</v>
      </c>
      <c r="AZ93" t="str" cm="1">
        <f t="array" ref="AZ93">INDEX(VmSpecs[VM Name],AY93)</f>
        <v>vmpfbpf2dcx18</v>
      </c>
      <c r="BA93" t="str">
        <f t="shared" si="1"/>
        <v>ehgpfaasdcx18</v>
      </c>
      <c r="BB93" t="s">
        <v>4280</v>
      </c>
      <c r="BD93" t="str" cm="1">
        <f t="array" ref="BD93">INDEX(VmSpecs[Server Role],AY93)</f>
        <v>OSB DCX Domain N18</v>
      </c>
    </row>
    <row r="94" spans="1:56" hidden="1" x14ac:dyDescent="0.35">
      <c r="A94" t="s">
        <v>161</v>
      </c>
      <c r="B94" t="s">
        <v>4399</v>
      </c>
      <c r="C94" t="s">
        <v>63</v>
      </c>
      <c r="D94" t="s">
        <v>4400</v>
      </c>
      <c r="E94" t="s">
        <v>4401</v>
      </c>
      <c r="J94" t="s">
        <v>4077</v>
      </c>
      <c r="K94" t="s">
        <v>4443</v>
      </c>
      <c r="L94" t="s">
        <v>4404</v>
      </c>
      <c r="P94" t="s">
        <v>4340</v>
      </c>
      <c r="R94" t="s">
        <v>58</v>
      </c>
      <c r="S94">
        <v>8</v>
      </c>
      <c r="V94">
        <v>24576</v>
      </c>
      <c r="AG94" t="s">
        <v>64</v>
      </c>
      <c r="AJ94" t="s">
        <v>4516</v>
      </c>
      <c r="AL94" t="s">
        <v>4411</v>
      </c>
      <c r="AN94" t="s">
        <v>4412</v>
      </c>
      <c r="AQ94">
        <v>2</v>
      </c>
      <c r="AX94" s="98" t="s">
        <v>801</v>
      </c>
      <c r="AY94">
        <f>MATCH(A94,VmSpecs[Original Hostname (CMO)],0)</f>
        <v>38</v>
      </c>
      <c r="AZ94" t="str" cm="1">
        <f t="array" ref="AZ94">INDEX(VmSpecs[VM Name],AY94)</f>
        <v>vmpfbpf2dcx19</v>
      </c>
      <c r="BA94" t="str">
        <f t="shared" si="1"/>
        <v>ehgpfaasdcx19</v>
      </c>
      <c r="BB94" t="s">
        <v>4280</v>
      </c>
      <c r="BD94" t="str" cm="1">
        <f t="array" ref="BD94">INDEX(VmSpecs[Server Role],AY94)</f>
        <v>OSB DCX Domain N19</v>
      </c>
    </row>
    <row r="95" spans="1:56" hidden="1" x14ac:dyDescent="0.35">
      <c r="A95" t="s">
        <v>164</v>
      </c>
      <c r="B95" t="s">
        <v>4399</v>
      </c>
      <c r="C95" t="s">
        <v>63</v>
      </c>
      <c r="D95" t="s">
        <v>4400</v>
      </c>
      <c r="E95" t="s">
        <v>4401</v>
      </c>
      <c r="J95" t="s">
        <v>4077</v>
      </c>
      <c r="K95" t="s">
        <v>4443</v>
      </c>
      <c r="L95" t="s">
        <v>4404</v>
      </c>
      <c r="P95" t="s">
        <v>4340</v>
      </c>
      <c r="R95" t="s">
        <v>58</v>
      </c>
      <c r="S95">
        <v>8</v>
      </c>
      <c r="V95">
        <v>24576</v>
      </c>
      <c r="AG95" t="s">
        <v>64</v>
      </c>
      <c r="AJ95" t="s">
        <v>4517</v>
      </c>
      <c r="AL95" t="s">
        <v>4411</v>
      </c>
      <c r="AN95" t="s">
        <v>4412</v>
      </c>
      <c r="AQ95">
        <v>2</v>
      </c>
      <c r="AX95" s="98" t="s">
        <v>801</v>
      </c>
      <c r="AY95">
        <f>MATCH(A95,VmSpecs[Original Hostname (CMO)],0)</f>
        <v>39</v>
      </c>
      <c r="AZ95" t="str" cm="1">
        <f t="array" ref="AZ95">INDEX(VmSpecs[VM Name],AY95)</f>
        <v>vmpfbpf2dcx20</v>
      </c>
      <c r="BA95" t="str">
        <f t="shared" si="1"/>
        <v>ehgpfaasdcx20</v>
      </c>
      <c r="BB95" t="s">
        <v>4280</v>
      </c>
      <c r="BD95" t="str" cm="1">
        <f t="array" ref="BD95">INDEX(VmSpecs[Server Role],AY95)</f>
        <v>OSB DCX Domain N20</v>
      </c>
    </row>
    <row r="96" spans="1:56" hidden="1" x14ac:dyDescent="0.35">
      <c r="A96" t="s">
        <v>263</v>
      </c>
      <c r="B96" t="s">
        <v>4399</v>
      </c>
      <c r="C96" t="s">
        <v>63</v>
      </c>
      <c r="D96" t="s">
        <v>4400</v>
      </c>
      <c r="E96" t="s">
        <v>4401</v>
      </c>
      <c r="J96" t="s">
        <v>4459</v>
      </c>
      <c r="K96" t="s">
        <v>4518</v>
      </c>
      <c r="L96" t="s">
        <v>4404</v>
      </c>
      <c r="P96" t="s">
        <v>4340</v>
      </c>
      <c r="R96" t="s">
        <v>58</v>
      </c>
      <c r="S96">
        <v>4</v>
      </c>
      <c r="T96" t="s">
        <v>4416</v>
      </c>
      <c r="V96">
        <v>16384</v>
      </c>
      <c r="X96" t="s">
        <v>4406</v>
      </c>
      <c r="Y96" t="s">
        <v>4407</v>
      </c>
      <c r="Z96" t="s">
        <v>4408</v>
      </c>
      <c r="AA96" t="s">
        <v>4409</v>
      </c>
      <c r="AG96" t="s">
        <v>64</v>
      </c>
      <c r="AJ96" t="s">
        <v>4519</v>
      </c>
      <c r="AL96" t="s">
        <v>4411</v>
      </c>
      <c r="AN96" t="s">
        <v>4412</v>
      </c>
      <c r="AO96" t="s">
        <v>4413</v>
      </c>
      <c r="AQ96">
        <v>2</v>
      </c>
      <c r="AS96">
        <v>76800</v>
      </c>
      <c r="AX96" s="98" t="s">
        <v>757</v>
      </c>
      <c r="AY96">
        <f>MATCH(A96,VmSpecs[Original Hostname (CMO)],0)</f>
        <v>81</v>
      </c>
      <c r="AZ96" t="str" cm="1">
        <f t="array" ref="AZ96">INDEX(VmSpecs[VM Name],AY96)</f>
        <v>vmpfbpf2hmr02</v>
      </c>
      <c r="BA96" t="str">
        <f t="shared" si="1"/>
        <v>ehgpfaashmr02</v>
      </c>
      <c r="BB96" t="s">
        <v>4280</v>
      </c>
      <c r="BD96" t="str" cm="1">
        <f t="array" ref="BD96">INDEX(VmSpecs[Server Role],AY96)</f>
        <v>RLS N2</v>
      </c>
    </row>
    <row r="97" spans="1:56" hidden="1" x14ac:dyDescent="0.35">
      <c r="A97" t="s">
        <v>267</v>
      </c>
      <c r="B97" t="s">
        <v>4399</v>
      </c>
      <c r="C97" t="s">
        <v>63</v>
      </c>
      <c r="D97" t="s">
        <v>4400</v>
      </c>
      <c r="E97" t="s">
        <v>4401</v>
      </c>
      <c r="J97" t="s">
        <v>4459</v>
      </c>
      <c r="K97" t="s">
        <v>4518</v>
      </c>
      <c r="L97" t="s">
        <v>4404</v>
      </c>
      <c r="P97" t="s">
        <v>4340</v>
      </c>
      <c r="R97" t="s">
        <v>58</v>
      </c>
      <c r="S97">
        <v>4</v>
      </c>
      <c r="T97" t="s">
        <v>4416</v>
      </c>
      <c r="V97">
        <v>16384</v>
      </c>
      <c r="X97" t="s">
        <v>4406</v>
      </c>
      <c r="Y97" t="s">
        <v>4407</v>
      </c>
      <c r="Z97" t="s">
        <v>4408</v>
      </c>
      <c r="AA97" t="s">
        <v>4409</v>
      </c>
      <c r="AG97" t="s">
        <v>64</v>
      </c>
      <c r="AJ97" t="s">
        <v>4520</v>
      </c>
      <c r="AL97" t="s">
        <v>4411</v>
      </c>
      <c r="AN97" t="s">
        <v>4412</v>
      </c>
      <c r="AO97" t="s">
        <v>4413</v>
      </c>
      <c r="AQ97">
        <v>2</v>
      </c>
      <c r="AS97">
        <v>76800</v>
      </c>
      <c r="AX97" s="98" t="s">
        <v>757</v>
      </c>
      <c r="AY97">
        <f>MATCH(A97,VmSpecs[Original Hostname (CMO)],0)</f>
        <v>83</v>
      </c>
      <c r="AZ97" t="str" cm="1">
        <f t="array" ref="AZ97">INDEX(VmSpecs[VM Name],AY97)</f>
        <v>vmpfbpf2hmr04</v>
      </c>
      <c r="BA97" t="str">
        <f t="shared" si="1"/>
        <v>ehgpfaashmr04</v>
      </c>
      <c r="BB97" t="s">
        <v>4280</v>
      </c>
      <c r="BD97" t="str" cm="1">
        <f t="array" ref="BD97">INDEX(VmSpecs[Server Role],AY97)</f>
        <v>RLS N4</v>
      </c>
    </row>
    <row r="98" spans="1:56" hidden="1" x14ac:dyDescent="0.35">
      <c r="A98" t="s">
        <v>271</v>
      </c>
      <c r="B98" t="s">
        <v>4399</v>
      </c>
      <c r="C98" t="s">
        <v>63</v>
      </c>
      <c r="D98" t="s">
        <v>4400</v>
      </c>
      <c r="E98" t="s">
        <v>4401</v>
      </c>
      <c r="J98" t="s">
        <v>4459</v>
      </c>
      <c r="K98" t="s">
        <v>4518</v>
      </c>
      <c r="L98" t="s">
        <v>4404</v>
      </c>
      <c r="P98" t="s">
        <v>4340</v>
      </c>
      <c r="R98" t="s">
        <v>58</v>
      </c>
      <c r="S98">
        <v>4</v>
      </c>
      <c r="T98" t="s">
        <v>4416</v>
      </c>
      <c r="V98">
        <v>16384</v>
      </c>
      <c r="X98" t="s">
        <v>4406</v>
      </c>
      <c r="Y98" t="s">
        <v>4407</v>
      </c>
      <c r="Z98" t="s">
        <v>4408</v>
      </c>
      <c r="AA98" t="s">
        <v>4409</v>
      </c>
      <c r="AG98" t="s">
        <v>64</v>
      </c>
      <c r="AJ98" t="s">
        <v>4521</v>
      </c>
      <c r="AL98" t="s">
        <v>4411</v>
      </c>
      <c r="AN98" t="s">
        <v>4412</v>
      </c>
      <c r="AO98" t="s">
        <v>4413</v>
      </c>
      <c r="AQ98">
        <v>2</v>
      </c>
      <c r="AS98">
        <v>76800</v>
      </c>
      <c r="AX98" s="98" t="s">
        <v>757</v>
      </c>
      <c r="AY98">
        <f>MATCH(A98,VmSpecs[Original Hostname (CMO)],0)</f>
        <v>85</v>
      </c>
      <c r="AZ98" t="str" cm="1">
        <f t="array" ref="AZ98">INDEX(VmSpecs[VM Name],AY98)</f>
        <v>vmpfbpf2hmr06</v>
      </c>
      <c r="BA98" t="str">
        <f t="shared" si="1"/>
        <v>ehgpfaashmr06</v>
      </c>
      <c r="BB98" t="s">
        <v>4280</v>
      </c>
      <c r="BD98" t="str" cm="1">
        <f t="array" ref="BD98">INDEX(VmSpecs[Server Role],AY98)</f>
        <v>RLS N6</v>
      </c>
    </row>
    <row r="99" spans="1:56" hidden="1" x14ac:dyDescent="0.35">
      <c r="A99" t="s">
        <v>273</v>
      </c>
      <c r="B99" t="s">
        <v>4399</v>
      </c>
      <c r="C99" t="s">
        <v>63</v>
      </c>
      <c r="D99" t="s">
        <v>4400</v>
      </c>
      <c r="E99" t="s">
        <v>4401</v>
      </c>
      <c r="J99" t="s">
        <v>4459</v>
      </c>
      <c r="K99" t="s">
        <v>4518</v>
      </c>
      <c r="L99" t="s">
        <v>4404</v>
      </c>
      <c r="P99" t="s">
        <v>4340</v>
      </c>
      <c r="R99" t="s">
        <v>58</v>
      </c>
      <c r="S99">
        <v>4</v>
      </c>
      <c r="T99" t="s">
        <v>4416</v>
      </c>
      <c r="V99">
        <v>16384</v>
      </c>
      <c r="X99" t="s">
        <v>4406</v>
      </c>
      <c r="Y99" t="s">
        <v>4407</v>
      </c>
      <c r="Z99" t="s">
        <v>4408</v>
      </c>
      <c r="AA99" t="s">
        <v>4409</v>
      </c>
      <c r="AG99" t="s">
        <v>64</v>
      </c>
      <c r="AJ99" t="s">
        <v>4522</v>
      </c>
      <c r="AL99" t="s">
        <v>4411</v>
      </c>
      <c r="AN99" t="s">
        <v>4412</v>
      </c>
      <c r="AO99" t="s">
        <v>4413</v>
      </c>
      <c r="AQ99">
        <v>2</v>
      </c>
      <c r="AS99">
        <v>76800</v>
      </c>
      <c r="AX99" s="98" t="s">
        <v>757</v>
      </c>
      <c r="AY99">
        <f>MATCH(A99,VmSpecs[Original Hostname (CMO)],0)</f>
        <v>86</v>
      </c>
      <c r="AZ99" t="str" cm="1">
        <f t="array" ref="AZ99">INDEX(VmSpecs[VM Name],AY99)</f>
        <v>vmpfbpf2hmr07</v>
      </c>
      <c r="BA99" t="str">
        <f t="shared" si="1"/>
        <v>ehgpfaashmr07</v>
      </c>
      <c r="BB99" t="s">
        <v>4280</v>
      </c>
      <c r="BD99" t="str" cm="1">
        <f t="array" ref="BD99">INDEX(VmSpecs[Server Role],AY99)</f>
        <v>RLS N7</v>
      </c>
    </row>
    <row r="100" spans="1:56" hidden="1" x14ac:dyDescent="0.35">
      <c r="A100" t="s">
        <v>275</v>
      </c>
      <c r="B100" t="s">
        <v>4399</v>
      </c>
      <c r="C100" t="s">
        <v>63</v>
      </c>
      <c r="D100" t="s">
        <v>4400</v>
      </c>
      <c r="E100" t="s">
        <v>4401</v>
      </c>
      <c r="J100" t="s">
        <v>4459</v>
      </c>
      <c r="K100" t="s">
        <v>4518</v>
      </c>
      <c r="L100" t="s">
        <v>4404</v>
      </c>
      <c r="P100" t="s">
        <v>4340</v>
      </c>
      <c r="R100" t="s">
        <v>58</v>
      </c>
      <c r="S100">
        <v>4</v>
      </c>
      <c r="T100" t="s">
        <v>4416</v>
      </c>
      <c r="V100">
        <v>16384</v>
      </c>
      <c r="X100" t="s">
        <v>4406</v>
      </c>
      <c r="Y100" t="s">
        <v>4407</v>
      </c>
      <c r="Z100" t="s">
        <v>4408</v>
      </c>
      <c r="AA100" t="s">
        <v>4409</v>
      </c>
      <c r="AG100" t="s">
        <v>64</v>
      </c>
      <c r="AJ100" t="s">
        <v>4523</v>
      </c>
      <c r="AL100" t="s">
        <v>4411</v>
      </c>
      <c r="AN100" t="s">
        <v>4412</v>
      </c>
      <c r="AO100" t="s">
        <v>4413</v>
      </c>
      <c r="AQ100">
        <v>2</v>
      </c>
      <c r="AS100">
        <v>76800</v>
      </c>
      <c r="AX100" s="98" t="s">
        <v>757</v>
      </c>
      <c r="AY100">
        <f>MATCH(A100,VmSpecs[Original Hostname (CMO)],0)</f>
        <v>87</v>
      </c>
      <c r="AZ100" t="str" cm="1">
        <f t="array" ref="AZ100">INDEX(VmSpecs[VM Name],AY100)</f>
        <v>vmpfbpf2hmr08</v>
      </c>
      <c r="BA100" t="str">
        <f t="shared" si="1"/>
        <v>ehgpfaashmr08</v>
      </c>
      <c r="BB100" t="s">
        <v>4280</v>
      </c>
      <c r="BD100" t="str" cm="1">
        <f t="array" ref="BD100">INDEX(VmSpecs[Server Role],AY100)</f>
        <v>RLS N8</v>
      </c>
    </row>
    <row r="101" spans="1:56" hidden="1" x14ac:dyDescent="0.35">
      <c r="A101" t="s">
        <v>277</v>
      </c>
      <c r="B101" t="s">
        <v>4399</v>
      </c>
      <c r="C101" t="s">
        <v>63</v>
      </c>
      <c r="D101" t="s">
        <v>4400</v>
      </c>
      <c r="E101" t="s">
        <v>4401</v>
      </c>
      <c r="J101" t="s">
        <v>4459</v>
      </c>
      <c r="K101" t="s">
        <v>4518</v>
      </c>
      <c r="L101" t="s">
        <v>4404</v>
      </c>
      <c r="P101" t="s">
        <v>4340</v>
      </c>
      <c r="R101" t="s">
        <v>58</v>
      </c>
      <c r="S101">
        <v>4</v>
      </c>
      <c r="T101" t="s">
        <v>4416</v>
      </c>
      <c r="V101">
        <v>16384</v>
      </c>
      <c r="X101" t="s">
        <v>4406</v>
      </c>
      <c r="Y101" t="s">
        <v>4407</v>
      </c>
      <c r="Z101" t="s">
        <v>4408</v>
      </c>
      <c r="AA101" t="s">
        <v>4409</v>
      </c>
      <c r="AG101" t="s">
        <v>64</v>
      </c>
      <c r="AJ101" t="s">
        <v>4524</v>
      </c>
      <c r="AL101" t="s">
        <v>4411</v>
      </c>
      <c r="AN101" t="s">
        <v>4412</v>
      </c>
      <c r="AO101" t="s">
        <v>4413</v>
      </c>
      <c r="AQ101">
        <v>2</v>
      </c>
      <c r="AS101">
        <v>76800</v>
      </c>
      <c r="AX101" s="98" t="s">
        <v>757</v>
      </c>
      <c r="AY101">
        <f>MATCH(A101,VmSpecs[Original Hostname (CMO)],0)</f>
        <v>88</v>
      </c>
      <c r="AZ101" t="str" cm="1">
        <f t="array" ref="AZ101">INDEX(VmSpecs[VM Name],AY101)</f>
        <v>vmpfbpf2hmr09</v>
      </c>
      <c r="BA101" t="str">
        <f t="shared" si="1"/>
        <v>ehgpfaashmr09</v>
      </c>
      <c r="BB101" t="s">
        <v>4280</v>
      </c>
      <c r="BD101" t="str" cm="1">
        <f t="array" ref="BD101">INDEX(VmSpecs[Server Role],AY101)</f>
        <v>RLS N9</v>
      </c>
    </row>
    <row r="102" spans="1:56" hidden="1" x14ac:dyDescent="0.35">
      <c r="A102" t="s">
        <v>279</v>
      </c>
      <c r="B102" t="s">
        <v>4399</v>
      </c>
      <c r="C102" t="s">
        <v>63</v>
      </c>
      <c r="D102" t="s">
        <v>4400</v>
      </c>
      <c r="E102" t="s">
        <v>4401</v>
      </c>
      <c r="J102" t="s">
        <v>4459</v>
      </c>
      <c r="K102" t="s">
        <v>4460</v>
      </c>
      <c r="L102" t="s">
        <v>4404</v>
      </c>
      <c r="P102" t="s">
        <v>4340</v>
      </c>
      <c r="R102" t="s">
        <v>58</v>
      </c>
      <c r="S102">
        <v>4</v>
      </c>
      <c r="T102" t="s">
        <v>4416</v>
      </c>
      <c r="V102">
        <v>16384</v>
      </c>
      <c r="X102" t="s">
        <v>4406</v>
      </c>
      <c r="Y102" t="s">
        <v>4407</v>
      </c>
      <c r="Z102" t="s">
        <v>4408</v>
      </c>
      <c r="AA102" t="s">
        <v>4409</v>
      </c>
      <c r="AG102" t="s">
        <v>64</v>
      </c>
      <c r="AJ102" t="s">
        <v>4525</v>
      </c>
      <c r="AL102" t="s">
        <v>4411</v>
      </c>
      <c r="AN102" t="s">
        <v>4412</v>
      </c>
      <c r="AO102" t="s">
        <v>4413</v>
      </c>
      <c r="AQ102">
        <v>2</v>
      </c>
      <c r="AS102">
        <v>76800</v>
      </c>
      <c r="AX102" s="98" t="s">
        <v>757</v>
      </c>
      <c r="AY102">
        <f>MATCH(A102,VmSpecs[Original Hostname (CMO)],0)</f>
        <v>89</v>
      </c>
      <c r="AZ102" t="str" cm="1">
        <f t="array" ref="AZ102">INDEX(VmSpecs[VM Name],AY102)</f>
        <v>vmpfbpf2hmr10</v>
      </c>
      <c r="BA102" t="str">
        <f t="shared" si="1"/>
        <v>ehgpfaashmr10</v>
      </c>
      <c r="BB102" t="s">
        <v>4280</v>
      </c>
      <c r="BD102" t="str" cm="1">
        <f t="array" ref="BD102">INDEX(VmSpecs[Server Role],AY102)</f>
        <v>RLS N10</v>
      </c>
    </row>
    <row r="103" spans="1:56" hidden="1" x14ac:dyDescent="0.35">
      <c r="A103" t="s">
        <v>261</v>
      </c>
      <c r="B103" t="s">
        <v>4399</v>
      </c>
      <c r="C103" t="s">
        <v>63</v>
      </c>
      <c r="D103" t="s">
        <v>4400</v>
      </c>
      <c r="E103" t="s">
        <v>4401</v>
      </c>
      <c r="J103" t="s">
        <v>4459</v>
      </c>
      <c r="K103" t="s">
        <v>4518</v>
      </c>
      <c r="L103" t="s">
        <v>4404</v>
      </c>
      <c r="P103" t="s">
        <v>4340</v>
      </c>
      <c r="R103" t="s">
        <v>58</v>
      </c>
      <c r="S103">
        <v>4</v>
      </c>
      <c r="T103" t="s">
        <v>4416</v>
      </c>
      <c r="V103">
        <v>20480</v>
      </c>
      <c r="X103" t="s">
        <v>4406</v>
      </c>
      <c r="Y103" t="s">
        <v>4407</v>
      </c>
      <c r="Z103" t="s">
        <v>4408</v>
      </c>
      <c r="AA103" t="s">
        <v>4409</v>
      </c>
      <c r="AG103" t="s">
        <v>64</v>
      </c>
      <c r="AJ103" t="s">
        <v>4526</v>
      </c>
      <c r="AL103" t="s">
        <v>4411</v>
      </c>
      <c r="AN103" t="s">
        <v>4412</v>
      </c>
      <c r="AO103" t="s">
        <v>4413</v>
      </c>
      <c r="AQ103">
        <v>2</v>
      </c>
      <c r="AS103">
        <v>76800</v>
      </c>
      <c r="AX103" s="98" t="s">
        <v>801</v>
      </c>
      <c r="AY103">
        <f>MATCH(A103,VmSpecs[Original Hostname (CMO)],0)</f>
        <v>80</v>
      </c>
      <c r="AZ103" t="str" cm="1">
        <f t="array" ref="AZ103">INDEX(VmSpecs[VM Name],AY103)</f>
        <v>vmpfbpf2hmr01</v>
      </c>
      <c r="BA103" t="str">
        <f t="shared" si="1"/>
        <v>ehgpfaashmr01</v>
      </c>
      <c r="BB103" t="s">
        <v>4280</v>
      </c>
      <c r="BD103" t="str" cm="1">
        <f t="array" ref="BD103">INDEX(VmSpecs[Server Role],AY103)</f>
        <v>RLS N1</v>
      </c>
    </row>
    <row r="104" spans="1:56" hidden="1" x14ac:dyDescent="0.35">
      <c r="A104" t="s">
        <v>265</v>
      </c>
      <c r="B104" t="s">
        <v>4399</v>
      </c>
      <c r="C104" t="s">
        <v>63</v>
      </c>
      <c r="D104" t="s">
        <v>4400</v>
      </c>
      <c r="E104" t="s">
        <v>4401</v>
      </c>
      <c r="J104" t="s">
        <v>4459</v>
      </c>
      <c r="K104" t="s">
        <v>4518</v>
      </c>
      <c r="L104" t="s">
        <v>4404</v>
      </c>
      <c r="P104" t="s">
        <v>4340</v>
      </c>
      <c r="R104" t="s">
        <v>58</v>
      </c>
      <c r="S104">
        <v>4</v>
      </c>
      <c r="T104" t="s">
        <v>4416</v>
      </c>
      <c r="V104">
        <v>20480</v>
      </c>
      <c r="X104" t="s">
        <v>4406</v>
      </c>
      <c r="Y104" t="s">
        <v>4407</v>
      </c>
      <c r="Z104" t="s">
        <v>4408</v>
      </c>
      <c r="AA104" t="s">
        <v>4409</v>
      </c>
      <c r="AG104" t="s">
        <v>64</v>
      </c>
      <c r="AJ104" t="s">
        <v>4527</v>
      </c>
      <c r="AL104" t="s">
        <v>4411</v>
      </c>
      <c r="AN104" t="s">
        <v>4412</v>
      </c>
      <c r="AO104" t="s">
        <v>4413</v>
      </c>
      <c r="AQ104">
        <v>2</v>
      </c>
      <c r="AS104">
        <v>76800</v>
      </c>
      <c r="AX104" s="98" t="s">
        <v>801</v>
      </c>
      <c r="AY104">
        <f>MATCH(A104,VmSpecs[Original Hostname (CMO)],0)</f>
        <v>82</v>
      </c>
      <c r="AZ104" t="str" cm="1">
        <f t="array" ref="AZ104">INDEX(VmSpecs[VM Name],AY104)</f>
        <v>vmpfbpf2hmr03</v>
      </c>
      <c r="BA104" t="str">
        <f t="shared" si="1"/>
        <v>ehgpfaashmr03</v>
      </c>
      <c r="BB104" t="s">
        <v>4280</v>
      </c>
      <c r="BD104" t="str" cm="1">
        <f t="array" ref="BD104">INDEX(VmSpecs[Server Role],AY104)</f>
        <v>RLS N3</v>
      </c>
    </row>
    <row r="105" spans="1:56" hidden="1" x14ac:dyDescent="0.35">
      <c r="A105" t="s">
        <v>269</v>
      </c>
      <c r="B105" t="s">
        <v>4399</v>
      </c>
      <c r="C105" t="s">
        <v>63</v>
      </c>
      <c r="D105" t="s">
        <v>4400</v>
      </c>
      <c r="E105" t="s">
        <v>4401</v>
      </c>
      <c r="J105" t="s">
        <v>4459</v>
      </c>
      <c r="K105" t="s">
        <v>4518</v>
      </c>
      <c r="L105" t="s">
        <v>4404</v>
      </c>
      <c r="P105" t="s">
        <v>4340</v>
      </c>
      <c r="R105" t="s">
        <v>58</v>
      </c>
      <c r="S105">
        <v>4</v>
      </c>
      <c r="T105" t="s">
        <v>4416</v>
      </c>
      <c r="V105">
        <v>20480</v>
      </c>
      <c r="X105" t="s">
        <v>4406</v>
      </c>
      <c r="Y105" t="s">
        <v>4407</v>
      </c>
      <c r="Z105" t="s">
        <v>4408</v>
      </c>
      <c r="AA105" t="s">
        <v>4409</v>
      </c>
      <c r="AG105" t="s">
        <v>64</v>
      </c>
      <c r="AJ105" t="s">
        <v>4528</v>
      </c>
      <c r="AL105" t="s">
        <v>4411</v>
      </c>
      <c r="AN105" t="s">
        <v>4412</v>
      </c>
      <c r="AO105" t="s">
        <v>4413</v>
      </c>
      <c r="AQ105">
        <v>2</v>
      </c>
      <c r="AS105">
        <v>76800</v>
      </c>
      <c r="AX105" s="98" t="s">
        <v>801</v>
      </c>
      <c r="AY105">
        <f>MATCH(A105,VmSpecs[Original Hostname (CMO)],0)</f>
        <v>84</v>
      </c>
      <c r="AZ105" t="str" cm="1">
        <f t="array" ref="AZ105">INDEX(VmSpecs[VM Name],AY105)</f>
        <v>vmpfbpf2hmr05</v>
      </c>
      <c r="BA105" t="str">
        <f t="shared" si="1"/>
        <v>ehgpfaashmr05</v>
      </c>
      <c r="BB105" t="s">
        <v>4280</v>
      </c>
      <c r="BD105" t="str" cm="1">
        <f t="array" ref="BD105">INDEX(VmSpecs[Server Role],AY105)</f>
        <v>RLS N5</v>
      </c>
    </row>
    <row r="106" spans="1:56" hidden="1" x14ac:dyDescent="0.35">
      <c r="A106" t="s">
        <v>167</v>
      </c>
      <c r="B106" t="s">
        <v>4399</v>
      </c>
      <c r="C106" t="s">
        <v>63</v>
      </c>
      <c r="D106" t="s">
        <v>4400</v>
      </c>
      <c r="E106" t="s">
        <v>4401</v>
      </c>
      <c r="J106" t="s">
        <v>4077</v>
      </c>
      <c r="K106" t="s">
        <v>4443</v>
      </c>
      <c r="L106" t="s">
        <v>4404</v>
      </c>
      <c r="P106" t="s">
        <v>4340</v>
      </c>
      <c r="R106" t="s">
        <v>58</v>
      </c>
      <c r="S106">
        <v>8</v>
      </c>
      <c r="V106">
        <v>24576</v>
      </c>
      <c r="AG106" t="s">
        <v>64</v>
      </c>
      <c r="AJ106" t="s">
        <v>4529</v>
      </c>
      <c r="AL106" t="s">
        <v>4411</v>
      </c>
      <c r="AN106" t="s">
        <v>4412</v>
      </c>
      <c r="AQ106">
        <v>2</v>
      </c>
      <c r="AX106" s="98" t="s">
        <v>801</v>
      </c>
      <c r="AY106">
        <f>MATCH(A106,VmSpecs[Original Hostname (CMO)],0)</f>
        <v>40</v>
      </c>
      <c r="AZ106" t="str" cm="1">
        <f t="array" ref="AZ106">INDEX(VmSpecs[VM Name],AY106)</f>
        <v>vmpfbpf2dcx21</v>
      </c>
      <c r="BA106" t="str">
        <f t="shared" si="1"/>
        <v>ehgpfaasdcx21</v>
      </c>
      <c r="BB106" t="s">
        <v>4280</v>
      </c>
      <c r="BD106" t="str" cm="1">
        <f t="array" ref="BD106">INDEX(VmSpecs[Server Role],AY106)</f>
        <v>OSB DCX Domain N21</v>
      </c>
    </row>
    <row r="107" spans="1:56" hidden="1" x14ac:dyDescent="0.35">
      <c r="A107" t="s">
        <v>170</v>
      </c>
      <c r="B107" t="s">
        <v>4399</v>
      </c>
      <c r="C107" t="s">
        <v>63</v>
      </c>
      <c r="D107" t="s">
        <v>4400</v>
      </c>
      <c r="E107" t="s">
        <v>4401</v>
      </c>
      <c r="J107" t="s">
        <v>4077</v>
      </c>
      <c r="K107" t="s">
        <v>4443</v>
      </c>
      <c r="L107" t="s">
        <v>4404</v>
      </c>
      <c r="P107" t="s">
        <v>4340</v>
      </c>
      <c r="R107" t="s">
        <v>58</v>
      </c>
      <c r="S107">
        <v>8</v>
      </c>
      <c r="V107">
        <v>24576</v>
      </c>
      <c r="AG107" t="s">
        <v>64</v>
      </c>
      <c r="AJ107" t="s">
        <v>4530</v>
      </c>
      <c r="AL107" t="s">
        <v>4411</v>
      </c>
      <c r="AN107" t="s">
        <v>4412</v>
      </c>
      <c r="AQ107">
        <v>2</v>
      </c>
      <c r="AX107" s="98" t="s">
        <v>801</v>
      </c>
      <c r="AY107">
        <f>MATCH(A107,VmSpecs[Original Hostname (CMO)],0)</f>
        <v>41</v>
      </c>
      <c r="AZ107" t="str" cm="1">
        <f t="array" ref="AZ107">INDEX(VmSpecs[VM Name],AY107)</f>
        <v>vmpfbpf2dcx22</v>
      </c>
      <c r="BA107" t="str">
        <f t="shared" si="1"/>
        <v>ehgpfaasdcx22</v>
      </c>
      <c r="BB107" t="s">
        <v>4280</v>
      </c>
      <c r="BD107" t="str" cm="1">
        <f t="array" ref="BD107">INDEX(VmSpecs[Server Role],AY107)</f>
        <v>OSB DCX Domain N22</v>
      </c>
    </row>
    <row r="108" spans="1:56" hidden="1" x14ac:dyDescent="0.35">
      <c r="A108" t="s">
        <v>559</v>
      </c>
      <c r="B108" t="s">
        <v>4399</v>
      </c>
      <c r="C108" t="s">
        <v>521</v>
      </c>
      <c r="D108" t="s">
        <v>4531</v>
      </c>
      <c r="E108" t="s">
        <v>522</v>
      </c>
      <c r="J108" t="s">
        <v>4532</v>
      </c>
      <c r="K108" t="s">
        <v>4533</v>
      </c>
      <c r="L108" t="s">
        <v>4404</v>
      </c>
      <c r="P108" t="s">
        <v>4340</v>
      </c>
      <c r="R108" t="s">
        <v>58</v>
      </c>
      <c r="S108">
        <v>4</v>
      </c>
      <c r="T108" t="s">
        <v>4405</v>
      </c>
      <c r="V108">
        <v>4096</v>
      </c>
      <c r="X108" t="s">
        <v>4406</v>
      </c>
      <c r="Y108" t="s">
        <v>4534</v>
      </c>
      <c r="Z108" t="s">
        <v>4535</v>
      </c>
      <c r="AA108" t="s">
        <v>4420</v>
      </c>
      <c r="AJ108" t="s">
        <v>4536</v>
      </c>
      <c r="AL108" t="s">
        <v>4411</v>
      </c>
      <c r="AN108" t="s">
        <v>4412</v>
      </c>
      <c r="AO108" t="s">
        <v>4413</v>
      </c>
      <c r="AQ108" t="s">
        <v>4537</v>
      </c>
      <c r="AS108">
        <v>81920</v>
      </c>
      <c r="AX108" s="98" t="s">
        <v>1067</v>
      </c>
      <c r="AY108">
        <f>MATCH(A108,VmSpecs[Original Hostname (CMO)],0)</f>
        <v>225</v>
      </c>
      <c r="AZ108" t="str" cm="1">
        <f t="array" ref="AZ108">INDEX(VmSpecs[VM Name],AY108)</f>
        <v>vmpfbpf2inj19</v>
      </c>
      <c r="BA108" t="str">
        <f t="shared" si="1"/>
        <v>ehgpfawsinj96</v>
      </c>
      <c r="BB108" t="s">
        <v>4280</v>
      </c>
      <c r="BD108" t="str" cm="1">
        <f t="array" ref="BD108">INDEX(VmSpecs[Server Role],AY108)</f>
        <v>PerfTest 19</v>
      </c>
    </row>
    <row r="109" spans="1:56" hidden="1" x14ac:dyDescent="0.35">
      <c r="A109" t="s">
        <v>561</v>
      </c>
      <c r="B109" t="s">
        <v>4399</v>
      </c>
      <c r="C109" t="s">
        <v>521</v>
      </c>
      <c r="D109" t="s">
        <v>4531</v>
      </c>
      <c r="E109" t="s">
        <v>522</v>
      </c>
      <c r="J109" t="s">
        <v>4532</v>
      </c>
      <c r="K109" t="s">
        <v>4533</v>
      </c>
      <c r="L109" t="s">
        <v>4404</v>
      </c>
      <c r="P109" t="s">
        <v>4340</v>
      </c>
      <c r="R109" t="s">
        <v>58</v>
      </c>
      <c r="S109">
        <v>4</v>
      </c>
      <c r="T109" t="s">
        <v>4405</v>
      </c>
      <c r="V109">
        <v>4096</v>
      </c>
      <c r="X109" t="s">
        <v>4406</v>
      </c>
      <c r="Y109" t="s">
        <v>4534</v>
      </c>
      <c r="Z109" t="s">
        <v>4535</v>
      </c>
      <c r="AA109" t="s">
        <v>4420</v>
      </c>
      <c r="AJ109" t="s">
        <v>4538</v>
      </c>
      <c r="AL109" t="s">
        <v>4411</v>
      </c>
      <c r="AN109" t="s">
        <v>4412</v>
      </c>
      <c r="AO109" t="s">
        <v>4413</v>
      </c>
      <c r="AQ109" t="s">
        <v>4537</v>
      </c>
      <c r="AS109">
        <v>81920</v>
      </c>
      <c r="AX109" s="98" t="s">
        <v>1067</v>
      </c>
      <c r="AY109">
        <f>MATCH(A109,VmSpecs[Original Hostname (CMO)],0)</f>
        <v>226</v>
      </c>
      <c r="AZ109" t="str" cm="1">
        <f t="array" ref="AZ109">INDEX(VmSpecs[VM Name],AY109)</f>
        <v>vmpfbpf2inj20</v>
      </c>
      <c r="BA109" t="str">
        <f t="shared" si="1"/>
        <v>ehgpfawsinj97</v>
      </c>
      <c r="BB109" t="s">
        <v>4280</v>
      </c>
      <c r="BD109" t="str" cm="1">
        <f t="array" ref="BD109">INDEX(VmSpecs[Server Role],AY109)</f>
        <v>PerfTest 20</v>
      </c>
    </row>
    <row r="110" spans="1:56" hidden="1" x14ac:dyDescent="0.35">
      <c r="A110" t="s">
        <v>563</v>
      </c>
      <c r="B110" t="s">
        <v>4399</v>
      </c>
      <c r="C110" t="s">
        <v>521</v>
      </c>
      <c r="D110" t="s">
        <v>4531</v>
      </c>
      <c r="E110" t="s">
        <v>522</v>
      </c>
      <c r="J110" t="s">
        <v>4532</v>
      </c>
      <c r="K110" t="s">
        <v>4533</v>
      </c>
      <c r="L110" t="s">
        <v>4404</v>
      </c>
      <c r="P110" t="s">
        <v>4340</v>
      </c>
      <c r="R110" t="s">
        <v>58</v>
      </c>
      <c r="S110">
        <v>4</v>
      </c>
      <c r="T110" t="s">
        <v>4405</v>
      </c>
      <c r="V110">
        <v>4096</v>
      </c>
      <c r="X110" t="s">
        <v>4406</v>
      </c>
      <c r="Y110" t="s">
        <v>4534</v>
      </c>
      <c r="Z110" t="s">
        <v>4535</v>
      </c>
      <c r="AA110" t="s">
        <v>4420</v>
      </c>
      <c r="AJ110" t="s">
        <v>4539</v>
      </c>
      <c r="AL110" t="s">
        <v>4411</v>
      </c>
      <c r="AN110" t="s">
        <v>4412</v>
      </c>
      <c r="AO110" t="s">
        <v>4413</v>
      </c>
      <c r="AQ110" t="s">
        <v>4537</v>
      </c>
      <c r="AS110">
        <v>81920</v>
      </c>
      <c r="AX110" s="98" t="s">
        <v>1067</v>
      </c>
      <c r="AY110">
        <f>MATCH(A110,VmSpecs[Original Hostname (CMO)],0)</f>
        <v>227</v>
      </c>
      <c r="AZ110" t="str" cm="1">
        <f t="array" ref="AZ110">INDEX(VmSpecs[VM Name],AY110)</f>
        <v>vmpfbpf2inj21</v>
      </c>
      <c r="BA110" t="str">
        <f t="shared" si="1"/>
        <v>ehgpfawsinj98</v>
      </c>
      <c r="BB110" t="s">
        <v>4280</v>
      </c>
      <c r="BD110" t="str" cm="1">
        <f t="array" ref="BD110">INDEX(VmSpecs[Server Role],AY110)</f>
        <v>PerfTest 21</v>
      </c>
    </row>
    <row r="111" spans="1:56" hidden="1" x14ac:dyDescent="0.35">
      <c r="A111" t="s">
        <v>525</v>
      </c>
      <c r="B111" t="s">
        <v>4399</v>
      </c>
      <c r="C111" t="s">
        <v>521</v>
      </c>
      <c r="D111" t="s">
        <v>4531</v>
      </c>
      <c r="E111" t="s">
        <v>522</v>
      </c>
      <c r="J111" t="s">
        <v>4532</v>
      </c>
      <c r="K111" t="s">
        <v>4533</v>
      </c>
      <c r="L111" t="s">
        <v>4404</v>
      </c>
      <c r="P111" t="s">
        <v>4340</v>
      </c>
      <c r="R111" t="s">
        <v>58</v>
      </c>
      <c r="S111">
        <v>4</v>
      </c>
      <c r="T111" t="s">
        <v>4405</v>
      </c>
      <c r="V111">
        <v>8192</v>
      </c>
      <c r="X111" t="s">
        <v>4406</v>
      </c>
      <c r="Y111" t="s">
        <v>4534</v>
      </c>
      <c r="Z111" t="s">
        <v>4535</v>
      </c>
      <c r="AA111" t="s">
        <v>4420</v>
      </c>
      <c r="AJ111" t="s">
        <v>4540</v>
      </c>
      <c r="AL111" t="s">
        <v>4411</v>
      </c>
      <c r="AN111" t="s">
        <v>4412</v>
      </c>
      <c r="AO111" t="s">
        <v>4413</v>
      </c>
      <c r="AQ111" t="s">
        <v>4537</v>
      </c>
      <c r="AS111">
        <v>81920</v>
      </c>
      <c r="AX111" s="98" t="s">
        <v>1067</v>
      </c>
      <c r="AY111">
        <f>MATCH(A111,VmSpecs[Original Hostname (CMO)],0)</f>
        <v>208</v>
      </c>
      <c r="AZ111" t="str" cm="1">
        <f t="array" ref="AZ111">INDEX(VmSpecs[VM Name],AY111)</f>
        <v>vmpfbpf2inj02</v>
      </c>
      <c r="BA111" t="str">
        <f t="shared" si="1"/>
        <v>ehgpfawsinj100</v>
      </c>
      <c r="BB111" t="s">
        <v>4280</v>
      </c>
      <c r="BD111" t="str" cm="1">
        <f t="array" ref="BD111">INDEX(VmSpecs[Server Role],AY111)</f>
        <v>PerfTest 02</v>
      </c>
    </row>
    <row r="112" spans="1:56" hidden="1" x14ac:dyDescent="0.35">
      <c r="A112" t="s">
        <v>527</v>
      </c>
      <c r="B112" t="s">
        <v>4399</v>
      </c>
      <c r="C112" t="s">
        <v>521</v>
      </c>
      <c r="D112" t="s">
        <v>4531</v>
      </c>
      <c r="E112" t="s">
        <v>522</v>
      </c>
      <c r="J112" t="s">
        <v>4532</v>
      </c>
      <c r="K112" t="s">
        <v>4533</v>
      </c>
      <c r="L112" t="s">
        <v>4404</v>
      </c>
      <c r="P112" t="s">
        <v>4340</v>
      </c>
      <c r="R112" t="s">
        <v>58</v>
      </c>
      <c r="S112">
        <v>4</v>
      </c>
      <c r="T112" t="s">
        <v>4405</v>
      </c>
      <c r="V112">
        <v>8192</v>
      </c>
      <c r="X112" t="s">
        <v>4406</v>
      </c>
      <c r="Y112" t="s">
        <v>4534</v>
      </c>
      <c r="Z112" t="s">
        <v>4535</v>
      </c>
      <c r="AA112" t="s">
        <v>4420</v>
      </c>
      <c r="AJ112" t="s">
        <v>4541</v>
      </c>
      <c r="AL112" t="s">
        <v>4411</v>
      </c>
      <c r="AN112" t="s">
        <v>4412</v>
      </c>
      <c r="AO112" t="s">
        <v>4413</v>
      </c>
      <c r="AQ112" t="s">
        <v>4537</v>
      </c>
      <c r="AS112">
        <v>81920</v>
      </c>
      <c r="AX112" s="98" t="s">
        <v>1067</v>
      </c>
      <c r="AY112">
        <f>MATCH(A112,VmSpecs[Original Hostname (CMO)],0)</f>
        <v>209</v>
      </c>
      <c r="AZ112" t="str" cm="1">
        <f t="array" ref="AZ112">INDEX(VmSpecs[VM Name],AY112)</f>
        <v>vmpfbpf2inj03</v>
      </c>
      <c r="BA112" t="str">
        <f t="shared" si="1"/>
        <v>ehgpfawsinj101</v>
      </c>
      <c r="BB112" t="s">
        <v>4280</v>
      </c>
      <c r="BD112" t="str" cm="1">
        <f t="array" ref="BD112">INDEX(VmSpecs[Server Role],AY112)</f>
        <v>PerfTest 03</v>
      </c>
    </row>
    <row r="113" spans="1:56" hidden="1" x14ac:dyDescent="0.35">
      <c r="A113" t="s">
        <v>529</v>
      </c>
      <c r="B113" t="s">
        <v>4399</v>
      </c>
      <c r="C113" t="s">
        <v>521</v>
      </c>
      <c r="D113" t="s">
        <v>4531</v>
      </c>
      <c r="E113" t="s">
        <v>522</v>
      </c>
      <c r="J113" t="s">
        <v>4532</v>
      </c>
      <c r="K113" t="s">
        <v>4533</v>
      </c>
      <c r="L113" t="s">
        <v>4404</v>
      </c>
      <c r="P113" t="s">
        <v>4340</v>
      </c>
      <c r="R113" t="s">
        <v>58</v>
      </c>
      <c r="S113">
        <v>4</v>
      </c>
      <c r="T113" t="s">
        <v>4405</v>
      </c>
      <c r="V113">
        <v>8192</v>
      </c>
      <c r="X113" t="s">
        <v>4406</v>
      </c>
      <c r="Y113" t="s">
        <v>4534</v>
      </c>
      <c r="Z113" t="s">
        <v>4535</v>
      </c>
      <c r="AA113" t="s">
        <v>4420</v>
      </c>
      <c r="AJ113" t="s">
        <v>4542</v>
      </c>
      <c r="AL113" t="s">
        <v>4411</v>
      </c>
      <c r="AN113" t="s">
        <v>4412</v>
      </c>
      <c r="AO113" t="s">
        <v>4413</v>
      </c>
      <c r="AQ113" t="s">
        <v>4537</v>
      </c>
      <c r="AS113">
        <v>81920</v>
      </c>
      <c r="AX113" s="98" t="s">
        <v>1067</v>
      </c>
      <c r="AY113">
        <f>MATCH(A113,VmSpecs[Original Hostname (CMO)],0)</f>
        <v>210</v>
      </c>
      <c r="AZ113" t="str" cm="1">
        <f t="array" ref="AZ113">INDEX(VmSpecs[VM Name],AY113)</f>
        <v>vmpfbpf2inj04</v>
      </c>
      <c r="BA113" t="str">
        <f t="shared" si="1"/>
        <v>ehgpfawsinj102</v>
      </c>
      <c r="BB113" t="s">
        <v>4280</v>
      </c>
      <c r="BD113" t="str" cm="1">
        <f t="array" ref="BD113">INDEX(VmSpecs[Server Role],AY113)</f>
        <v>PerfTest 04</v>
      </c>
    </row>
    <row r="114" spans="1:56" hidden="1" x14ac:dyDescent="0.35">
      <c r="A114" t="s">
        <v>531</v>
      </c>
      <c r="B114" t="s">
        <v>4399</v>
      </c>
      <c r="C114" t="s">
        <v>521</v>
      </c>
      <c r="D114" t="s">
        <v>4531</v>
      </c>
      <c r="E114" t="s">
        <v>522</v>
      </c>
      <c r="J114" t="s">
        <v>4532</v>
      </c>
      <c r="K114" t="s">
        <v>4533</v>
      </c>
      <c r="L114" t="s">
        <v>4404</v>
      </c>
      <c r="P114" t="s">
        <v>4340</v>
      </c>
      <c r="R114" t="s">
        <v>58</v>
      </c>
      <c r="S114">
        <v>4</v>
      </c>
      <c r="T114" t="s">
        <v>4405</v>
      </c>
      <c r="V114">
        <v>8192</v>
      </c>
      <c r="X114" t="s">
        <v>4406</v>
      </c>
      <c r="Y114" t="s">
        <v>4534</v>
      </c>
      <c r="Z114" t="s">
        <v>4535</v>
      </c>
      <c r="AA114" t="s">
        <v>4420</v>
      </c>
      <c r="AJ114" t="s">
        <v>4543</v>
      </c>
      <c r="AL114" t="s">
        <v>4411</v>
      </c>
      <c r="AN114" t="s">
        <v>4412</v>
      </c>
      <c r="AO114" t="s">
        <v>4413</v>
      </c>
      <c r="AQ114" t="s">
        <v>4537</v>
      </c>
      <c r="AS114">
        <v>81920</v>
      </c>
      <c r="AX114" s="98" t="s">
        <v>1067</v>
      </c>
      <c r="AY114">
        <f>MATCH(A114,VmSpecs[Original Hostname (CMO)],0)</f>
        <v>211</v>
      </c>
      <c r="AZ114" t="str" cm="1">
        <f t="array" ref="AZ114">INDEX(VmSpecs[VM Name],AY114)</f>
        <v>vmpfbpf2inj05</v>
      </c>
      <c r="BA114" t="str">
        <f t="shared" si="1"/>
        <v>ehgpfawsinj103</v>
      </c>
      <c r="BB114" t="s">
        <v>4280</v>
      </c>
      <c r="BD114" t="str" cm="1">
        <f t="array" ref="BD114">INDEX(VmSpecs[Server Role],AY114)</f>
        <v>PerfTest 05</v>
      </c>
    </row>
    <row r="115" spans="1:56" hidden="1" x14ac:dyDescent="0.35">
      <c r="A115" t="s">
        <v>533</v>
      </c>
      <c r="B115" t="s">
        <v>4399</v>
      </c>
      <c r="C115" t="s">
        <v>521</v>
      </c>
      <c r="D115" t="s">
        <v>4531</v>
      </c>
      <c r="E115" t="s">
        <v>522</v>
      </c>
      <c r="J115" t="s">
        <v>4532</v>
      </c>
      <c r="K115" t="s">
        <v>4533</v>
      </c>
      <c r="L115" t="s">
        <v>4404</v>
      </c>
      <c r="P115" t="s">
        <v>4340</v>
      </c>
      <c r="R115" t="s">
        <v>58</v>
      </c>
      <c r="S115">
        <v>4</v>
      </c>
      <c r="T115" t="s">
        <v>4405</v>
      </c>
      <c r="V115">
        <v>8192</v>
      </c>
      <c r="X115" t="s">
        <v>4406</v>
      </c>
      <c r="Y115" t="s">
        <v>4534</v>
      </c>
      <c r="Z115" t="s">
        <v>4535</v>
      </c>
      <c r="AA115" t="s">
        <v>4420</v>
      </c>
      <c r="AJ115" t="s">
        <v>4544</v>
      </c>
      <c r="AL115" t="s">
        <v>4411</v>
      </c>
      <c r="AN115" t="s">
        <v>4412</v>
      </c>
      <c r="AO115" t="s">
        <v>4413</v>
      </c>
      <c r="AQ115" t="s">
        <v>4537</v>
      </c>
      <c r="AS115">
        <v>81920</v>
      </c>
      <c r="AX115" s="98" t="s">
        <v>1067</v>
      </c>
      <c r="AY115">
        <f>MATCH(A115,VmSpecs[Original Hostname (CMO)],0)</f>
        <v>212</v>
      </c>
      <c r="AZ115" t="str" cm="1">
        <f t="array" ref="AZ115">INDEX(VmSpecs[VM Name],AY115)</f>
        <v>vmpfbpf2inj06</v>
      </c>
      <c r="BA115" t="str">
        <f t="shared" si="1"/>
        <v>ehgpfawsinj104</v>
      </c>
      <c r="BB115" t="s">
        <v>4280</v>
      </c>
      <c r="BD115" t="str" cm="1">
        <f t="array" ref="BD115">INDEX(VmSpecs[Server Role],AY115)</f>
        <v>PerfTest 06</v>
      </c>
    </row>
    <row r="116" spans="1:56" hidden="1" x14ac:dyDescent="0.35">
      <c r="A116" t="s">
        <v>535</v>
      </c>
      <c r="B116" t="s">
        <v>4399</v>
      </c>
      <c r="C116" t="s">
        <v>521</v>
      </c>
      <c r="D116" t="s">
        <v>4531</v>
      </c>
      <c r="E116" t="s">
        <v>522</v>
      </c>
      <c r="J116" t="s">
        <v>4532</v>
      </c>
      <c r="K116" t="s">
        <v>4533</v>
      </c>
      <c r="L116" t="s">
        <v>4404</v>
      </c>
      <c r="P116" t="s">
        <v>4340</v>
      </c>
      <c r="R116" t="s">
        <v>58</v>
      </c>
      <c r="S116">
        <v>4</v>
      </c>
      <c r="T116" t="s">
        <v>4405</v>
      </c>
      <c r="V116">
        <v>8192</v>
      </c>
      <c r="X116" t="s">
        <v>4406</v>
      </c>
      <c r="Y116" t="s">
        <v>4534</v>
      </c>
      <c r="Z116" t="s">
        <v>4535</v>
      </c>
      <c r="AA116" t="s">
        <v>4420</v>
      </c>
      <c r="AJ116" t="s">
        <v>4545</v>
      </c>
      <c r="AL116" t="s">
        <v>4411</v>
      </c>
      <c r="AN116" t="s">
        <v>4412</v>
      </c>
      <c r="AO116" t="s">
        <v>4413</v>
      </c>
      <c r="AQ116" t="s">
        <v>4537</v>
      </c>
      <c r="AS116">
        <v>81920</v>
      </c>
      <c r="AX116" s="98" t="s">
        <v>1067</v>
      </c>
      <c r="AY116">
        <f>MATCH(A116,VmSpecs[Original Hostname (CMO)],0)</f>
        <v>213</v>
      </c>
      <c r="AZ116" t="str" cm="1">
        <f t="array" ref="AZ116">INDEX(VmSpecs[VM Name],AY116)</f>
        <v>vmpfbpf2inj07</v>
      </c>
      <c r="BA116" t="str">
        <f t="shared" si="1"/>
        <v>ehgpfawsinj105</v>
      </c>
      <c r="BB116" t="s">
        <v>4280</v>
      </c>
      <c r="BD116" t="str" cm="1">
        <f t="array" ref="BD116">INDEX(VmSpecs[Server Role],AY116)</f>
        <v>PerfTest 07</v>
      </c>
    </row>
    <row r="117" spans="1:56" hidden="1" x14ac:dyDescent="0.35">
      <c r="A117" t="s">
        <v>537</v>
      </c>
      <c r="B117" t="s">
        <v>4399</v>
      </c>
      <c r="C117" t="s">
        <v>521</v>
      </c>
      <c r="D117" t="s">
        <v>4531</v>
      </c>
      <c r="E117" t="s">
        <v>522</v>
      </c>
      <c r="J117" t="s">
        <v>4532</v>
      </c>
      <c r="K117" t="s">
        <v>4533</v>
      </c>
      <c r="L117" t="s">
        <v>4404</v>
      </c>
      <c r="P117" t="s">
        <v>4340</v>
      </c>
      <c r="R117" t="s">
        <v>58</v>
      </c>
      <c r="S117">
        <v>4</v>
      </c>
      <c r="T117" t="s">
        <v>4405</v>
      </c>
      <c r="V117">
        <v>8192</v>
      </c>
      <c r="X117" t="s">
        <v>4406</v>
      </c>
      <c r="Y117" t="s">
        <v>4534</v>
      </c>
      <c r="Z117" t="s">
        <v>4535</v>
      </c>
      <c r="AA117" t="s">
        <v>4420</v>
      </c>
      <c r="AJ117" t="s">
        <v>4546</v>
      </c>
      <c r="AL117" t="s">
        <v>4411</v>
      </c>
      <c r="AN117" t="s">
        <v>4412</v>
      </c>
      <c r="AO117" t="s">
        <v>4413</v>
      </c>
      <c r="AQ117" t="s">
        <v>4537</v>
      </c>
      <c r="AS117">
        <v>81920</v>
      </c>
      <c r="AX117" s="98" t="s">
        <v>1067</v>
      </c>
      <c r="AY117">
        <f>MATCH(A117,VmSpecs[Original Hostname (CMO)],0)</f>
        <v>214</v>
      </c>
      <c r="AZ117" t="str" cm="1">
        <f t="array" ref="AZ117">INDEX(VmSpecs[VM Name],AY117)</f>
        <v>vmpfbpf2inj08</v>
      </c>
      <c r="BA117" t="str">
        <f t="shared" si="1"/>
        <v>ehgpfawsinj106</v>
      </c>
      <c r="BB117" t="s">
        <v>4280</v>
      </c>
      <c r="BD117" t="str" cm="1">
        <f t="array" ref="BD117">INDEX(VmSpecs[Server Role],AY117)</f>
        <v>PerfTest 08</v>
      </c>
    </row>
    <row r="118" spans="1:56" hidden="1" x14ac:dyDescent="0.35">
      <c r="A118" t="s">
        <v>565</v>
      </c>
      <c r="B118" t="s">
        <v>4399</v>
      </c>
      <c r="C118" t="s">
        <v>521</v>
      </c>
      <c r="D118" t="s">
        <v>4531</v>
      </c>
      <c r="E118" t="s">
        <v>522</v>
      </c>
      <c r="J118" t="s">
        <v>4532</v>
      </c>
      <c r="K118" t="s">
        <v>4533</v>
      </c>
      <c r="L118" t="s">
        <v>4404</v>
      </c>
      <c r="P118" t="s">
        <v>4340</v>
      </c>
      <c r="R118" t="s">
        <v>58</v>
      </c>
      <c r="S118">
        <v>4</v>
      </c>
      <c r="T118" t="s">
        <v>4405</v>
      </c>
      <c r="V118">
        <v>8192</v>
      </c>
      <c r="X118" t="s">
        <v>4406</v>
      </c>
      <c r="Y118" t="s">
        <v>4534</v>
      </c>
      <c r="Z118" t="s">
        <v>4535</v>
      </c>
      <c r="AA118" t="s">
        <v>4420</v>
      </c>
      <c r="AJ118" t="s">
        <v>4547</v>
      </c>
      <c r="AL118" t="s">
        <v>4411</v>
      </c>
      <c r="AN118" t="s">
        <v>4412</v>
      </c>
      <c r="AO118" t="s">
        <v>4413</v>
      </c>
      <c r="AQ118" t="s">
        <v>4537</v>
      </c>
      <c r="AS118">
        <v>81920</v>
      </c>
      <c r="AX118" s="98" t="s">
        <v>1067</v>
      </c>
      <c r="AY118">
        <f>MATCH(A118,VmSpecs[Original Hostname (CMO)],0)</f>
        <v>228</v>
      </c>
      <c r="AZ118" t="str" cm="1">
        <f t="array" ref="AZ118">INDEX(VmSpecs[VM Name],AY118)</f>
        <v>vmpfbpf2inj22</v>
      </c>
      <c r="BA118" t="str">
        <f t="shared" si="1"/>
        <v>ehgpfawsinj99</v>
      </c>
      <c r="BB118" t="s">
        <v>4280</v>
      </c>
      <c r="BD118" t="str" cm="1">
        <f t="array" ref="BD118">INDEX(VmSpecs[Server Role],AY118)</f>
        <v>PerfTest 22</v>
      </c>
    </row>
    <row r="119" spans="1:56" hidden="1" x14ac:dyDescent="0.35">
      <c r="A119" t="s">
        <v>551</v>
      </c>
      <c r="B119" t="s">
        <v>4399</v>
      </c>
      <c r="C119" t="s">
        <v>521</v>
      </c>
      <c r="D119" t="s">
        <v>4531</v>
      </c>
      <c r="E119" t="s">
        <v>522</v>
      </c>
      <c r="J119" t="s">
        <v>4532</v>
      </c>
      <c r="K119" t="s">
        <v>4533</v>
      </c>
      <c r="L119" t="s">
        <v>4404</v>
      </c>
      <c r="P119" t="s">
        <v>4340</v>
      </c>
      <c r="R119" t="s">
        <v>58</v>
      </c>
      <c r="S119">
        <v>4</v>
      </c>
      <c r="T119" t="s">
        <v>4405</v>
      </c>
      <c r="V119">
        <v>16384</v>
      </c>
      <c r="X119" t="s">
        <v>4406</v>
      </c>
      <c r="Y119" t="s">
        <v>4534</v>
      </c>
      <c r="Z119" t="s">
        <v>4535</v>
      </c>
      <c r="AA119" t="s">
        <v>4420</v>
      </c>
      <c r="AJ119" t="s">
        <v>4548</v>
      </c>
      <c r="AL119" t="s">
        <v>4411</v>
      </c>
      <c r="AN119" t="s">
        <v>4412</v>
      </c>
      <c r="AO119" t="s">
        <v>4413</v>
      </c>
      <c r="AQ119" t="s">
        <v>4537</v>
      </c>
      <c r="AS119">
        <v>81920</v>
      </c>
      <c r="AX119" s="98" t="s">
        <v>757</v>
      </c>
      <c r="AY119">
        <f>MATCH(A119,VmSpecs[Original Hostname (CMO)],0)</f>
        <v>221</v>
      </c>
      <c r="AZ119" t="str" cm="1">
        <f t="array" ref="AZ119">INDEX(VmSpecs[VM Name],AY119)</f>
        <v>vmpfbpf2inj15</v>
      </c>
      <c r="BA119" t="str">
        <f t="shared" si="1"/>
        <v>ehgpfawsinj92</v>
      </c>
      <c r="BB119" t="s">
        <v>4280</v>
      </c>
      <c r="BD119" t="str" cm="1">
        <f t="array" ref="BD119">INDEX(VmSpecs[Server Role],AY119)</f>
        <v>PerfTest 15</v>
      </c>
    </row>
    <row r="120" spans="1:56" hidden="1" x14ac:dyDescent="0.35">
      <c r="A120" t="s">
        <v>553</v>
      </c>
      <c r="B120" t="s">
        <v>4399</v>
      </c>
      <c r="C120" t="s">
        <v>521</v>
      </c>
      <c r="D120" t="s">
        <v>4531</v>
      </c>
      <c r="E120" t="s">
        <v>522</v>
      </c>
      <c r="J120" t="s">
        <v>4532</v>
      </c>
      <c r="K120" t="s">
        <v>4533</v>
      </c>
      <c r="L120" t="s">
        <v>4404</v>
      </c>
      <c r="P120" t="s">
        <v>4340</v>
      </c>
      <c r="R120" t="s">
        <v>58</v>
      </c>
      <c r="S120">
        <v>4</v>
      </c>
      <c r="T120" t="s">
        <v>4405</v>
      </c>
      <c r="V120">
        <v>16384</v>
      </c>
      <c r="X120" t="s">
        <v>4406</v>
      </c>
      <c r="Y120" t="s">
        <v>4534</v>
      </c>
      <c r="Z120" t="s">
        <v>4535</v>
      </c>
      <c r="AA120" t="s">
        <v>4420</v>
      </c>
      <c r="AJ120" t="s">
        <v>4549</v>
      </c>
      <c r="AL120" t="s">
        <v>4411</v>
      </c>
      <c r="AN120" t="s">
        <v>4412</v>
      </c>
      <c r="AO120" t="s">
        <v>4413</v>
      </c>
      <c r="AQ120" t="s">
        <v>4537</v>
      </c>
      <c r="AS120">
        <v>81920</v>
      </c>
      <c r="AX120" s="98" t="s">
        <v>757</v>
      </c>
      <c r="AY120">
        <f>MATCH(A120,VmSpecs[Original Hostname (CMO)],0)</f>
        <v>222</v>
      </c>
      <c r="AZ120" t="str" cm="1">
        <f t="array" ref="AZ120">INDEX(VmSpecs[VM Name],AY120)</f>
        <v>vmpfbpf2inj16</v>
      </c>
      <c r="BA120" t="str">
        <f t="shared" si="1"/>
        <v>ehgpfawsinj93</v>
      </c>
      <c r="BB120" t="s">
        <v>4280</v>
      </c>
      <c r="BD120" t="str" cm="1">
        <f t="array" ref="BD120">INDEX(VmSpecs[Server Role],AY120)</f>
        <v>PerfTest 16</v>
      </c>
    </row>
    <row r="121" spans="1:56" hidden="1" x14ac:dyDescent="0.35">
      <c r="A121" t="s">
        <v>555</v>
      </c>
      <c r="B121" t="s">
        <v>4399</v>
      </c>
      <c r="C121" t="s">
        <v>521</v>
      </c>
      <c r="D121" t="s">
        <v>4531</v>
      </c>
      <c r="E121" t="s">
        <v>522</v>
      </c>
      <c r="J121" t="s">
        <v>4532</v>
      </c>
      <c r="K121" t="s">
        <v>4533</v>
      </c>
      <c r="L121" t="s">
        <v>4404</v>
      </c>
      <c r="P121" t="s">
        <v>4340</v>
      </c>
      <c r="R121" t="s">
        <v>58</v>
      </c>
      <c r="S121">
        <v>4</v>
      </c>
      <c r="T121" t="s">
        <v>4405</v>
      </c>
      <c r="V121">
        <v>16384</v>
      </c>
      <c r="X121" t="s">
        <v>4406</v>
      </c>
      <c r="Y121" t="s">
        <v>4534</v>
      </c>
      <c r="Z121" t="s">
        <v>4535</v>
      </c>
      <c r="AA121" t="s">
        <v>4420</v>
      </c>
      <c r="AJ121" t="s">
        <v>4550</v>
      </c>
      <c r="AL121" t="s">
        <v>4411</v>
      </c>
      <c r="AN121" t="s">
        <v>4412</v>
      </c>
      <c r="AO121" t="s">
        <v>4413</v>
      </c>
      <c r="AQ121" t="s">
        <v>4537</v>
      </c>
      <c r="AS121">
        <v>81920</v>
      </c>
      <c r="AX121" s="98" t="s">
        <v>757</v>
      </c>
      <c r="AY121">
        <f>MATCH(A121,VmSpecs[Original Hostname (CMO)],0)</f>
        <v>223</v>
      </c>
      <c r="AZ121" t="str" cm="1">
        <f t="array" ref="AZ121">INDEX(VmSpecs[VM Name],AY121)</f>
        <v>vmpfbpf2inj17</v>
      </c>
      <c r="BA121" t="str">
        <f t="shared" si="1"/>
        <v>ehgpfawsinj94</v>
      </c>
      <c r="BB121" t="s">
        <v>4280</v>
      </c>
      <c r="BD121" t="str" cm="1">
        <f t="array" ref="BD121">INDEX(VmSpecs[Server Role],AY121)</f>
        <v>PerfTest 17</v>
      </c>
    </row>
    <row r="122" spans="1:56" hidden="1" x14ac:dyDescent="0.35">
      <c r="A122" t="s">
        <v>539</v>
      </c>
      <c r="B122" t="s">
        <v>4399</v>
      </c>
      <c r="C122" t="s">
        <v>521</v>
      </c>
      <c r="D122" t="s">
        <v>4531</v>
      </c>
      <c r="E122" t="s">
        <v>522</v>
      </c>
      <c r="J122" t="s">
        <v>4532</v>
      </c>
      <c r="K122" t="s">
        <v>4533</v>
      </c>
      <c r="L122" t="s">
        <v>4404</v>
      </c>
      <c r="P122" t="s">
        <v>4340</v>
      </c>
      <c r="R122" t="s">
        <v>58</v>
      </c>
      <c r="S122">
        <v>16</v>
      </c>
      <c r="T122" t="s">
        <v>4405</v>
      </c>
      <c r="V122">
        <v>16384</v>
      </c>
      <c r="X122" t="s">
        <v>4406</v>
      </c>
      <c r="Y122" t="s">
        <v>4534</v>
      </c>
      <c r="Z122" t="s">
        <v>4535</v>
      </c>
      <c r="AA122" t="s">
        <v>4420</v>
      </c>
      <c r="AJ122" t="s">
        <v>4551</v>
      </c>
      <c r="AL122" t="s">
        <v>4411</v>
      </c>
      <c r="AN122" t="s">
        <v>4412</v>
      </c>
      <c r="AO122" t="s">
        <v>4413</v>
      </c>
      <c r="AQ122">
        <v>1</v>
      </c>
      <c r="AS122">
        <v>81920</v>
      </c>
      <c r="AX122" s="98" t="s">
        <v>757</v>
      </c>
      <c r="AY122">
        <f>MATCH(A122,VmSpecs[Original Hostname (CMO)],0)</f>
        <v>215</v>
      </c>
      <c r="AZ122" t="str" cm="1">
        <f t="array" ref="AZ122">INDEX(VmSpecs[VM Name],AY122)</f>
        <v>vmpfbpf2inj09</v>
      </c>
      <c r="BA122" t="str">
        <f t="shared" si="1"/>
        <v>ehgpfawsinj107</v>
      </c>
      <c r="BB122" t="s">
        <v>4280</v>
      </c>
      <c r="BD122" t="str" cm="1">
        <f t="array" ref="BD122">INDEX(VmSpecs[Server Role],AY122)</f>
        <v>PerfTest 09</v>
      </c>
    </row>
    <row r="123" spans="1:56" hidden="1" x14ac:dyDescent="0.35">
      <c r="A123" t="s">
        <v>541</v>
      </c>
      <c r="B123" t="s">
        <v>4399</v>
      </c>
      <c r="C123" t="s">
        <v>521</v>
      </c>
      <c r="D123" t="s">
        <v>4531</v>
      </c>
      <c r="E123" t="s">
        <v>522</v>
      </c>
      <c r="J123" t="s">
        <v>4532</v>
      </c>
      <c r="K123" t="s">
        <v>4533</v>
      </c>
      <c r="L123" t="s">
        <v>4404</v>
      </c>
      <c r="P123" t="s">
        <v>4340</v>
      </c>
      <c r="R123" t="s">
        <v>58</v>
      </c>
      <c r="S123">
        <v>16</v>
      </c>
      <c r="T123" t="s">
        <v>4405</v>
      </c>
      <c r="V123">
        <v>16384</v>
      </c>
      <c r="X123" t="s">
        <v>4406</v>
      </c>
      <c r="Y123" t="s">
        <v>4534</v>
      </c>
      <c r="Z123" t="s">
        <v>4535</v>
      </c>
      <c r="AA123" t="s">
        <v>4420</v>
      </c>
      <c r="AJ123" t="s">
        <v>4546</v>
      </c>
      <c r="AL123" t="s">
        <v>4411</v>
      </c>
      <c r="AN123" t="s">
        <v>4412</v>
      </c>
      <c r="AO123" t="s">
        <v>4413</v>
      </c>
      <c r="AQ123">
        <v>1</v>
      </c>
      <c r="AS123">
        <v>81920</v>
      </c>
      <c r="AX123" s="98" t="s">
        <v>757</v>
      </c>
      <c r="AY123">
        <f>MATCH(A123,VmSpecs[Original Hostname (CMO)],0)</f>
        <v>216</v>
      </c>
      <c r="AZ123" t="str" cm="1">
        <f t="array" ref="AZ123">INDEX(VmSpecs[VM Name],AY123)</f>
        <v>vmpfbpf2inj10</v>
      </c>
      <c r="BA123" t="str">
        <f t="shared" si="1"/>
        <v>ehgpfawsinj108</v>
      </c>
      <c r="BB123" t="s">
        <v>4280</v>
      </c>
      <c r="BD123" t="str" cm="1">
        <f t="array" ref="BD123">INDEX(VmSpecs[Server Role],AY123)</f>
        <v>PerfTest 10</v>
      </c>
    </row>
    <row r="124" spans="1:56" hidden="1" x14ac:dyDescent="0.35">
      <c r="A124" t="s">
        <v>543</v>
      </c>
      <c r="B124" t="s">
        <v>4399</v>
      </c>
      <c r="C124" t="s">
        <v>521</v>
      </c>
      <c r="D124" t="s">
        <v>4531</v>
      </c>
      <c r="E124" t="s">
        <v>522</v>
      </c>
      <c r="J124" t="s">
        <v>4532</v>
      </c>
      <c r="K124" t="s">
        <v>4533</v>
      </c>
      <c r="L124" t="s">
        <v>4404</v>
      </c>
      <c r="P124" t="s">
        <v>4340</v>
      </c>
      <c r="R124" t="s">
        <v>58</v>
      </c>
      <c r="S124">
        <v>16</v>
      </c>
      <c r="T124" t="s">
        <v>4405</v>
      </c>
      <c r="V124">
        <v>16384</v>
      </c>
      <c r="X124" t="s">
        <v>4406</v>
      </c>
      <c r="Y124" t="s">
        <v>4534</v>
      </c>
      <c r="Z124" t="s">
        <v>4535</v>
      </c>
      <c r="AA124" t="s">
        <v>4420</v>
      </c>
      <c r="AJ124" t="s">
        <v>4546</v>
      </c>
      <c r="AL124" t="s">
        <v>4411</v>
      </c>
      <c r="AN124" t="s">
        <v>4412</v>
      </c>
      <c r="AO124" t="s">
        <v>4413</v>
      </c>
      <c r="AQ124">
        <v>1</v>
      </c>
      <c r="AS124">
        <v>81920</v>
      </c>
      <c r="AX124" s="98" t="s">
        <v>757</v>
      </c>
      <c r="AY124">
        <f>MATCH(A124,VmSpecs[Original Hostname (CMO)],0)</f>
        <v>217</v>
      </c>
      <c r="AZ124" t="str" cm="1">
        <f t="array" ref="AZ124">INDEX(VmSpecs[VM Name],AY124)</f>
        <v>vmpfbpf2inj11</v>
      </c>
      <c r="BA124" t="str">
        <f t="shared" si="1"/>
        <v>ehgpfawsinj109</v>
      </c>
      <c r="BB124" t="s">
        <v>4280</v>
      </c>
      <c r="BD124" t="str" cm="1">
        <f t="array" ref="BD124">INDEX(VmSpecs[Server Role],AY124)</f>
        <v>PerfTest 11</v>
      </c>
    </row>
    <row r="125" spans="1:56" hidden="1" x14ac:dyDescent="0.35">
      <c r="A125" t="s">
        <v>545</v>
      </c>
      <c r="B125" t="s">
        <v>4399</v>
      </c>
      <c r="C125" t="s">
        <v>521</v>
      </c>
      <c r="D125" t="s">
        <v>4531</v>
      </c>
      <c r="E125" t="s">
        <v>522</v>
      </c>
      <c r="J125" t="s">
        <v>4532</v>
      </c>
      <c r="K125" t="s">
        <v>4533</v>
      </c>
      <c r="L125" t="s">
        <v>4404</v>
      </c>
      <c r="P125" t="s">
        <v>4340</v>
      </c>
      <c r="R125" t="s">
        <v>58</v>
      </c>
      <c r="S125">
        <v>16</v>
      </c>
      <c r="T125" t="s">
        <v>4405</v>
      </c>
      <c r="V125">
        <v>16384</v>
      </c>
      <c r="X125" t="s">
        <v>4406</v>
      </c>
      <c r="Y125" t="s">
        <v>4534</v>
      </c>
      <c r="Z125" t="s">
        <v>4535</v>
      </c>
      <c r="AA125" t="s">
        <v>4420</v>
      </c>
      <c r="AJ125" t="s">
        <v>4546</v>
      </c>
      <c r="AL125" t="s">
        <v>4411</v>
      </c>
      <c r="AN125" t="s">
        <v>4412</v>
      </c>
      <c r="AO125" t="s">
        <v>4413</v>
      </c>
      <c r="AQ125">
        <v>1</v>
      </c>
      <c r="AS125">
        <v>81920</v>
      </c>
      <c r="AX125" s="98" t="s">
        <v>757</v>
      </c>
      <c r="AY125">
        <f>MATCH(A125,VmSpecs[Original Hostname (CMO)],0)</f>
        <v>218</v>
      </c>
      <c r="AZ125" t="str" cm="1">
        <f t="array" ref="AZ125">INDEX(VmSpecs[VM Name],AY125)</f>
        <v>vmpfbpf2inj12</v>
      </c>
      <c r="BA125" t="str">
        <f t="shared" si="1"/>
        <v>ehgpfawsinj110</v>
      </c>
      <c r="BB125" t="s">
        <v>4280</v>
      </c>
      <c r="BD125" t="str" cm="1">
        <f t="array" ref="BD125">INDEX(VmSpecs[Server Role],AY125)</f>
        <v>PerfTest 12</v>
      </c>
    </row>
    <row r="126" spans="1:56" hidden="1" x14ac:dyDescent="0.35">
      <c r="A126" t="s">
        <v>547</v>
      </c>
      <c r="B126" t="s">
        <v>4399</v>
      </c>
      <c r="C126" t="s">
        <v>521</v>
      </c>
      <c r="D126" t="s">
        <v>4531</v>
      </c>
      <c r="E126" t="s">
        <v>522</v>
      </c>
      <c r="J126" t="s">
        <v>4532</v>
      </c>
      <c r="K126" t="s">
        <v>4533</v>
      </c>
      <c r="L126" t="s">
        <v>4404</v>
      </c>
      <c r="P126" t="s">
        <v>4340</v>
      </c>
      <c r="R126" t="s">
        <v>58</v>
      </c>
      <c r="S126">
        <v>16</v>
      </c>
      <c r="T126" t="s">
        <v>4405</v>
      </c>
      <c r="V126">
        <v>16384</v>
      </c>
      <c r="X126" t="s">
        <v>4406</v>
      </c>
      <c r="Y126" t="s">
        <v>4534</v>
      </c>
      <c r="Z126" t="s">
        <v>4535</v>
      </c>
      <c r="AA126" t="s">
        <v>4420</v>
      </c>
      <c r="AJ126" t="s">
        <v>4546</v>
      </c>
      <c r="AL126" t="s">
        <v>4411</v>
      </c>
      <c r="AN126" t="s">
        <v>4412</v>
      </c>
      <c r="AO126" t="s">
        <v>4413</v>
      </c>
      <c r="AQ126">
        <v>1</v>
      </c>
      <c r="AS126">
        <v>81920</v>
      </c>
      <c r="AX126" s="98" t="s">
        <v>757</v>
      </c>
      <c r="AY126">
        <f>MATCH(A126,VmSpecs[Original Hostname (CMO)],0)</f>
        <v>219</v>
      </c>
      <c r="AZ126" t="str" cm="1">
        <f t="array" ref="AZ126">INDEX(VmSpecs[VM Name],AY126)</f>
        <v>vmpfbpf2inj13</v>
      </c>
      <c r="BA126" t="str">
        <f t="shared" si="1"/>
        <v>ehgpfawsinj111</v>
      </c>
      <c r="BB126" t="s">
        <v>4280</v>
      </c>
      <c r="BD126" t="str" cm="1">
        <f t="array" ref="BD126">INDEX(VmSpecs[Server Role],AY126)</f>
        <v>PerfTest 13</v>
      </c>
    </row>
    <row r="127" spans="1:56" hidden="1" x14ac:dyDescent="0.35">
      <c r="A127" t="s">
        <v>549</v>
      </c>
      <c r="B127" t="s">
        <v>4399</v>
      </c>
      <c r="C127" t="s">
        <v>521</v>
      </c>
      <c r="D127" t="s">
        <v>4531</v>
      </c>
      <c r="E127" t="s">
        <v>522</v>
      </c>
      <c r="J127" t="s">
        <v>4532</v>
      </c>
      <c r="K127" t="s">
        <v>4533</v>
      </c>
      <c r="L127" t="s">
        <v>4404</v>
      </c>
      <c r="P127" t="s">
        <v>4340</v>
      </c>
      <c r="R127" t="s">
        <v>58</v>
      </c>
      <c r="S127">
        <v>16</v>
      </c>
      <c r="T127" t="s">
        <v>4405</v>
      </c>
      <c r="V127">
        <v>16384</v>
      </c>
      <c r="X127" t="s">
        <v>4406</v>
      </c>
      <c r="Y127" t="s">
        <v>4534</v>
      </c>
      <c r="Z127" t="s">
        <v>4535</v>
      </c>
      <c r="AA127" t="s">
        <v>4420</v>
      </c>
      <c r="AJ127" t="s">
        <v>4546</v>
      </c>
      <c r="AL127" t="s">
        <v>4411</v>
      </c>
      <c r="AN127" t="s">
        <v>4412</v>
      </c>
      <c r="AO127" t="s">
        <v>4413</v>
      </c>
      <c r="AQ127">
        <v>1</v>
      </c>
      <c r="AS127">
        <v>81920</v>
      </c>
      <c r="AX127" s="98" t="s">
        <v>757</v>
      </c>
      <c r="AY127">
        <f>MATCH(A127,VmSpecs[Original Hostname (CMO)],0)</f>
        <v>220</v>
      </c>
      <c r="AZ127" t="str" cm="1">
        <f t="array" ref="AZ127">INDEX(VmSpecs[VM Name],AY127)</f>
        <v>vmpfbpf2inj14</v>
      </c>
      <c r="BA127" t="str">
        <f t="shared" si="1"/>
        <v>ehgpfawsinj112</v>
      </c>
      <c r="BB127" t="s">
        <v>4280</v>
      </c>
      <c r="BD127" t="str" cm="1">
        <f t="array" ref="BD127">INDEX(VmSpecs[Server Role],AY127)</f>
        <v>PerfTest 14</v>
      </c>
    </row>
    <row r="128" spans="1:56" hidden="1" x14ac:dyDescent="0.35">
      <c r="A128" t="s">
        <v>523</v>
      </c>
      <c r="B128" t="s">
        <v>4399</v>
      </c>
      <c r="C128" t="s">
        <v>521</v>
      </c>
      <c r="D128" t="s">
        <v>4531</v>
      </c>
      <c r="E128" t="s">
        <v>522</v>
      </c>
      <c r="J128" t="s">
        <v>4532</v>
      </c>
      <c r="K128" t="s">
        <v>4533</v>
      </c>
      <c r="L128" t="s">
        <v>4404</v>
      </c>
      <c r="P128" t="s">
        <v>4340</v>
      </c>
      <c r="R128" t="s">
        <v>58</v>
      </c>
      <c r="S128">
        <v>16</v>
      </c>
      <c r="T128" t="s">
        <v>4405</v>
      </c>
      <c r="V128">
        <v>16384</v>
      </c>
      <c r="X128" t="s">
        <v>4406</v>
      </c>
      <c r="Y128" t="s">
        <v>4534</v>
      </c>
      <c r="Z128" t="s">
        <v>4535</v>
      </c>
      <c r="AA128" t="s">
        <v>4420</v>
      </c>
      <c r="AJ128" t="s">
        <v>4552</v>
      </c>
      <c r="AL128" t="s">
        <v>4411</v>
      </c>
      <c r="AN128" t="s">
        <v>4412</v>
      </c>
      <c r="AO128" t="s">
        <v>4413</v>
      </c>
      <c r="AQ128">
        <v>1</v>
      </c>
      <c r="AS128">
        <v>81920</v>
      </c>
      <c r="AX128" s="98" t="s">
        <v>757</v>
      </c>
      <c r="AY128">
        <f>MATCH(A128,VmSpecs[Original Hostname (CMO)],0)</f>
        <v>207</v>
      </c>
      <c r="AZ128" t="str" cm="1">
        <f t="array" ref="AZ128">INDEX(VmSpecs[VM Name],AY128)</f>
        <v>vmpfbpf2inj01</v>
      </c>
      <c r="BA128" t="str">
        <f t="shared" si="1"/>
        <v>ehgpfawsinj91</v>
      </c>
      <c r="BB128" t="s">
        <v>4280</v>
      </c>
      <c r="BD128" t="str" cm="1">
        <f t="array" ref="BD128">INDEX(VmSpecs[Server Role],AY128)</f>
        <v>PerfTest 01</v>
      </c>
    </row>
    <row r="129" spans="1:56" hidden="1" x14ac:dyDescent="0.35">
      <c r="A129" t="s">
        <v>557</v>
      </c>
      <c r="B129" t="s">
        <v>4399</v>
      </c>
      <c r="C129" t="s">
        <v>521</v>
      </c>
      <c r="D129" t="s">
        <v>4531</v>
      </c>
      <c r="E129" t="s">
        <v>522</v>
      </c>
      <c r="J129" t="s">
        <v>4532</v>
      </c>
      <c r="K129" t="s">
        <v>4533</v>
      </c>
      <c r="L129" t="s">
        <v>4404</v>
      </c>
      <c r="P129" t="s">
        <v>4340</v>
      </c>
      <c r="R129" t="s">
        <v>58</v>
      </c>
      <c r="S129">
        <v>16</v>
      </c>
      <c r="T129" t="s">
        <v>4405</v>
      </c>
      <c r="V129">
        <v>16384</v>
      </c>
      <c r="X129" t="s">
        <v>4406</v>
      </c>
      <c r="Y129" t="s">
        <v>4534</v>
      </c>
      <c r="Z129" t="s">
        <v>4535</v>
      </c>
      <c r="AA129" t="s">
        <v>4420</v>
      </c>
      <c r="AJ129" t="s">
        <v>4553</v>
      </c>
      <c r="AL129" t="s">
        <v>4411</v>
      </c>
      <c r="AN129" t="s">
        <v>4412</v>
      </c>
      <c r="AO129" t="s">
        <v>4413</v>
      </c>
      <c r="AQ129">
        <v>1</v>
      </c>
      <c r="AS129">
        <v>81920</v>
      </c>
      <c r="AX129" s="98" t="s">
        <v>757</v>
      </c>
      <c r="AY129">
        <f>MATCH(A129,VmSpecs[Original Hostname (CMO)],0)</f>
        <v>224</v>
      </c>
      <c r="AZ129" t="str" cm="1">
        <f t="array" ref="AZ129">INDEX(VmSpecs[VM Name],AY129)</f>
        <v>vmpfbpf2inj18</v>
      </c>
      <c r="BA129" t="str">
        <f t="shared" si="1"/>
        <v>ehgpfawsinj95</v>
      </c>
      <c r="BB129" t="s">
        <v>4280</v>
      </c>
      <c r="BD129" t="str" cm="1">
        <f t="array" ref="BD129">INDEX(VmSpecs[Server Role],AY129)</f>
        <v>PerfTest 18</v>
      </c>
    </row>
    <row r="130" spans="1:56" hidden="1" x14ac:dyDescent="0.35">
      <c r="A130" t="s">
        <v>173</v>
      </c>
      <c r="B130" t="s">
        <v>4399</v>
      </c>
      <c r="C130" t="s">
        <v>63</v>
      </c>
      <c r="D130" t="s">
        <v>4400</v>
      </c>
      <c r="E130" t="s">
        <v>4401</v>
      </c>
      <c r="J130" t="s">
        <v>4077</v>
      </c>
      <c r="K130" t="s">
        <v>4443</v>
      </c>
      <c r="L130" t="s">
        <v>4404</v>
      </c>
      <c r="P130" t="s">
        <v>4340</v>
      </c>
      <c r="R130" t="s">
        <v>58</v>
      </c>
      <c r="S130">
        <v>8</v>
      </c>
      <c r="V130">
        <v>24576</v>
      </c>
      <c r="AG130" t="s">
        <v>64</v>
      </c>
      <c r="AJ130" t="s">
        <v>4554</v>
      </c>
      <c r="AL130" t="s">
        <v>4411</v>
      </c>
      <c r="AN130" t="s">
        <v>4412</v>
      </c>
      <c r="AQ130">
        <v>2</v>
      </c>
      <c r="AX130" s="98" t="s">
        <v>801</v>
      </c>
      <c r="AY130">
        <f>MATCH(A130,VmSpecs[Original Hostname (CMO)],0)</f>
        <v>42</v>
      </c>
      <c r="AZ130" t="str" cm="1">
        <f t="array" ref="AZ130">INDEX(VmSpecs[VM Name],AY130)</f>
        <v>vmpfbpf2dcx23</v>
      </c>
      <c r="BA130" t="str">
        <f t="shared" si="1"/>
        <v>ehgpfaasdcx23</v>
      </c>
      <c r="BB130" t="s">
        <v>4280</v>
      </c>
      <c r="BD130" t="str" cm="1">
        <f t="array" ref="BD130">INDEX(VmSpecs[Server Role],AY130)</f>
        <v>OSB DCX Domain N23</v>
      </c>
    </row>
    <row r="131" spans="1:56" hidden="1" x14ac:dyDescent="0.35">
      <c r="A131" t="s">
        <v>176</v>
      </c>
      <c r="B131" t="s">
        <v>4399</v>
      </c>
      <c r="C131" t="s">
        <v>63</v>
      </c>
      <c r="D131" t="s">
        <v>4400</v>
      </c>
      <c r="E131" t="s">
        <v>4401</v>
      </c>
      <c r="J131" t="s">
        <v>4077</v>
      </c>
      <c r="K131" t="s">
        <v>4443</v>
      </c>
      <c r="L131" t="s">
        <v>4404</v>
      </c>
      <c r="P131" t="s">
        <v>4340</v>
      </c>
      <c r="R131" t="s">
        <v>58</v>
      </c>
      <c r="S131">
        <v>8</v>
      </c>
      <c r="V131">
        <v>24576</v>
      </c>
      <c r="AG131" t="s">
        <v>64</v>
      </c>
      <c r="AJ131" t="s">
        <v>4555</v>
      </c>
      <c r="AL131" t="s">
        <v>4411</v>
      </c>
      <c r="AN131" t="s">
        <v>4412</v>
      </c>
      <c r="AQ131">
        <v>2</v>
      </c>
      <c r="AX131" s="98" t="s">
        <v>801</v>
      </c>
      <c r="AY131">
        <f>MATCH(A131,VmSpecs[Original Hostname (CMO)],0)</f>
        <v>43</v>
      </c>
      <c r="AZ131" t="str" cm="1">
        <f t="array" ref="AZ131">INDEX(VmSpecs[VM Name],AY131)</f>
        <v>vmpfbpf2dcx24</v>
      </c>
      <c r="BA131" t="str">
        <f t="shared" ref="BA131:BA194" si="2">A131</f>
        <v>ehgpfaasdcx24</v>
      </c>
      <c r="BB131" t="s">
        <v>4280</v>
      </c>
      <c r="BD131" t="str" cm="1">
        <f t="array" ref="BD131">INDEX(VmSpecs[Server Role],AY131)</f>
        <v>OSB DCX Domain N24</v>
      </c>
    </row>
    <row r="132" spans="1:56" hidden="1" x14ac:dyDescent="0.35">
      <c r="A132" t="s">
        <v>286</v>
      </c>
      <c r="B132" t="s">
        <v>4399</v>
      </c>
      <c r="C132" t="s">
        <v>63</v>
      </c>
      <c r="D132" t="s">
        <v>4400</v>
      </c>
      <c r="E132" t="s">
        <v>4401</v>
      </c>
      <c r="J132" t="s">
        <v>4556</v>
      </c>
      <c r="K132" t="s">
        <v>4557</v>
      </c>
      <c r="L132" t="s">
        <v>4404</v>
      </c>
      <c r="P132" t="s">
        <v>4340</v>
      </c>
      <c r="R132" t="s">
        <v>58</v>
      </c>
      <c r="S132">
        <v>2</v>
      </c>
      <c r="T132" t="s">
        <v>4405</v>
      </c>
      <c r="V132">
        <v>4096</v>
      </c>
      <c r="X132" t="s">
        <v>4406</v>
      </c>
      <c r="Y132" t="s">
        <v>4407</v>
      </c>
      <c r="Z132" t="s">
        <v>4408</v>
      </c>
      <c r="AA132" t="s">
        <v>4409</v>
      </c>
      <c r="AG132" t="s">
        <v>64</v>
      </c>
      <c r="AJ132" t="s">
        <v>4558</v>
      </c>
      <c r="AL132" t="s">
        <v>4411</v>
      </c>
      <c r="AN132" t="s">
        <v>4412</v>
      </c>
      <c r="AO132" t="s">
        <v>4413</v>
      </c>
      <c r="AQ132">
        <v>2</v>
      </c>
      <c r="AS132">
        <v>87040</v>
      </c>
      <c r="AX132" s="98" t="s">
        <v>757</v>
      </c>
      <c r="AY132">
        <f>MATCH(A132,VmSpecs[Original Hostname (CMO)],0)</f>
        <v>92</v>
      </c>
      <c r="AZ132" t="str" cm="1">
        <f t="array" ref="AZ132">INDEX(VmSpecs[VM Name],AY132)</f>
        <v>vmpfbpf2nes02</v>
      </c>
      <c r="BA132" t="str">
        <f t="shared" si="2"/>
        <v>ehgpfaasnes01</v>
      </c>
      <c r="BB132" t="s">
        <v>4280</v>
      </c>
      <c r="BD132" t="str" cm="1">
        <f t="array" ref="BD132">INDEX(VmSpecs[Server Role],AY132)</f>
        <v>T2 Nessus Scanner</v>
      </c>
    </row>
    <row r="133" spans="1:56" hidden="1" x14ac:dyDescent="0.35">
      <c r="A133" t="s">
        <v>588</v>
      </c>
      <c r="B133" t="s">
        <v>4399</v>
      </c>
      <c r="C133" t="s">
        <v>63</v>
      </c>
      <c r="D133" t="s">
        <v>4400</v>
      </c>
      <c r="E133" t="s">
        <v>4401</v>
      </c>
      <c r="J133" t="s">
        <v>4556</v>
      </c>
      <c r="K133" t="s">
        <v>4557</v>
      </c>
      <c r="L133" t="s">
        <v>4404</v>
      </c>
      <c r="P133" t="s">
        <v>4340</v>
      </c>
      <c r="R133" t="s">
        <v>58</v>
      </c>
      <c r="S133">
        <v>2</v>
      </c>
      <c r="T133" t="s">
        <v>4405</v>
      </c>
      <c r="V133">
        <v>4096</v>
      </c>
      <c r="X133" t="s">
        <v>4406</v>
      </c>
      <c r="Y133" t="s">
        <v>4407</v>
      </c>
      <c r="Z133" t="s">
        <v>4408</v>
      </c>
      <c r="AA133" t="s">
        <v>4420</v>
      </c>
      <c r="AG133" t="s">
        <v>64</v>
      </c>
      <c r="AJ133" t="s">
        <v>4559</v>
      </c>
      <c r="AL133" t="s">
        <v>4411</v>
      </c>
      <c r="AN133" t="s">
        <v>4412</v>
      </c>
      <c r="AO133" t="s">
        <v>4413</v>
      </c>
      <c r="AQ133">
        <v>1</v>
      </c>
      <c r="AS133">
        <v>87040</v>
      </c>
      <c r="AX133" s="98" t="s">
        <v>757</v>
      </c>
      <c r="AY133">
        <f>MATCH(A133,VmSpecs[Original Hostname (CMO)],0)</f>
        <v>239</v>
      </c>
      <c r="AZ133" t="str" cm="1">
        <f t="array" ref="AZ133">INDEX(VmSpecs[VM Name],AY133)</f>
        <v>vmpfbpf2nes01</v>
      </c>
      <c r="BA133" t="str">
        <f t="shared" si="2"/>
        <v>ehgpfawsnes01</v>
      </c>
      <c r="BB133" t="s">
        <v>4280</v>
      </c>
      <c r="BD133" t="str" cm="1">
        <f t="array" ref="BD133">INDEX(VmSpecs[Server Role],AY133)</f>
        <v>Nessus Scanner</v>
      </c>
    </row>
    <row r="134" spans="1:56" hidden="1" x14ac:dyDescent="0.35">
      <c r="A134" s="80" t="s">
        <v>4560</v>
      </c>
      <c r="B134" t="s">
        <v>4399</v>
      </c>
      <c r="C134" t="s">
        <v>63</v>
      </c>
      <c r="D134" t="s">
        <v>4400</v>
      </c>
      <c r="E134" t="s">
        <v>4401</v>
      </c>
      <c r="F134" t="s">
        <v>4561</v>
      </c>
      <c r="J134" t="s">
        <v>4562</v>
      </c>
      <c r="K134" t="s">
        <v>4563</v>
      </c>
      <c r="L134" t="s">
        <v>4404</v>
      </c>
      <c r="P134" t="s">
        <v>4340</v>
      </c>
      <c r="R134" t="s">
        <v>58</v>
      </c>
      <c r="S134">
        <v>6</v>
      </c>
      <c r="T134" t="s">
        <v>4405</v>
      </c>
      <c r="V134">
        <v>18432</v>
      </c>
      <c r="X134" t="s">
        <v>4406</v>
      </c>
      <c r="Y134" t="s">
        <v>4407</v>
      </c>
      <c r="Z134" t="s">
        <v>4408</v>
      </c>
      <c r="AA134" t="s">
        <v>4409</v>
      </c>
      <c r="AG134" t="s">
        <v>64</v>
      </c>
      <c r="AJ134" t="s">
        <v>4564</v>
      </c>
      <c r="AL134" t="s">
        <v>4411</v>
      </c>
      <c r="AN134" t="s">
        <v>4412</v>
      </c>
      <c r="AO134" t="s">
        <v>4413</v>
      </c>
      <c r="AQ134">
        <v>2</v>
      </c>
      <c r="AS134">
        <v>81920</v>
      </c>
      <c r="AT134" s="80" t="s">
        <v>68</v>
      </c>
      <c r="AU134" s="80" t="s">
        <v>4565</v>
      </c>
      <c r="AX134" s="98" t="e">
        <v>#N/A</v>
      </c>
      <c r="AY134" t="e">
        <f>MATCH(A134,VmSpecs[Original Hostname (CMO)],0)</f>
        <v>#N/A</v>
      </c>
      <c r="AZ134" t="e" cm="1">
        <f t="array" ref="AZ134">INDEX(VmSpecs[VM Name],AY134)</f>
        <v>#N/A</v>
      </c>
      <c r="BA134" t="str">
        <f t="shared" si="2"/>
        <v>ehgpfaasoaa01 - remove</v>
      </c>
      <c r="BB134" t="s">
        <v>4280</v>
      </c>
      <c r="BD134" t="e" cm="1">
        <f t="array" ref="BD134">INDEX(VmSpecs[Server Role],AY134)</f>
        <v>#N/A</v>
      </c>
    </row>
    <row r="135" spans="1:56" hidden="1" x14ac:dyDescent="0.35">
      <c r="A135" s="80" t="s">
        <v>4566</v>
      </c>
      <c r="B135" t="s">
        <v>4399</v>
      </c>
      <c r="C135" t="s">
        <v>63</v>
      </c>
      <c r="D135" t="s">
        <v>4400</v>
      </c>
      <c r="E135" t="s">
        <v>4401</v>
      </c>
      <c r="F135" t="s">
        <v>4561</v>
      </c>
      <c r="J135" t="s">
        <v>4567</v>
      </c>
      <c r="K135" t="s">
        <v>4568</v>
      </c>
      <c r="L135" t="s">
        <v>4404</v>
      </c>
      <c r="P135" t="s">
        <v>4340</v>
      </c>
      <c r="R135" t="s">
        <v>58</v>
      </c>
      <c r="S135">
        <v>6</v>
      </c>
      <c r="T135" t="s">
        <v>4405</v>
      </c>
      <c r="V135">
        <v>16384</v>
      </c>
      <c r="X135" t="s">
        <v>4406</v>
      </c>
      <c r="Y135" t="s">
        <v>4407</v>
      </c>
      <c r="Z135" t="s">
        <v>4408</v>
      </c>
      <c r="AA135" t="s">
        <v>4409</v>
      </c>
      <c r="AG135" t="s">
        <v>64</v>
      </c>
      <c r="AJ135" t="s">
        <v>4569</v>
      </c>
      <c r="AL135" t="s">
        <v>4411</v>
      </c>
      <c r="AN135" t="s">
        <v>4412</v>
      </c>
      <c r="AO135" t="s">
        <v>4413</v>
      </c>
      <c r="AQ135">
        <v>2</v>
      </c>
      <c r="AS135">
        <v>112640</v>
      </c>
      <c r="AT135" s="80" t="s">
        <v>68</v>
      </c>
      <c r="AU135" s="80" t="s">
        <v>4565</v>
      </c>
      <c r="AX135" s="98" t="e">
        <v>#N/A</v>
      </c>
      <c r="AY135" t="e">
        <f>MATCH(A135,VmSpecs[Original Hostname (CMO)],0)</f>
        <v>#N/A</v>
      </c>
      <c r="AZ135" t="e" cm="1">
        <f t="array" ref="AZ135">INDEX(VmSpecs[VM Name],AY135)</f>
        <v>#N/A</v>
      </c>
      <c r="BA135" t="str">
        <f t="shared" si="2"/>
        <v>ehgpfaasoab01 - remove</v>
      </c>
      <c r="BB135" t="s">
        <v>4280</v>
      </c>
      <c r="BD135" t="e" cm="1">
        <f t="array" ref="BD135">INDEX(VmSpecs[Server Role],AY135)</f>
        <v>#N/A</v>
      </c>
    </row>
    <row r="136" spans="1:56" hidden="1" x14ac:dyDescent="0.35">
      <c r="A136" t="s">
        <v>590</v>
      </c>
      <c r="B136" t="s">
        <v>4399</v>
      </c>
      <c r="C136" t="s">
        <v>63</v>
      </c>
      <c r="D136" t="s">
        <v>4400</v>
      </c>
      <c r="E136" t="s">
        <v>4463</v>
      </c>
      <c r="J136" t="s">
        <v>4074</v>
      </c>
      <c r="K136" t="s">
        <v>4570</v>
      </c>
      <c r="L136" t="s">
        <v>4404</v>
      </c>
      <c r="P136" t="s">
        <v>4340</v>
      </c>
      <c r="R136" t="s">
        <v>58</v>
      </c>
      <c r="S136">
        <v>8</v>
      </c>
      <c r="T136" t="s">
        <v>4416</v>
      </c>
      <c r="V136">
        <v>24576</v>
      </c>
      <c r="X136" t="s">
        <v>4406</v>
      </c>
      <c r="Y136" t="s">
        <v>4477</v>
      </c>
      <c r="Z136" t="s">
        <v>4408</v>
      </c>
      <c r="AA136" t="s">
        <v>4420</v>
      </c>
      <c r="AG136" t="s">
        <v>64</v>
      </c>
      <c r="AJ136" t="s">
        <v>4571</v>
      </c>
      <c r="AL136" t="s">
        <v>4411</v>
      </c>
      <c r="AN136" t="s">
        <v>4412</v>
      </c>
      <c r="AO136" t="s">
        <v>4413</v>
      </c>
      <c r="AQ136">
        <v>1</v>
      </c>
      <c r="AS136">
        <v>56320</v>
      </c>
      <c r="AX136" s="98" t="s">
        <v>801</v>
      </c>
      <c r="AY136">
        <f>MATCH(A136,VmSpecs[Original Hostname (CMO)],0)</f>
        <v>240</v>
      </c>
      <c r="AZ136" t="str" cm="1">
        <f t="array" ref="AZ136">INDEX(VmSpecs[VM Name],AY136)</f>
        <v>vmpfbpf2oag01</v>
      </c>
      <c r="BA136" t="str">
        <f t="shared" si="2"/>
        <v>ehgpfawsoag01</v>
      </c>
      <c r="BB136" t="s">
        <v>4280</v>
      </c>
      <c r="BD136" t="str" cm="1">
        <f t="array" ref="BD136">INDEX(VmSpecs[Server Role],AY136)</f>
        <v>B2B-OAG N1</v>
      </c>
    </row>
    <row r="137" spans="1:56" hidden="1" x14ac:dyDescent="0.35">
      <c r="A137" t="s">
        <v>592</v>
      </c>
      <c r="B137" t="s">
        <v>4399</v>
      </c>
      <c r="C137" t="s">
        <v>63</v>
      </c>
      <c r="D137" t="s">
        <v>4400</v>
      </c>
      <c r="E137" t="s">
        <v>4463</v>
      </c>
      <c r="J137" t="s">
        <v>4074</v>
      </c>
      <c r="K137" t="s">
        <v>4570</v>
      </c>
      <c r="L137" t="s">
        <v>4404</v>
      </c>
      <c r="P137" t="s">
        <v>4340</v>
      </c>
      <c r="R137" t="s">
        <v>58</v>
      </c>
      <c r="S137">
        <v>8</v>
      </c>
      <c r="T137" t="s">
        <v>4416</v>
      </c>
      <c r="V137">
        <v>24576</v>
      </c>
      <c r="X137" t="s">
        <v>4406</v>
      </c>
      <c r="Y137" t="s">
        <v>4477</v>
      </c>
      <c r="Z137" t="s">
        <v>4408</v>
      </c>
      <c r="AA137" t="s">
        <v>4420</v>
      </c>
      <c r="AG137" t="s">
        <v>64</v>
      </c>
      <c r="AJ137" t="s">
        <v>4572</v>
      </c>
      <c r="AL137" t="s">
        <v>4411</v>
      </c>
      <c r="AN137" t="s">
        <v>4412</v>
      </c>
      <c r="AO137" t="s">
        <v>4413</v>
      </c>
      <c r="AQ137">
        <v>1</v>
      </c>
      <c r="AS137">
        <v>56320</v>
      </c>
      <c r="AX137" s="98" t="s">
        <v>801</v>
      </c>
      <c r="AY137">
        <f>MATCH(A137,VmSpecs[Original Hostname (CMO)],0)</f>
        <v>241</v>
      </c>
      <c r="AZ137" t="str" cm="1">
        <f t="array" ref="AZ137">INDEX(VmSpecs[VM Name],AY137)</f>
        <v>vmpfbpf2oag02</v>
      </c>
      <c r="BA137" t="str">
        <f t="shared" si="2"/>
        <v>ehgpfawsoag02</v>
      </c>
      <c r="BB137" t="s">
        <v>4280</v>
      </c>
      <c r="BD137" t="str" cm="1">
        <f t="array" ref="BD137">INDEX(VmSpecs[Server Role],AY137)</f>
        <v>B2B-OAG N2</v>
      </c>
    </row>
    <row r="138" spans="1:56" hidden="1" x14ac:dyDescent="0.35">
      <c r="A138" t="s">
        <v>594</v>
      </c>
      <c r="B138" t="s">
        <v>4399</v>
      </c>
      <c r="C138" t="s">
        <v>63</v>
      </c>
      <c r="D138" t="s">
        <v>4400</v>
      </c>
      <c r="E138" t="s">
        <v>4463</v>
      </c>
      <c r="J138" t="s">
        <v>4074</v>
      </c>
      <c r="K138" t="s">
        <v>4570</v>
      </c>
      <c r="L138" t="s">
        <v>4404</v>
      </c>
      <c r="P138" t="s">
        <v>4340</v>
      </c>
      <c r="R138" t="s">
        <v>58</v>
      </c>
      <c r="S138">
        <v>8</v>
      </c>
      <c r="T138" t="s">
        <v>4416</v>
      </c>
      <c r="V138">
        <v>24576</v>
      </c>
      <c r="X138" t="s">
        <v>4406</v>
      </c>
      <c r="Y138" t="s">
        <v>4477</v>
      </c>
      <c r="Z138" t="s">
        <v>4408</v>
      </c>
      <c r="AA138" t="s">
        <v>4420</v>
      </c>
      <c r="AG138" t="s">
        <v>64</v>
      </c>
      <c r="AJ138" t="s">
        <v>4573</v>
      </c>
      <c r="AL138" t="s">
        <v>4411</v>
      </c>
      <c r="AN138" t="s">
        <v>4412</v>
      </c>
      <c r="AO138" t="s">
        <v>4413</v>
      </c>
      <c r="AQ138">
        <v>1</v>
      </c>
      <c r="AS138">
        <v>56320</v>
      </c>
      <c r="AX138" s="98" t="s">
        <v>801</v>
      </c>
      <c r="AY138">
        <f>MATCH(A138,VmSpecs[Original Hostname (CMO)],0)</f>
        <v>242</v>
      </c>
      <c r="AZ138" t="str" cm="1">
        <f t="array" ref="AZ138">INDEX(VmSpecs[VM Name],AY138)</f>
        <v>vmpfbpf2oag03</v>
      </c>
      <c r="BA138" t="str">
        <f t="shared" si="2"/>
        <v>ehgpfawsoag03</v>
      </c>
      <c r="BB138" t="s">
        <v>4280</v>
      </c>
      <c r="BD138" t="str" cm="1">
        <f t="array" ref="BD138">INDEX(VmSpecs[Server Role],AY138)</f>
        <v>B2B-OAG N3</v>
      </c>
    </row>
    <row r="139" spans="1:56" hidden="1" x14ac:dyDescent="0.35">
      <c r="A139" t="s">
        <v>596</v>
      </c>
      <c r="B139" t="s">
        <v>4399</v>
      </c>
      <c r="C139" t="s">
        <v>63</v>
      </c>
      <c r="D139" t="s">
        <v>4400</v>
      </c>
      <c r="E139" t="s">
        <v>4463</v>
      </c>
      <c r="J139" t="s">
        <v>4074</v>
      </c>
      <c r="K139" t="s">
        <v>4570</v>
      </c>
      <c r="L139" t="s">
        <v>4404</v>
      </c>
      <c r="P139" t="s">
        <v>4340</v>
      </c>
      <c r="R139" t="s">
        <v>58</v>
      </c>
      <c r="S139">
        <v>8</v>
      </c>
      <c r="T139" t="s">
        <v>4416</v>
      </c>
      <c r="V139">
        <v>24576</v>
      </c>
      <c r="X139" t="s">
        <v>4406</v>
      </c>
      <c r="Y139" t="s">
        <v>4477</v>
      </c>
      <c r="Z139" t="s">
        <v>4408</v>
      </c>
      <c r="AA139" t="s">
        <v>4420</v>
      </c>
      <c r="AG139" t="s">
        <v>64</v>
      </c>
      <c r="AJ139" t="s">
        <v>4574</v>
      </c>
      <c r="AL139" t="s">
        <v>4411</v>
      </c>
      <c r="AN139" t="s">
        <v>4412</v>
      </c>
      <c r="AO139" t="s">
        <v>4413</v>
      </c>
      <c r="AQ139">
        <v>1</v>
      </c>
      <c r="AS139">
        <v>56320</v>
      </c>
      <c r="AX139" s="98" t="s">
        <v>801</v>
      </c>
      <c r="AY139">
        <f>MATCH(A139,VmSpecs[Original Hostname (CMO)],0)</f>
        <v>243</v>
      </c>
      <c r="AZ139" t="str" cm="1">
        <f t="array" ref="AZ139">INDEX(VmSpecs[VM Name],AY139)</f>
        <v>vmpfbpf2oag04</v>
      </c>
      <c r="BA139" t="str">
        <f t="shared" si="2"/>
        <v>ehgpfawsoag04</v>
      </c>
      <c r="BB139" t="s">
        <v>4280</v>
      </c>
      <c r="BD139" t="str" cm="1">
        <f t="array" ref="BD139">INDEX(VmSpecs[Server Role],AY139)</f>
        <v>B2B-OAG N4</v>
      </c>
    </row>
    <row r="140" spans="1:56" hidden="1" x14ac:dyDescent="0.35">
      <c r="A140" t="s">
        <v>598</v>
      </c>
      <c r="B140" t="s">
        <v>4399</v>
      </c>
      <c r="C140" t="s">
        <v>63</v>
      </c>
      <c r="D140" t="s">
        <v>4400</v>
      </c>
      <c r="E140" t="s">
        <v>4463</v>
      </c>
      <c r="J140" t="s">
        <v>4074</v>
      </c>
      <c r="K140" t="s">
        <v>4570</v>
      </c>
      <c r="L140" t="s">
        <v>4404</v>
      </c>
      <c r="P140" t="s">
        <v>4340</v>
      </c>
      <c r="R140" t="s">
        <v>58</v>
      </c>
      <c r="S140">
        <v>8</v>
      </c>
      <c r="T140" t="s">
        <v>4416</v>
      </c>
      <c r="V140">
        <v>24576</v>
      </c>
      <c r="X140" t="s">
        <v>4406</v>
      </c>
      <c r="Y140" t="s">
        <v>4477</v>
      </c>
      <c r="Z140" t="s">
        <v>4408</v>
      </c>
      <c r="AA140" t="s">
        <v>4420</v>
      </c>
      <c r="AG140" t="s">
        <v>64</v>
      </c>
      <c r="AJ140" t="s">
        <v>4575</v>
      </c>
      <c r="AL140" t="s">
        <v>4411</v>
      </c>
      <c r="AN140" t="s">
        <v>4412</v>
      </c>
      <c r="AO140" t="s">
        <v>4413</v>
      </c>
      <c r="AQ140">
        <v>1</v>
      </c>
      <c r="AS140">
        <v>56320</v>
      </c>
      <c r="AX140" s="98" t="s">
        <v>801</v>
      </c>
      <c r="AY140">
        <f>MATCH(A140,VmSpecs[Original Hostname (CMO)],0)</f>
        <v>244</v>
      </c>
      <c r="AZ140" t="str" cm="1">
        <f t="array" ref="AZ140">INDEX(VmSpecs[VM Name],AY140)</f>
        <v>vmpfbpf2oag05</v>
      </c>
      <c r="BA140" t="str">
        <f t="shared" si="2"/>
        <v>ehgpfawsoag05</v>
      </c>
      <c r="BB140" t="s">
        <v>4280</v>
      </c>
      <c r="BD140" t="str" cm="1">
        <f t="array" ref="BD140">INDEX(VmSpecs[Server Role],AY140)</f>
        <v>B2B-OAG N5</v>
      </c>
    </row>
    <row r="141" spans="1:56" hidden="1" x14ac:dyDescent="0.35">
      <c r="A141" t="s">
        <v>601</v>
      </c>
      <c r="B141" t="s">
        <v>4399</v>
      </c>
      <c r="C141" t="s">
        <v>63</v>
      </c>
      <c r="D141" t="s">
        <v>4400</v>
      </c>
      <c r="E141" t="s">
        <v>4463</v>
      </c>
      <c r="J141" t="s">
        <v>4074</v>
      </c>
      <c r="K141" t="s">
        <v>4570</v>
      </c>
      <c r="L141" t="s">
        <v>4404</v>
      </c>
      <c r="P141" t="s">
        <v>4340</v>
      </c>
      <c r="R141" t="s">
        <v>58</v>
      </c>
      <c r="S141">
        <v>8</v>
      </c>
      <c r="T141" t="s">
        <v>4416</v>
      </c>
      <c r="V141">
        <v>24576</v>
      </c>
      <c r="X141" t="s">
        <v>4406</v>
      </c>
      <c r="Y141" t="s">
        <v>4477</v>
      </c>
      <c r="Z141" t="s">
        <v>4408</v>
      </c>
      <c r="AA141" t="s">
        <v>4420</v>
      </c>
      <c r="AG141" t="s">
        <v>64</v>
      </c>
      <c r="AJ141" t="s">
        <v>4576</v>
      </c>
      <c r="AL141" t="s">
        <v>4411</v>
      </c>
      <c r="AN141" t="s">
        <v>4412</v>
      </c>
      <c r="AO141" t="s">
        <v>4413</v>
      </c>
      <c r="AQ141">
        <v>1</v>
      </c>
      <c r="AS141">
        <v>56320</v>
      </c>
      <c r="AX141" s="98" t="s">
        <v>801</v>
      </c>
      <c r="AY141">
        <f>MATCH(A141,VmSpecs[Original Hostname (CMO)],0)</f>
        <v>245</v>
      </c>
      <c r="AZ141" t="str" cm="1">
        <f t="array" ref="AZ141">INDEX(VmSpecs[VM Name],AY141)</f>
        <v>vmpfbpf2oag06</v>
      </c>
      <c r="BA141" t="str">
        <f t="shared" si="2"/>
        <v>ehgpfawsoag06</v>
      </c>
      <c r="BB141" t="s">
        <v>4280</v>
      </c>
      <c r="BD141" t="str" cm="1">
        <f t="array" ref="BD141">INDEX(VmSpecs[Server Role],AY141)</f>
        <v>B2B-OAG N6</v>
      </c>
    </row>
    <row r="142" spans="1:56" hidden="1" x14ac:dyDescent="0.35">
      <c r="A142" t="s">
        <v>289</v>
      </c>
      <c r="B142" t="s">
        <v>4399</v>
      </c>
      <c r="C142" t="s">
        <v>63</v>
      </c>
      <c r="D142" t="s">
        <v>4400</v>
      </c>
      <c r="E142" t="s">
        <v>4401</v>
      </c>
      <c r="J142" t="s">
        <v>4577</v>
      </c>
      <c r="K142" t="s">
        <v>4578</v>
      </c>
      <c r="L142" t="s">
        <v>4404</v>
      </c>
      <c r="P142" t="s">
        <v>4340</v>
      </c>
      <c r="R142" t="s">
        <v>58</v>
      </c>
      <c r="S142">
        <v>4</v>
      </c>
      <c r="T142" t="s">
        <v>4416</v>
      </c>
      <c r="V142">
        <v>20480</v>
      </c>
      <c r="X142" t="s">
        <v>4406</v>
      </c>
      <c r="Y142" t="s">
        <v>4407</v>
      </c>
      <c r="Z142" t="s">
        <v>4408</v>
      </c>
      <c r="AA142" t="s">
        <v>4409</v>
      </c>
      <c r="AG142" t="s">
        <v>64</v>
      </c>
      <c r="AJ142" t="s">
        <v>4579</v>
      </c>
      <c r="AL142" t="s">
        <v>4411</v>
      </c>
      <c r="AN142" t="s">
        <v>4412</v>
      </c>
      <c r="AO142" t="s">
        <v>4413</v>
      </c>
      <c r="AQ142">
        <v>2</v>
      </c>
      <c r="AS142">
        <v>92160</v>
      </c>
      <c r="AX142" s="98" t="s">
        <v>801</v>
      </c>
      <c r="AY142">
        <f>MATCH(A142,VmSpecs[Original Hostname (CMO)],0)</f>
        <v>93</v>
      </c>
      <c r="AZ142" t="str" cm="1">
        <f t="array" ref="AZ142">INDEX(VmSpecs[VM Name],AY142)</f>
        <v>vmpfbpf2oam01</v>
      </c>
      <c r="BA142" t="str">
        <f t="shared" si="2"/>
        <v>ehgpfaasoam01</v>
      </c>
      <c r="BB142" t="s">
        <v>4280</v>
      </c>
      <c r="BD142" t="str" cm="1">
        <f t="array" ref="BD142">INDEX(VmSpecs[Server Role],AY142)</f>
        <v>OAM N1</v>
      </c>
    </row>
    <row r="143" spans="1:56" hidden="1" x14ac:dyDescent="0.35">
      <c r="A143" t="s">
        <v>291</v>
      </c>
      <c r="B143" t="s">
        <v>4399</v>
      </c>
      <c r="C143" t="s">
        <v>63</v>
      </c>
      <c r="D143" t="s">
        <v>4400</v>
      </c>
      <c r="E143" t="s">
        <v>4401</v>
      </c>
      <c r="J143" t="s">
        <v>4577</v>
      </c>
      <c r="K143" t="s">
        <v>4578</v>
      </c>
      <c r="L143" t="s">
        <v>4404</v>
      </c>
      <c r="P143" t="s">
        <v>4340</v>
      </c>
      <c r="R143" t="s">
        <v>58</v>
      </c>
      <c r="S143">
        <v>4</v>
      </c>
      <c r="T143" t="s">
        <v>4416</v>
      </c>
      <c r="V143">
        <v>20480</v>
      </c>
      <c r="X143" t="s">
        <v>4406</v>
      </c>
      <c r="Y143" t="s">
        <v>4407</v>
      </c>
      <c r="Z143" t="s">
        <v>4408</v>
      </c>
      <c r="AA143" t="s">
        <v>4409</v>
      </c>
      <c r="AG143" t="s">
        <v>64</v>
      </c>
      <c r="AJ143" t="s">
        <v>4580</v>
      </c>
      <c r="AL143" t="s">
        <v>4411</v>
      </c>
      <c r="AN143" t="s">
        <v>4412</v>
      </c>
      <c r="AO143" t="s">
        <v>4413</v>
      </c>
      <c r="AQ143">
        <v>2</v>
      </c>
      <c r="AS143">
        <v>92160</v>
      </c>
      <c r="AX143" s="98" t="s">
        <v>801</v>
      </c>
      <c r="AY143">
        <f>MATCH(A143,VmSpecs[Original Hostname (CMO)],0)</f>
        <v>94</v>
      </c>
      <c r="AZ143" t="str" cm="1">
        <f t="array" ref="AZ143">INDEX(VmSpecs[VM Name],AY143)</f>
        <v>vmpfbpf2oam02</v>
      </c>
      <c r="BA143" t="str">
        <f t="shared" si="2"/>
        <v>ehgpfaasoam02</v>
      </c>
      <c r="BB143" t="s">
        <v>4280</v>
      </c>
      <c r="BD143" t="str" cm="1">
        <f t="array" ref="BD143">INDEX(VmSpecs[Server Role],AY143)</f>
        <v>OAM N2</v>
      </c>
    </row>
    <row r="144" spans="1:56" hidden="1" x14ac:dyDescent="0.35">
      <c r="A144" t="s">
        <v>293</v>
      </c>
      <c r="B144" t="s">
        <v>4399</v>
      </c>
      <c r="C144" t="s">
        <v>63</v>
      </c>
      <c r="D144" t="s">
        <v>4400</v>
      </c>
      <c r="E144" t="s">
        <v>4401</v>
      </c>
      <c r="J144" t="s">
        <v>4577</v>
      </c>
      <c r="K144" t="s">
        <v>4578</v>
      </c>
      <c r="L144" t="s">
        <v>4404</v>
      </c>
      <c r="P144" t="s">
        <v>4340</v>
      </c>
      <c r="R144" t="s">
        <v>58</v>
      </c>
      <c r="S144">
        <v>4</v>
      </c>
      <c r="T144" t="s">
        <v>4416</v>
      </c>
      <c r="V144">
        <v>20480</v>
      </c>
      <c r="X144" t="s">
        <v>4406</v>
      </c>
      <c r="Y144" t="s">
        <v>4407</v>
      </c>
      <c r="Z144" t="s">
        <v>4408</v>
      </c>
      <c r="AA144" t="s">
        <v>4409</v>
      </c>
      <c r="AG144" t="s">
        <v>64</v>
      </c>
      <c r="AJ144" t="s">
        <v>4581</v>
      </c>
      <c r="AL144" t="s">
        <v>4411</v>
      </c>
      <c r="AN144" t="s">
        <v>4412</v>
      </c>
      <c r="AO144" t="s">
        <v>4413</v>
      </c>
      <c r="AQ144">
        <v>2</v>
      </c>
      <c r="AS144">
        <v>92160</v>
      </c>
      <c r="AX144" s="98" t="s">
        <v>801</v>
      </c>
      <c r="AY144">
        <f>MATCH(A144,VmSpecs[Original Hostname (CMO)],0)</f>
        <v>95</v>
      </c>
      <c r="AZ144" t="str" cm="1">
        <f t="array" ref="AZ144">INDEX(VmSpecs[VM Name],AY144)</f>
        <v>vmpfbpf2oam03</v>
      </c>
      <c r="BA144" t="str">
        <f t="shared" si="2"/>
        <v>ehgpfaasoam03</v>
      </c>
      <c r="BB144" t="s">
        <v>4280</v>
      </c>
      <c r="BD144" t="str" cm="1">
        <f t="array" ref="BD144">INDEX(VmSpecs[Server Role],AY144)</f>
        <v>OAM N3</v>
      </c>
    </row>
    <row r="145" spans="1:56" hidden="1" x14ac:dyDescent="0.35">
      <c r="A145" t="s">
        <v>295</v>
      </c>
      <c r="B145" t="s">
        <v>4399</v>
      </c>
      <c r="C145" t="s">
        <v>63</v>
      </c>
      <c r="D145" t="s">
        <v>4400</v>
      </c>
      <c r="E145" t="s">
        <v>4401</v>
      </c>
      <c r="J145" t="s">
        <v>4577</v>
      </c>
      <c r="K145" t="s">
        <v>4578</v>
      </c>
      <c r="L145" t="s">
        <v>4404</v>
      </c>
      <c r="P145" t="s">
        <v>4340</v>
      </c>
      <c r="R145" t="s">
        <v>58</v>
      </c>
      <c r="S145">
        <v>4</v>
      </c>
      <c r="T145" t="s">
        <v>4416</v>
      </c>
      <c r="V145">
        <v>20480</v>
      </c>
      <c r="X145" t="s">
        <v>4406</v>
      </c>
      <c r="Y145" t="s">
        <v>4407</v>
      </c>
      <c r="Z145" t="s">
        <v>4408</v>
      </c>
      <c r="AA145" t="s">
        <v>4409</v>
      </c>
      <c r="AG145" t="s">
        <v>64</v>
      </c>
      <c r="AJ145" t="s">
        <v>4582</v>
      </c>
      <c r="AL145" t="s">
        <v>4411</v>
      </c>
      <c r="AN145" t="s">
        <v>4412</v>
      </c>
      <c r="AO145" t="s">
        <v>4413</v>
      </c>
      <c r="AQ145">
        <v>2</v>
      </c>
      <c r="AS145">
        <v>92160</v>
      </c>
      <c r="AX145" s="98" t="s">
        <v>801</v>
      </c>
      <c r="AY145">
        <f>MATCH(A145,VmSpecs[Original Hostname (CMO)],0)</f>
        <v>96</v>
      </c>
      <c r="AZ145" t="str" cm="1">
        <f t="array" ref="AZ145">INDEX(VmSpecs[VM Name],AY145)</f>
        <v>vmpfbpf2oam04</v>
      </c>
      <c r="BA145" t="str">
        <f t="shared" si="2"/>
        <v>ehgpfaasoam04</v>
      </c>
      <c r="BB145" t="s">
        <v>4280</v>
      </c>
      <c r="BD145" t="str" cm="1">
        <f t="array" ref="BD145">INDEX(VmSpecs[Server Role],AY145)</f>
        <v>OAM N4</v>
      </c>
    </row>
    <row r="146" spans="1:56" hidden="1" x14ac:dyDescent="0.35">
      <c r="A146" t="s">
        <v>297</v>
      </c>
      <c r="B146" t="s">
        <v>4399</v>
      </c>
      <c r="C146" t="s">
        <v>63</v>
      </c>
      <c r="D146" t="s">
        <v>4400</v>
      </c>
      <c r="E146" t="s">
        <v>4401</v>
      </c>
      <c r="J146" t="s">
        <v>4577</v>
      </c>
      <c r="K146" t="s">
        <v>4578</v>
      </c>
      <c r="L146" t="s">
        <v>4404</v>
      </c>
      <c r="P146" t="s">
        <v>4340</v>
      </c>
      <c r="R146" t="s">
        <v>58</v>
      </c>
      <c r="S146">
        <v>4</v>
      </c>
      <c r="T146" t="s">
        <v>4416</v>
      </c>
      <c r="V146">
        <v>20480</v>
      </c>
      <c r="X146" t="s">
        <v>4406</v>
      </c>
      <c r="Y146" t="s">
        <v>4407</v>
      </c>
      <c r="Z146" t="s">
        <v>4408</v>
      </c>
      <c r="AA146" t="s">
        <v>4409</v>
      </c>
      <c r="AG146" t="s">
        <v>64</v>
      </c>
      <c r="AJ146" t="s">
        <v>4583</v>
      </c>
      <c r="AL146" t="s">
        <v>4411</v>
      </c>
      <c r="AN146" t="s">
        <v>4412</v>
      </c>
      <c r="AO146" t="s">
        <v>4413</v>
      </c>
      <c r="AQ146">
        <v>2</v>
      </c>
      <c r="AS146">
        <v>92160</v>
      </c>
      <c r="AX146" s="98" t="s">
        <v>801</v>
      </c>
      <c r="AY146">
        <f>MATCH(A146,VmSpecs[Original Hostname (CMO)],0)</f>
        <v>97</v>
      </c>
      <c r="AZ146" t="str" cm="1">
        <f t="array" ref="AZ146">INDEX(VmSpecs[VM Name],AY146)</f>
        <v>vmpfbpf2oam05</v>
      </c>
      <c r="BA146" t="str">
        <f t="shared" si="2"/>
        <v>ehgpfaasoam05</v>
      </c>
      <c r="BB146" t="s">
        <v>4280</v>
      </c>
      <c r="BD146" t="str" cm="1">
        <f t="array" ref="BD146">INDEX(VmSpecs[Server Role],AY146)</f>
        <v>OAM N5</v>
      </c>
    </row>
    <row r="147" spans="1:56" hidden="1" x14ac:dyDescent="0.35">
      <c r="A147" t="s">
        <v>299</v>
      </c>
      <c r="B147" t="s">
        <v>4399</v>
      </c>
      <c r="C147" t="s">
        <v>63</v>
      </c>
      <c r="D147" t="s">
        <v>4400</v>
      </c>
      <c r="E147" t="s">
        <v>4401</v>
      </c>
      <c r="J147" t="s">
        <v>4577</v>
      </c>
      <c r="K147" t="s">
        <v>4578</v>
      </c>
      <c r="L147" t="s">
        <v>4404</v>
      </c>
      <c r="P147" t="s">
        <v>4340</v>
      </c>
      <c r="R147" t="s">
        <v>58</v>
      </c>
      <c r="S147">
        <v>4</v>
      </c>
      <c r="T147" t="s">
        <v>4416</v>
      </c>
      <c r="V147">
        <v>20480</v>
      </c>
      <c r="X147" t="s">
        <v>4406</v>
      </c>
      <c r="Y147" t="s">
        <v>4407</v>
      </c>
      <c r="Z147" t="s">
        <v>4408</v>
      </c>
      <c r="AA147" t="s">
        <v>4409</v>
      </c>
      <c r="AG147" t="s">
        <v>64</v>
      </c>
      <c r="AJ147" t="s">
        <v>4584</v>
      </c>
      <c r="AL147" t="s">
        <v>4411</v>
      </c>
      <c r="AN147" t="s">
        <v>4412</v>
      </c>
      <c r="AO147" t="s">
        <v>4413</v>
      </c>
      <c r="AQ147">
        <v>2</v>
      </c>
      <c r="AS147">
        <v>92160</v>
      </c>
      <c r="AX147" s="98" t="s">
        <v>801</v>
      </c>
      <c r="AY147">
        <f>MATCH(A147,VmSpecs[Original Hostname (CMO)],0)</f>
        <v>98</v>
      </c>
      <c r="AZ147" t="str" cm="1">
        <f t="array" ref="AZ147">INDEX(VmSpecs[VM Name],AY147)</f>
        <v>vmpfbpf2oam06</v>
      </c>
      <c r="BA147" t="str">
        <f t="shared" si="2"/>
        <v>ehgpfaasoam06</v>
      </c>
      <c r="BB147" t="s">
        <v>4280</v>
      </c>
      <c r="BD147" t="str" cm="1">
        <f t="array" ref="BD147">INDEX(VmSpecs[Server Role],AY147)</f>
        <v>OAM N6</v>
      </c>
    </row>
    <row r="148" spans="1:56" hidden="1" x14ac:dyDescent="0.35">
      <c r="A148" t="s">
        <v>301</v>
      </c>
      <c r="B148" t="s">
        <v>4399</v>
      </c>
      <c r="C148" t="s">
        <v>63</v>
      </c>
      <c r="D148" t="s">
        <v>4400</v>
      </c>
      <c r="E148" t="s">
        <v>4401</v>
      </c>
      <c r="J148" t="s">
        <v>4577</v>
      </c>
      <c r="K148" t="s">
        <v>4578</v>
      </c>
      <c r="L148" t="s">
        <v>4404</v>
      </c>
      <c r="P148" t="s">
        <v>4340</v>
      </c>
      <c r="R148" t="s">
        <v>58</v>
      </c>
      <c r="S148">
        <v>2</v>
      </c>
      <c r="T148" t="s">
        <v>4416</v>
      </c>
      <c r="V148">
        <v>20480</v>
      </c>
      <c r="X148" t="s">
        <v>4406</v>
      </c>
      <c r="Y148" t="s">
        <v>4407</v>
      </c>
      <c r="Z148" t="s">
        <v>4408</v>
      </c>
      <c r="AA148" t="s">
        <v>4409</v>
      </c>
      <c r="AG148" t="s">
        <v>64</v>
      </c>
      <c r="AJ148" t="s">
        <v>4585</v>
      </c>
      <c r="AL148" t="s">
        <v>4411</v>
      </c>
      <c r="AN148" t="s">
        <v>4412</v>
      </c>
      <c r="AO148" t="s">
        <v>4413</v>
      </c>
      <c r="AQ148">
        <v>2</v>
      </c>
      <c r="AS148">
        <v>92160</v>
      </c>
      <c r="AX148" s="98" t="s">
        <v>801</v>
      </c>
      <c r="AY148">
        <f>MATCH(A148,VmSpecs[Original Hostname (CMO)],0)</f>
        <v>99</v>
      </c>
      <c r="AZ148" t="str" cm="1">
        <f t="array" ref="AZ148">INDEX(VmSpecs[VM Name],AY148)</f>
        <v>vmpfbpf2oam07</v>
      </c>
      <c r="BA148" t="str">
        <f t="shared" si="2"/>
        <v>ehgpfaasoam07</v>
      </c>
      <c r="BB148" t="s">
        <v>4280</v>
      </c>
      <c r="BD148" t="str" cm="1">
        <f t="array" ref="BD148">INDEX(VmSpecs[Server Role],AY148)</f>
        <v>OAM N7</v>
      </c>
    </row>
    <row r="149" spans="1:56" hidden="1" x14ac:dyDescent="0.35">
      <c r="A149" t="s">
        <v>303</v>
      </c>
      <c r="B149" t="s">
        <v>4399</v>
      </c>
      <c r="C149" t="s">
        <v>63</v>
      </c>
      <c r="D149" t="s">
        <v>4400</v>
      </c>
      <c r="E149" t="s">
        <v>4401</v>
      </c>
      <c r="J149" t="s">
        <v>4577</v>
      </c>
      <c r="K149" t="s">
        <v>4578</v>
      </c>
      <c r="L149" t="s">
        <v>4404</v>
      </c>
      <c r="P149" t="s">
        <v>4340</v>
      </c>
      <c r="R149" t="s">
        <v>58</v>
      </c>
      <c r="S149">
        <v>2</v>
      </c>
      <c r="T149" t="s">
        <v>4416</v>
      </c>
      <c r="V149">
        <v>20480</v>
      </c>
      <c r="X149" t="s">
        <v>4406</v>
      </c>
      <c r="Y149" t="s">
        <v>4407</v>
      </c>
      <c r="Z149" t="s">
        <v>4408</v>
      </c>
      <c r="AA149" t="s">
        <v>4409</v>
      </c>
      <c r="AG149" t="s">
        <v>64</v>
      </c>
      <c r="AJ149" t="s">
        <v>4586</v>
      </c>
      <c r="AL149" t="s">
        <v>4411</v>
      </c>
      <c r="AN149" t="s">
        <v>4412</v>
      </c>
      <c r="AO149" t="s">
        <v>4413</v>
      </c>
      <c r="AQ149">
        <v>2</v>
      </c>
      <c r="AS149">
        <v>92160</v>
      </c>
      <c r="AX149" s="98" t="s">
        <v>801</v>
      </c>
      <c r="AY149">
        <f>MATCH(A149,VmSpecs[Original Hostname (CMO)],0)</f>
        <v>100</v>
      </c>
      <c r="AZ149" t="str" cm="1">
        <f t="array" ref="AZ149">INDEX(VmSpecs[VM Name],AY149)</f>
        <v>vmpfbpf2oam08</v>
      </c>
      <c r="BA149" t="str">
        <f t="shared" si="2"/>
        <v>ehgpfaasoam08</v>
      </c>
      <c r="BB149" t="s">
        <v>4280</v>
      </c>
      <c r="BD149" t="str" cm="1">
        <f t="array" ref="BD149">INDEX(VmSpecs[Server Role],AY149)</f>
        <v>OAM N8</v>
      </c>
    </row>
    <row r="150" spans="1:56" hidden="1" x14ac:dyDescent="0.35">
      <c r="A150" s="80" t="s">
        <v>4587</v>
      </c>
      <c r="B150" t="s">
        <v>4399</v>
      </c>
      <c r="C150" t="s">
        <v>63</v>
      </c>
      <c r="D150" t="s">
        <v>4400</v>
      </c>
      <c r="E150" t="s">
        <v>4463</v>
      </c>
      <c r="F150" t="s">
        <v>4561</v>
      </c>
      <c r="J150" t="s">
        <v>4588</v>
      </c>
      <c r="K150" t="s">
        <v>4589</v>
      </c>
      <c r="L150" t="s">
        <v>4404</v>
      </c>
      <c r="P150" t="s">
        <v>4340</v>
      </c>
      <c r="R150" t="s">
        <v>58</v>
      </c>
      <c r="S150">
        <v>8</v>
      </c>
      <c r="T150" t="s">
        <v>4405</v>
      </c>
      <c r="V150">
        <v>12288</v>
      </c>
      <c r="X150" t="s">
        <v>4406</v>
      </c>
      <c r="Y150" t="s">
        <v>4407</v>
      </c>
      <c r="Z150" t="s">
        <v>4408</v>
      </c>
      <c r="AA150" t="s">
        <v>4409</v>
      </c>
      <c r="AG150" t="s">
        <v>64</v>
      </c>
      <c r="AJ150" t="s">
        <v>4590</v>
      </c>
      <c r="AL150" t="s">
        <v>4411</v>
      </c>
      <c r="AN150" t="s">
        <v>4412</v>
      </c>
      <c r="AO150" t="s">
        <v>4413</v>
      </c>
      <c r="AQ150">
        <v>2</v>
      </c>
      <c r="AS150">
        <v>317440</v>
      </c>
      <c r="AT150" s="80" t="s">
        <v>68</v>
      </c>
      <c r="AU150" s="80" t="s">
        <v>4565</v>
      </c>
      <c r="AX150" s="98" t="e">
        <v>#N/A</v>
      </c>
      <c r="AY150" t="e">
        <f>MATCH(A150,VmSpecs[Original Hostname (CMO)],0)</f>
        <v>#N/A</v>
      </c>
      <c r="AZ150" t="e" cm="1">
        <f t="array" ref="AZ150">INDEX(VmSpecs[VM Name],AY150)</f>
        <v>#N/A</v>
      </c>
      <c r="BA150" t="str">
        <f t="shared" si="2"/>
        <v>ehgpfaasobi01 - remove</v>
      </c>
      <c r="BB150" t="s">
        <v>4280</v>
      </c>
      <c r="BD150" t="e" cm="1">
        <f t="array" ref="BD150">INDEX(VmSpecs[Server Role],AY150)</f>
        <v>#N/A</v>
      </c>
    </row>
    <row r="151" spans="1:56" hidden="1" x14ac:dyDescent="0.35">
      <c r="A151" t="s">
        <v>224</v>
      </c>
      <c r="B151" t="s">
        <v>4399</v>
      </c>
      <c r="C151" t="s">
        <v>63</v>
      </c>
      <c r="D151" t="s">
        <v>4400</v>
      </c>
      <c r="E151" t="s">
        <v>4401</v>
      </c>
      <c r="J151" t="s">
        <v>4486</v>
      </c>
      <c r="K151" t="s">
        <v>4487</v>
      </c>
      <c r="L151" t="s">
        <v>4404</v>
      </c>
      <c r="P151" t="s">
        <v>4340</v>
      </c>
      <c r="R151" t="s">
        <v>58</v>
      </c>
      <c r="S151">
        <v>6</v>
      </c>
      <c r="V151">
        <v>24576</v>
      </c>
      <c r="AJ151" t="s">
        <v>4487</v>
      </c>
      <c r="AL151" t="s">
        <v>4411</v>
      </c>
      <c r="AN151" t="s">
        <v>4412</v>
      </c>
      <c r="AQ151">
        <v>2</v>
      </c>
      <c r="AX151" s="98" t="s">
        <v>801</v>
      </c>
      <c r="AY151">
        <f>MATCH(A151,VmSpecs[Original Hostname (CMO)],0)</f>
        <v>67</v>
      </c>
      <c r="AZ151" t="str" cm="1">
        <f t="array" ref="AZ151">INDEX(VmSpecs[VM Name],AY151)</f>
        <v>vmpfbpf2hdr23</v>
      </c>
      <c r="BA151" t="str">
        <f t="shared" si="2"/>
        <v>ehgpfaashdr23</v>
      </c>
      <c r="BB151" t="s">
        <v>4280</v>
      </c>
      <c r="BD151" t="str" cm="1">
        <f t="array" ref="BD151">INDEX(VmSpecs[Server Role],AY151)</f>
        <v>HDR</v>
      </c>
    </row>
    <row r="152" spans="1:56" hidden="1" x14ac:dyDescent="0.35">
      <c r="A152" t="s">
        <v>603</v>
      </c>
      <c r="B152" t="s">
        <v>4399</v>
      </c>
      <c r="C152" t="s">
        <v>63</v>
      </c>
      <c r="D152" t="s">
        <v>4400</v>
      </c>
      <c r="E152" t="s">
        <v>4463</v>
      </c>
      <c r="J152" t="s">
        <v>4075</v>
      </c>
      <c r="K152" t="s">
        <v>4591</v>
      </c>
      <c r="L152" t="s">
        <v>4404</v>
      </c>
      <c r="P152" t="s">
        <v>4340</v>
      </c>
      <c r="R152" t="s">
        <v>58</v>
      </c>
      <c r="S152">
        <v>8</v>
      </c>
      <c r="T152" t="s">
        <v>4416</v>
      </c>
      <c r="V152">
        <v>24576</v>
      </c>
      <c r="X152" t="s">
        <v>4406</v>
      </c>
      <c r="Y152" t="s">
        <v>4477</v>
      </c>
      <c r="Z152" t="s">
        <v>4408</v>
      </c>
      <c r="AA152" t="s">
        <v>4420</v>
      </c>
      <c r="AG152" t="s">
        <v>64</v>
      </c>
      <c r="AJ152" t="s">
        <v>4592</v>
      </c>
      <c r="AL152" t="s">
        <v>4411</v>
      </c>
      <c r="AN152" t="s">
        <v>4412</v>
      </c>
      <c r="AO152" t="s">
        <v>4413</v>
      </c>
      <c r="AQ152">
        <v>1</v>
      </c>
      <c r="AS152">
        <v>56320</v>
      </c>
      <c r="AX152" s="98" t="s">
        <v>801</v>
      </c>
      <c r="AY152">
        <f>MATCH(A152,VmSpecs[Original Hostname (CMO)],0)</f>
        <v>246</v>
      </c>
      <c r="AZ152" t="str" cm="1">
        <f t="array" ref="AZ152">INDEX(VmSpecs[VM Name],AY152)</f>
        <v>vmpfbpf2ocr01</v>
      </c>
      <c r="BA152" t="str">
        <f t="shared" si="2"/>
        <v>ehgpfawsocr01</v>
      </c>
      <c r="BB152" t="s">
        <v>4280</v>
      </c>
      <c r="BD152" t="str" cm="1">
        <f t="array" ref="BD152">INDEX(VmSpecs[Server Role],AY152)</f>
        <v>OAG-CRP N1</v>
      </c>
    </row>
    <row r="153" spans="1:56" hidden="1" x14ac:dyDescent="0.35">
      <c r="A153" t="s">
        <v>605</v>
      </c>
      <c r="B153" t="s">
        <v>4399</v>
      </c>
      <c r="C153" t="s">
        <v>63</v>
      </c>
      <c r="D153" t="s">
        <v>4400</v>
      </c>
      <c r="E153" t="s">
        <v>4463</v>
      </c>
      <c r="J153" t="s">
        <v>4075</v>
      </c>
      <c r="K153" t="s">
        <v>4591</v>
      </c>
      <c r="L153" t="s">
        <v>4404</v>
      </c>
      <c r="P153" t="s">
        <v>4340</v>
      </c>
      <c r="R153" t="s">
        <v>58</v>
      </c>
      <c r="S153">
        <v>8</v>
      </c>
      <c r="T153" t="s">
        <v>4416</v>
      </c>
      <c r="V153">
        <v>24576</v>
      </c>
      <c r="X153" t="s">
        <v>4406</v>
      </c>
      <c r="Y153" t="s">
        <v>4477</v>
      </c>
      <c r="Z153" t="s">
        <v>4408</v>
      </c>
      <c r="AA153" t="s">
        <v>4420</v>
      </c>
      <c r="AG153" t="s">
        <v>64</v>
      </c>
      <c r="AJ153" t="s">
        <v>4593</v>
      </c>
      <c r="AL153" t="s">
        <v>4411</v>
      </c>
      <c r="AN153" t="s">
        <v>4412</v>
      </c>
      <c r="AO153" t="s">
        <v>4413</v>
      </c>
      <c r="AQ153">
        <v>1</v>
      </c>
      <c r="AS153">
        <v>56320</v>
      </c>
      <c r="AX153" s="98" t="s">
        <v>801</v>
      </c>
      <c r="AY153">
        <f>MATCH(A153,VmSpecs[Original Hostname (CMO)],0)</f>
        <v>247</v>
      </c>
      <c r="AZ153" t="str" cm="1">
        <f t="array" ref="AZ153">INDEX(VmSpecs[VM Name],AY153)</f>
        <v>vmpfbpf2ocr02</v>
      </c>
      <c r="BA153" t="str">
        <f t="shared" si="2"/>
        <v>ehgpfawsocr02</v>
      </c>
      <c r="BB153" t="s">
        <v>4280</v>
      </c>
      <c r="BD153" t="str" cm="1">
        <f t="array" ref="BD153">INDEX(VmSpecs[Server Role],AY153)</f>
        <v>OAG-CRP N2</v>
      </c>
    </row>
    <row r="154" spans="1:56" hidden="1" x14ac:dyDescent="0.35">
      <c r="A154" t="s">
        <v>607</v>
      </c>
      <c r="B154" t="s">
        <v>4399</v>
      </c>
      <c r="C154" t="s">
        <v>63</v>
      </c>
      <c r="D154" t="s">
        <v>4400</v>
      </c>
      <c r="E154" t="s">
        <v>4463</v>
      </c>
      <c r="J154" t="s">
        <v>4075</v>
      </c>
      <c r="K154" t="s">
        <v>4591</v>
      </c>
      <c r="L154" t="s">
        <v>4404</v>
      </c>
      <c r="P154" t="s">
        <v>4340</v>
      </c>
      <c r="R154" t="s">
        <v>58</v>
      </c>
      <c r="S154">
        <v>8</v>
      </c>
      <c r="T154" t="s">
        <v>4416</v>
      </c>
      <c r="V154">
        <v>24576</v>
      </c>
      <c r="X154" t="s">
        <v>4406</v>
      </c>
      <c r="Y154" t="s">
        <v>4477</v>
      </c>
      <c r="Z154" t="s">
        <v>4408</v>
      </c>
      <c r="AA154" t="s">
        <v>4420</v>
      </c>
      <c r="AG154" t="s">
        <v>64</v>
      </c>
      <c r="AJ154" t="s">
        <v>4594</v>
      </c>
      <c r="AL154" t="s">
        <v>4411</v>
      </c>
      <c r="AN154" t="s">
        <v>4412</v>
      </c>
      <c r="AO154" t="s">
        <v>4413</v>
      </c>
      <c r="AQ154">
        <v>1</v>
      </c>
      <c r="AS154">
        <v>56320</v>
      </c>
      <c r="AX154" s="98" t="s">
        <v>801</v>
      </c>
      <c r="AY154">
        <f>MATCH(A154,VmSpecs[Original Hostname (CMO)],0)</f>
        <v>248</v>
      </c>
      <c r="AZ154" t="str" cm="1">
        <f t="array" ref="AZ154">INDEX(VmSpecs[VM Name],AY154)</f>
        <v>vmpfbpf2ocr03</v>
      </c>
      <c r="BA154" t="str">
        <f t="shared" si="2"/>
        <v>ehgpfawsocr03</v>
      </c>
      <c r="BB154" t="s">
        <v>4280</v>
      </c>
      <c r="BD154" t="str" cm="1">
        <f t="array" ref="BD154">INDEX(VmSpecs[Server Role],AY154)</f>
        <v>OAG-CRP N3</v>
      </c>
    </row>
    <row r="155" spans="1:56" hidden="1" x14ac:dyDescent="0.35">
      <c r="A155" t="s">
        <v>609</v>
      </c>
      <c r="B155" t="s">
        <v>4399</v>
      </c>
      <c r="C155" t="s">
        <v>63</v>
      </c>
      <c r="D155" t="s">
        <v>4400</v>
      </c>
      <c r="E155" t="s">
        <v>4463</v>
      </c>
      <c r="J155" t="s">
        <v>4075</v>
      </c>
      <c r="K155" t="s">
        <v>4591</v>
      </c>
      <c r="L155" t="s">
        <v>4404</v>
      </c>
      <c r="P155" t="s">
        <v>4340</v>
      </c>
      <c r="R155" t="s">
        <v>58</v>
      </c>
      <c r="S155">
        <v>8</v>
      </c>
      <c r="T155" t="s">
        <v>4416</v>
      </c>
      <c r="V155">
        <v>24576</v>
      </c>
      <c r="X155" t="s">
        <v>4406</v>
      </c>
      <c r="Y155" t="s">
        <v>4477</v>
      </c>
      <c r="Z155" t="s">
        <v>4408</v>
      </c>
      <c r="AA155" t="s">
        <v>4420</v>
      </c>
      <c r="AG155" t="s">
        <v>64</v>
      </c>
      <c r="AJ155" t="s">
        <v>4595</v>
      </c>
      <c r="AL155" t="s">
        <v>4411</v>
      </c>
      <c r="AN155" t="s">
        <v>4412</v>
      </c>
      <c r="AO155" t="s">
        <v>4413</v>
      </c>
      <c r="AQ155">
        <v>1</v>
      </c>
      <c r="AS155">
        <v>56320</v>
      </c>
      <c r="AX155" s="98" t="s">
        <v>801</v>
      </c>
      <c r="AY155">
        <f>MATCH(A155,VmSpecs[Original Hostname (CMO)],0)</f>
        <v>249</v>
      </c>
      <c r="AZ155" t="str" cm="1">
        <f t="array" ref="AZ155">INDEX(VmSpecs[VM Name],AY155)</f>
        <v>vmpfbpf2ocr04</v>
      </c>
      <c r="BA155" t="str">
        <f t="shared" si="2"/>
        <v>ehgpfawsocr04</v>
      </c>
      <c r="BB155" t="s">
        <v>4280</v>
      </c>
      <c r="BD155" t="str" cm="1">
        <f t="array" ref="BD155">INDEX(VmSpecs[Server Role],AY155)</f>
        <v>OAG-CRP N4</v>
      </c>
    </row>
    <row r="156" spans="1:56" hidden="1" x14ac:dyDescent="0.35">
      <c r="A156" t="s">
        <v>611</v>
      </c>
      <c r="B156" t="s">
        <v>4399</v>
      </c>
      <c r="C156" t="s">
        <v>63</v>
      </c>
      <c r="D156" t="s">
        <v>4400</v>
      </c>
      <c r="E156" t="s">
        <v>4463</v>
      </c>
      <c r="J156" t="s">
        <v>4075</v>
      </c>
      <c r="K156" t="s">
        <v>4591</v>
      </c>
      <c r="L156" t="s">
        <v>4404</v>
      </c>
      <c r="P156" t="s">
        <v>4340</v>
      </c>
      <c r="R156" t="s">
        <v>58</v>
      </c>
      <c r="S156">
        <v>8</v>
      </c>
      <c r="T156" t="s">
        <v>4416</v>
      </c>
      <c r="V156">
        <v>24576</v>
      </c>
      <c r="X156" t="s">
        <v>4406</v>
      </c>
      <c r="Y156" t="s">
        <v>4477</v>
      </c>
      <c r="Z156" t="s">
        <v>4408</v>
      </c>
      <c r="AA156" t="s">
        <v>4420</v>
      </c>
      <c r="AG156" t="s">
        <v>64</v>
      </c>
      <c r="AJ156" t="s">
        <v>4596</v>
      </c>
      <c r="AL156" t="s">
        <v>4411</v>
      </c>
      <c r="AN156" t="s">
        <v>4412</v>
      </c>
      <c r="AO156" t="s">
        <v>4413</v>
      </c>
      <c r="AQ156">
        <v>1</v>
      </c>
      <c r="AS156">
        <v>56320</v>
      </c>
      <c r="AX156" s="98" t="s">
        <v>801</v>
      </c>
      <c r="AY156">
        <f>MATCH(A156,VmSpecs[Original Hostname (CMO)],0)</f>
        <v>250</v>
      </c>
      <c r="AZ156" t="str" cm="1">
        <f t="array" ref="AZ156">INDEX(VmSpecs[VM Name],AY156)</f>
        <v>vmpfbpf2ocr05</v>
      </c>
      <c r="BA156" t="str">
        <f t="shared" si="2"/>
        <v>ehgpfawsocr05</v>
      </c>
      <c r="BB156" t="s">
        <v>4280</v>
      </c>
      <c r="BD156" t="str" cm="1">
        <f t="array" ref="BD156">INDEX(VmSpecs[Server Role],AY156)</f>
        <v>OAG-CRP N5</v>
      </c>
    </row>
    <row r="157" spans="1:56" hidden="1" x14ac:dyDescent="0.35">
      <c r="A157" t="s">
        <v>613</v>
      </c>
      <c r="B157" t="s">
        <v>4399</v>
      </c>
      <c r="C157" t="s">
        <v>63</v>
      </c>
      <c r="D157" t="s">
        <v>4400</v>
      </c>
      <c r="E157" t="s">
        <v>4463</v>
      </c>
      <c r="J157" t="s">
        <v>4075</v>
      </c>
      <c r="K157" t="s">
        <v>4591</v>
      </c>
      <c r="L157" t="s">
        <v>4404</v>
      </c>
      <c r="P157" t="s">
        <v>4340</v>
      </c>
      <c r="R157" t="s">
        <v>58</v>
      </c>
      <c r="S157">
        <v>8</v>
      </c>
      <c r="T157" t="s">
        <v>4416</v>
      </c>
      <c r="V157">
        <v>24576</v>
      </c>
      <c r="X157" t="s">
        <v>4406</v>
      </c>
      <c r="Y157" t="s">
        <v>4477</v>
      </c>
      <c r="Z157" t="s">
        <v>4408</v>
      </c>
      <c r="AA157" t="s">
        <v>4420</v>
      </c>
      <c r="AG157" t="s">
        <v>64</v>
      </c>
      <c r="AJ157" t="s">
        <v>4597</v>
      </c>
      <c r="AL157" t="s">
        <v>4411</v>
      </c>
      <c r="AN157" t="s">
        <v>4412</v>
      </c>
      <c r="AO157" t="s">
        <v>4413</v>
      </c>
      <c r="AQ157">
        <v>1</v>
      </c>
      <c r="AS157">
        <v>56320</v>
      </c>
      <c r="AX157" s="98" t="s">
        <v>801</v>
      </c>
      <c r="AY157">
        <f>MATCH(A157,VmSpecs[Original Hostname (CMO)],0)</f>
        <v>251</v>
      </c>
      <c r="AZ157" t="str" cm="1">
        <f t="array" ref="AZ157">INDEX(VmSpecs[VM Name],AY157)</f>
        <v>vmpfbpf2ocr06</v>
      </c>
      <c r="BA157" t="str">
        <f t="shared" si="2"/>
        <v>ehgpfawsocr06</v>
      </c>
      <c r="BB157" t="s">
        <v>4280</v>
      </c>
      <c r="BD157" t="str" cm="1">
        <f t="array" ref="BD157">INDEX(VmSpecs[Server Role],AY157)</f>
        <v>OAG-CRP N6</v>
      </c>
    </row>
    <row r="158" spans="1:56" hidden="1" x14ac:dyDescent="0.35">
      <c r="A158" t="s">
        <v>305</v>
      </c>
      <c r="B158" t="s">
        <v>4399</v>
      </c>
      <c r="C158" t="s">
        <v>63</v>
      </c>
      <c r="D158" t="s">
        <v>4400</v>
      </c>
      <c r="E158" t="s">
        <v>4401</v>
      </c>
      <c r="J158" t="s">
        <v>4468</v>
      </c>
      <c r="K158" t="s">
        <v>4469</v>
      </c>
      <c r="L158" t="s">
        <v>4404</v>
      </c>
      <c r="P158" t="s">
        <v>4340</v>
      </c>
      <c r="R158" t="s">
        <v>58</v>
      </c>
      <c r="S158">
        <v>4</v>
      </c>
      <c r="T158" t="s">
        <v>4416</v>
      </c>
      <c r="V158">
        <v>16384</v>
      </c>
      <c r="X158" t="s">
        <v>4406</v>
      </c>
      <c r="Y158" t="s">
        <v>4407</v>
      </c>
      <c r="Z158" t="s">
        <v>4408</v>
      </c>
      <c r="AA158" t="s">
        <v>4409</v>
      </c>
      <c r="AG158" t="s">
        <v>64</v>
      </c>
      <c r="AJ158" t="s">
        <v>4598</v>
      </c>
      <c r="AL158" t="s">
        <v>4411</v>
      </c>
      <c r="AN158" t="s">
        <v>4412</v>
      </c>
      <c r="AO158" t="s">
        <v>4413</v>
      </c>
      <c r="AQ158">
        <v>2</v>
      </c>
      <c r="AS158">
        <v>107520</v>
      </c>
      <c r="AX158" s="98" t="s">
        <v>757</v>
      </c>
      <c r="AY158">
        <f>MATCH(A158,VmSpecs[Original Hostname (CMO)],0)</f>
        <v>101</v>
      </c>
      <c r="AZ158" t="str" cm="1">
        <f t="array" ref="AZ158">INDEX(VmSpecs[VM Name],AY158)</f>
        <v>vmpfbpf2oes01</v>
      </c>
      <c r="BA158" t="str">
        <f t="shared" si="2"/>
        <v>ehgpfaasoes01</v>
      </c>
      <c r="BB158" t="s">
        <v>4280</v>
      </c>
      <c r="BD158" t="str" cm="1">
        <f t="array" ref="BD158">INDEX(VmSpecs[Server Role],AY158)</f>
        <v>OES N1</v>
      </c>
    </row>
    <row r="159" spans="1:56" hidden="1" x14ac:dyDescent="0.35">
      <c r="A159" t="s">
        <v>307</v>
      </c>
      <c r="B159" t="s">
        <v>4399</v>
      </c>
      <c r="C159" t="s">
        <v>63</v>
      </c>
      <c r="D159" t="s">
        <v>4400</v>
      </c>
      <c r="E159" t="s">
        <v>4401</v>
      </c>
      <c r="J159" t="s">
        <v>4468</v>
      </c>
      <c r="K159" t="s">
        <v>4469</v>
      </c>
      <c r="L159" t="s">
        <v>4404</v>
      </c>
      <c r="P159" t="s">
        <v>4340</v>
      </c>
      <c r="R159" t="s">
        <v>58</v>
      </c>
      <c r="S159">
        <v>4</v>
      </c>
      <c r="T159" t="s">
        <v>4416</v>
      </c>
      <c r="V159">
        <v>16384</v>
      </c>
      <c r="X159" t="s">
        <v>4406</v>
      </c>
      <c r="Y159" t="s">
        <v>4407</v>
      </c>
      <c r="Z159" t="s">
        <v>4408</v>
      </c>
      <c r="AA159" t="s">
        <v>4409</v>
      </c>
      <c r="AG159" t="s">
        <v>64</v>
      </c>
      <c r="AJ159" t="s">
        <v>4599</v>
      </c>
      <c r="AL159" t="s">
        <v>4411</v>
      </c>
      <c r="AN159" t="s">
        <v>4412</v>
      </c>
      <c r="AO159" t="s">
        <v>4413</v>
      </c>
      <c r="AQ159">
        <v>2</v>
      </c>
      <c r="AS159">
        <v>107520</v>
      </c>
      <c r="AX159" s="98" t="s">
        <v>757</v>
      </c>
      <c r="AY159">
        <f>MATCH(A159,VmSpecs[Original Hostname (CMO)],0)</f>
        <v>102</v>
      </c>
      <c r="AZ159" t="str" cm="1">
        <f t="array" ref="AZ159">INDEX(VmSpecs[VM Name],AY159)</f>
        <v>vmpfbpf2oes02</v>
      </c>
      <c r="BA159" t="str">
        <f t="shared" si="2"/>
        <v>ehgpfaasoes02</v>
      </c>
      <c r="BB159" t="s">
        <v>4280</v>
      </c>
      <c r="BD159" t="str" cm="1">
        <f t="array" ref="BD159">INDEX(VmSpecs[Server Role],AY159)</f>
        <v>OES N2</v>
      </c>
    </row>
    <row r="160" spans="1:56" hidden="1" x14ac:dyDescent="0.35">
      <c r="A160" t="s">
        <v>309</v>
      </c>
      <c r="B160" t="s">
        <v>4399</v>
      </c>
      <c r="C160" t="s">
        <v>63</v>
      </c>
      <c r="D160" t="s">
        <v>4400</v>
      </c>
      <c r="E160" t="s">
        <v>4401</v>
      </c>
      <c r="J160" t="s">
        <v>4468</v>
      </c>
      <c r="K160" t="s">
        <v>4469</v>
      </c>
      <c r="L160" t="s">
        <v>4404</v>
      </c>
      <c r="P160" t="s">
        <v>4340</v>
      </c>
      <c r="R160" t="s">
        <v>58</v>
      </c>
      <c r="S160">
        <v>4</v>
      </c>
      <c r="T160" t="s">
        <v>4416</v>
      </c>
      <c r="V160">
        <v>16384</v>
      </c>
      <c r="X160" t="s">
        <v>4406</v>
      </c>
      <c r="Y160" t="s">
        <v>4407</v>
      </c>
      <c r="Z160" t="s">
        <v>4408</v>
      </c>
      <c r="AA160" t="s">
        <v>4409</v>
      </c>
      <c r="AG160" t="s">
        <v>64</v>
      </c>
      <c r="AJ160" t="s">
        <v>4600</v>
      </c>
      <c r="AL160" t="s">
        <v>4411</v>
      </c>
      <c r="AN160" t="s">
        <v>4412</v>
      </c>
      <c r="AO160" t="s">
        <v>4413</v>
      </c>
      <c r="AQ160">
        <v>2</v>
      </c>
      <c r="AS160">
        <v>107520</v>
      </c>
      <c r="AX160" s="98" t="s">
        <v>757</v>
      </c>
      <c r="AY160">
        <f>MATCH(A160,VmSpecs[Original Hostname (CMO)],0)</f>
        <v>103</v>
      </c>
      <c r="AZ160" t="str" cm="1">
        <f t="array" ref="AZ160">INDEX(VmSpecs[VM Name],AY160)</f>
        <v>vmpfbpf2oes03</v>
      </c>
      <c r="BA160" t="str">
        <f t="shared" si="2"/>
        <v>ehgpfaasoes03</v>
      </c>
      <c r="BB160" t="s">
        <v>4280</v>
      </c>
      <c r="BD160" t="str" cm="1">
        <f t="array" ref="BD160">INDEX(VmSpecs[Server Role],AY160)</f>
        <v>OES N3</v>
      </c>
    </row>
    <row r="161" spans="1:56" hidden="1" x14ac:dyDescent="0.35">
      <c r="A161" t="s">
        <v>311</v>
      </c>
      <c r="B161" t="s">
        <v>4399</v>
      </c>
      <c r="C161" t="s">
        <v>63</v>
      </c>
      <c r="D161" t="s">
        <v>4400</v>
      </c>
      <c r="E161" t="s">
        <v>4401</v>
      </c>
      <c r="J161" t="s">
        <v>4468</v>
      </c>
      <c r="K161" t="s">
        <v>4469</v>
      </c>
      <c r="L161" t="s">
        <v>4404</v>
      </c>
      <c r="P161" t="s">
        <v>4340</v>
      </c>
      <c r="R161" t="s">
        <v>58</v>
      </c>
      <c r="S161">
        <v>4</v>
      </c>
      <c r="T161" t="s">
        <v>4416</v>
      </c>
      <c r="V161">
        <v>16384</v>
      </c>
      <c r="X161" t="s">
        <v>4406</v>
      </c>
      <c r="Y161" t="s">
        <v>4407</v>
      </c>
      <c r="Z161" t="s">
        <v>4408</v>
      </c>
      <c r="AA161" t="s">
        <v>4409</v>
      </c>
      <c r="AG161" t="s">
        <v>64</v>
      </c>
      <c r="AJ161" t="s">
        <v>4601</v>
      </c>
      <c r="AL161" t="s">
        <v>4411</v>
      </c>
      <c r="AN161" t="s">
        <v>4412</v>
      </c>
      <c r="AO161" t="s">
        <v>4413</v>
      </c>
      <c r="AQ161">
        <v>2</v>
      </c>
      <c r="AS161">
        <v>107520</v>
      </c>
      <c r="AX161" s="98" t="s">
        <v>757</v>
      </c>
      <c r="AY161">
        <f>MATCH(A161,VmSpecs[Original Hostname (CMO)],0)</f>
        <v>104</v>
      </c>
      <c r="AZ161" t="str" cm="1">
        <f t="array" ref="AZ161">INDEX(VmSpecs[VM Name],AY161)</f>
        <v>vmpfbpf2oes04</v>
      </c>
      <c r="BA161" t="str">
        <f t="shared" si="2"/>
        <v>ehgpfaasoes04</v>
      </c>
      <c r="BB161" t="s">
        <v>4280</v>
      </c>
      <c r="BD161" t="str" cm="1">
        <f t="array" ref="BD161">INDEX(VmSpecs[Server Role],AY161)</f>
        <v>OES N4</v>
      </c>
    </row>
    <row r="162" spans="1:56" hidden="1" x14ac:dyDescent="0.35">
      <c r="A162" t="s">
        <v>313</v>
      </c>
      <c r="B162" t="s">
        <v>4399</v>
      </c>
      <c r="C162" t="s">
        <v>63</v>
      </c>
      <c r="D162" t="s">
        <v>4400</v>
      </c>
      <c r="E162" t="s">
        <v>4401</v>
      </c>
      <c r="J162" t="s">
        <v>4468</v>
      </c>
      <c r="K162" t="s">
        <v>4469</v>
      </c>
      <c r="L162" t="s">
        <v>4404</v>
      </c>
      <c r="P162" t="s">
        <v>4340</v>
      </c>
      <c r="R162" t="s">
        <v>58</v>
      </c>
      <c r="S162">
        <v>4</v>
      </c>
      <c r="T162" t="s">
        <v>4416</v>
      </c>
      <c r="V162">
        <v>16384</v>
      </c>
      <c r="X162" t="s">
        <v>4406</v>
      </c>
      <c r="Y162" t="s">
        <v>4407</v>
      </c>
      <c r="Z162" t="s">
        <v>4408</v>
      </c>
      <c r="AA162" t="s">
        <v>4409</v>
      </c>
      <c r="AG162" t="s">
        <v>64</v>
      </c>
      <c r="AJ162" t="s">
        <v>4602</v>
      </c>
      <c r="AL162" t="s">
        <v>4411</v>
      </c>
      <c r="AN162" t="s">
        <v>4412</v>
      </c>
      <c r="AO162" t="s">
        <v>4413</v>
      </c>
      <c r="AQ162">
        <v>2</v>
      </c>
      <c r="AS162">
        <v>107520</v>
      </c>
      <c r="AX162" s="98" t="s">
        <v>757</v>
      </c>
      <c r="AY162">
        <f>MATCH(A162,VmSpecs[Original Hostname (CMO)],0)</f>
        <v>105</v>
      </c>
      <c r="AZ162" t="str" cm="1">
        <f t="array" ref="AZ162">INDEX(VmSpecs[VM Name],AY162)</f>
        <v>vmpfbpf2oes05</v>
      </c>
      <c r="BA162" t="str">
        <f t="shared" si="2"/>
        <v>ehgpfaasoes05</v>
      </c>
      <c r="BB162" t="s">
        <v>4280</v>
      </c>
      <c r="BD162" t="str" cm="1">
        <f t="array" ref="BD162">INDEX(VmSpecs[Server Role],AY162)</f>
        <v>OES N5</v>
      </c>
    </row>
    <row r="163" spans="1:56" hidden="1" x14ac:dyDescent="0.35">
      <c r="A163" t="s">
        <v>315</v>
      </c>
      <c r="B163" t="s">
        <v>4399</v>
      </c>
      <c r="C163" t="s">
        <v>63</v>
      </c>
      <c r="D163" t="s">
        <v>4400</v>
      </c>
      <c r="E163" t="s">
        <v>4401</v>
      </c>
      <c r="J163" t="s">
        <v>4468</v>
      </c>
      <c r="K163" t="s">
        <v>4469</v>
      </c>
      <c r="L163" t="s">
        <v>4404</v>
      </c>
      <c r="P163" t="s">
        <v>4340</v>
      </c>
      <c r="R163" t="s">
        <v>58</v>
      </c>
      <c r="S163">
        <v>4</v>
      </c>
      <c r="T163" t="s">
        <v>4416</v>
      </c>
      <c r="V163">
        <v>16384</v>
      </c>
      <c r="X163" t="s">
        <v>4406</v>
      </c>
      <c r="Y163" t="s">
        <v>4407</v>
      </c>
      <c r="Z163" t="s">
        <v>4408</v>
      </c>
      <c r="AA163" t="s">
        <v>4409</v>
      </c>
      <c r="AG163" t="s">
        <v>64</v>
      </c>
      <c r="AJ163" t="s">
        <v>4603</v>
      </c>
      <c r="AL163" t="s">
        <v>4411</v>
      </c>
      <c r="AN163" t="s">
        <v>4412</v>
      </c>
      <c r="AO163" t="s">
        <v>4413</v>
      </c>
      <c r="AQ163">
        <v>2</v>
      </c>
      <c r="AS163">
        <v>107520</v>
      </c>
      <c r="AX163" s="98" t="s">
        <v>757</v>
      </c>
      <c r="AY163">
        <f>MATCH(A163,VmSpecs[Original Hostname (CMO)],0)</f>
        <v>106</v>
      </c>
      <c r="AZ163" t="str" cm="1">
        <f t="array" ref="AZ163">INDEX(VmSpecs[VM Name],AY163)</f>
        <v>vmpfbpf2oes06</v>
      </c>
      <c r="BA163" t="str">
        <f t="shared" si="2"/>
        <v>ehgpfaasoes06</v>
      </c>
      <c r="BB163" t="s">
        <v>4280</v>
      </c>
      <c r="BD163" t="str" cm="1">
        <f t="array" ref="BD163">INDEX(VmSpecs[Server Role],AY163)</f>
        <v>OES N6</v>
      </c>
    </row>
    <row r="164" spans="1:56" hidden="1" x14ac:dyDescent="0.35">
      <c r="A164" t="s">
        <v>317</v>
      </c>
      <c r="B164" t="s">
        <v>4399</v>
      </c>
      <c r="C164" t="s">
        <v>63</v>
      </c>
      <c r="D164" t="s">
        <v>4400</v>
      </c>
      <c r="E164" t="s">
        <v>4401</v>
      </c>
      <c r="J164" t="s">
        <v>4468</v>
      </c>
      <c r="K164" t="s">
        <v>4469</v>
      </c>
      <c r="L164" t="s">
        <v>4404</v>
      </c>
      <c r="P164" t="s">
        <v>4340</v>
      </c>
      <c r="R164" t="s">
        <v>58</v>
      </c>
      <c r="S164">
        <v>4</v>
      </c>
      <c r="T164" t="s">
        <v>4416</v>
      </c>
      <c r="V164">
        <v>16384</v>
      </c>
      <c r="X164" t="s">
        <v>4406</v>
      </c>
      <c r="Y164" t="s">
        <v>4407</v>
      </c>
      <c r="Z164" t="s">
        <v>4408</v>
      </c>
      <c r="AA164" t="s">
        <v>4409</v>
      </c>
      <c r="AG164" t="s">
        <v>64</v>
      </c>
      <c r="AJ164" t="s">
        <v>4604</v>
      </c>
      <c r="AL164" t="s">
        <v>4411</v>
      </c>
      <c r="AN164" t="s">
        <v>4412</v>
      </c>
      <c r="AO164" t="s">
        <v>4413</v>
      </c>
      <c r="AQ164">
        <v>2</v>
      </c>
      <c r="AS164">
        <v>107520</v>
      </c>
      <c r="AX164" s="98" t="s">
        <v>757</v>
      </c>
      <c r="AY164">
        <f>MATCH(A164,VmSpecs[Original Hostname (CMO)],0)</f>
        <v>107</v>
      </c>
      <c r="AZ164" t="str" cm="1">
        <f t="array" ref="AZ164">INDEX(VmSpecs[VM Name],AY164)</f>
        <v>vmpfbpf2oes07</v>
      </c>
      <c r="BA164" t="str">
        <f t="shared" si="2"/>
        <v>ehgpfaasoes07</v>
      </c>
      <c r="BB164" t="s">
        <v>4280</v>
      </c>
      <c r="BD164" t="str" cm="1">
        <f t="array" ref="BD164">INDEX(VmSpecs[Server Role],AY164)</f>
        <v>OES N7</v>
      </c>
    </row>
    <row r="165" spans="1:56" hidden="1" x14ac:dyDescent="0.35">
      <c r="A165" t="s">
        <v>319</v>
      </c>
      <c r="B165" t="s">
        <v>4399</v>
      </c>
      <c r="C165" t="s">
        <v>63</v>
      </c>
      <c r="D165" t="s">
        <v>4400</v>
      </c>
      <c r="E165" t="s">
        <v>4401</v>
      </c>
      <c r="J165" t="s">
        <v>4468</v>
      </c>
      <c r="K165" t="s">
        <v>4469</v>
      </c>
      <c r="L165" t="s">
        <v>4404</v>
      </c>
      <c r="P165" t="s">
        <v>4340</v>
      </c>
      <c r="R165" t="s">
        <v>58</v>
      </c>
      <c r="S165">
        <v>4</v>
      </c>
      <c r="T165" t="s">
        <v>4416</v>
      </c>
      <c r="V165">
        <v>16384</v>
      </c>
      <c r="X165" t="s">
        <v>4406</v>
      </c>
      <c r="Y165" t="s">
        <v>4407</v>
      </c>
      <c r="Z165" t="s">
        <v>4408</v>
      </c>
      <c r="AA165" t="s">
        <v>4409</v>
      </c>
      <c r="AG165" t="s">
        <v>64</v>
      </c>
      <c r="AJ165" t="s">
        <v>4605</v>
      </c>
      <c r="AL165" t="s">
        <v>4411</v>
      </c>
      <c r="AN165" t="s">
        <v>4412</v>
      </c>
      <c r="AO165" t="s">
        <v>4413</v>
      </c>
      <c r="AQ165">
        <v>2</v>
      </c>
      <c r="AS165">
        <v>107520</v>
      </c>
      <c r="AX165" s="98" t="s">
        <v>757</v>
      </c>
      <c r="AY165">
        <f>MATCH(A165,VmSpecs[Original Hostname (CMO)],0)</f>
        <v>108</v>
      </c>
      <c r="AZ165" t="str" cm="1">
        <f t="array" ref="AZ165">INDEX(VmSpecs[VM Name],AY165)</f>
        <v>vmpfbpf2oes08</v>
      </c>
      <c r="BA165" t="str">
        <f t="shared" si="2"/>
        <v>ehgpfaasoes08</v>
      </c>
      <c r="BB165" t="s">
        <v>4280</v>
      </c>
      <c r="BD165" t="str" cm="1">
        <f t="array" ref="BD165">INDEX(VmSpecs[Server Role],AY165)</f>
        <v>OES N8</v>
      </c>
    </row>
    <row r="166" spans="1:56" hidden="1" x14ac:dyDescent="0.35">
      <c r="A166" t="s">
        <v>321</v>
      </c>
      <c r="B166" t="s">
        <v>4399</v>
      </c>
      <c r="C166" t="s">
        <v>63</v>
      </c>
      <c r="D166" t="s">
        <v>4400</v>
      </c>
      <c r="E166" t="s">
        <v>4401</v>
      </c>
      <c r="J166" t="s">
        <v>4468</v>
      </c>
      <c r="K166" t="s">
        <v>4469</v>
      </c>
      <c r="L166" t="s">
        <v>4404</v>
      </c>
      <c r="P166" t="s">
        <v>4340</v>
      </c>
      <c r="R166" t="s">
        <v>58</v>
      </c>
      <c r="S166">
        <v>4</v>
      </c>
      <c r="T166" t="s">
        <v>4416</v>
      </c>
      <c r="V166">
        <v>16384</v>
      </c>
      <c r="X166" t="s">
        <v>4406</v>
      </c>
      <c r="Y166" t="s">
        <v>4407</v>
      </c>
      <c r="Z166" t="s">
        <v>4408</v>
      </c>
      <c r="AA166" t="s">
        <v>4409</v>
      </c>
      <c r="AG166" t="s">
        <v>64</v>
      </c>
      <c r="AJ166" t="s">
        <v>4606</v>
      </c>
      <c r="AL166" t="s">
        <v>4411</v>
      </c>
      <c r="AN166" t="s">
        <v>4412</v>
      </c>
      <c r="AO166" t="s">
        <v>4413</v>
      </c>
      <c r="AQ166">
        <v>2</v>
      </c>
      <c r="AS166">
        <v>107520</v>
      </c>
      <c r="AX166" s="98" t="s">
        <v>757</v>
      </c>
      <c r="AY166">
        <f>MATCH(A166,VmSpecs[Original Hostname (CMO)],0)</f>
        <v>109</v>
      </c>
      <c r="AZ166" t="str" cm="1">
        <f t="array" ref="AZ166">INDEX(VmSpecs[VM Name],AY166)</f>
        <v>vmpfbpf2oes09</v>
      </c>
      <c r="BA166" t="str">
        <f t="shared" si="2"/>
        <v>ehgpfaasoes09</v>
      </c>
      <c r="BB166" t="s">
        <v>4280</v>
      </c>
      <c r="BD166" t="str" cm="1">
        <f t="array" ref="BD166">INDEX(VmSpecs[Server Role],AY166)</f>
        <v>OES N9</v>
      </c>
    </row>
    <row r="167" spans="1:56" hidden="1" x14ac:dyDescent="0.35">
      <c r="A167" t="s">
        <v>226</v>
      </c>
      <c r="B167" t="s">
        <v>4399</v>
      </c>
      <c r="C167" t="s">
        <v>63</v>
      </c>
      <c r="D167" t="s">
        <v>4400</v>
      </c>
      <c r="E167" t="s">
        <v>4401</v>
      </c>
      <c r="J167" t="s">
        <v>4486</v>
      </c>
      <c r="K167" t="s">
        <v>4487</v>
      </c>
      <c r="L167" t="s">
        <v>4404</v>
      </c>
      <c r="P167" t="s">
        <v>4340</v>
      </c>
      <c r="R167" t="s">
        <v>58</v>
      </c>
      <c r="S167">
        <v>6</v>
      </c>
      <c r="V167">
        <v>24576</v>
      </c>
      <c r="AJ167" t="s">
        <v>4487</v>
      </c>
      <c r="AL167" t="s">
        <v>4411</v>
      </c>
      <c r="AN167" t="s">
        <v>4412</v>
      </c>
      <c r="AQ167">
        <v>2</v>
      </c>
      <c r="AX167" s="98" t="s">
        <v>801</v>
      </c>
      <c r="AY167">
        <f>MATCH(A167,VmSpecs[Original Hostname (CMO)],0)</f>
        <v>68</v>
      </c>
      <c r="AZ167" t="str" cm="1">
        <f t="array" ref="AZ167">INDEX(VmSpecs[VM Name],AY167)</f>
        <v>vmpfbpf2hdr24</v>
      </c>
      <c r="BA167" t="str">
        <f t="shared" si="2"/>
        <v>ehgpfaashdr24</v>
      </c>
      <c r="BB167" t="s">
        <v>4280</v>
      </c>
      <c r="BD167" t="str" cm="1">
        <f t="array" ref="BD167">INDEX(VmSpecs[Server Role],AY167)</f>
        <v>HDR</v>
      </c>
    </row>
    <row r="168" spans="1:56" hidden="1" x14ac:dyDescent="0.35">
      <c r="A168" t="s">
        <v>229</v>
      </c>
      <c r="B168" t="s">
        <v>4399</v>
      </c>
      <c r="C168" t="s">
        <v>63</v>
      </c>
      <c r="D168" t="s">
        <v>4400</v>
      </c>
      <c r="E168" t="s">
        <v>4401</v>
      </c>
      <c r="J168" t="s">
        <v>4486</v>
      </c>
      <c r="K168" t="s">
        <v>4487</v>
      </c>
      <c r="L168" t="s">
        <v>4404</v>
      </c>
      <c r="P168" t="s">
        <v>4340</v>
      </c>
      <c r="R168" t="s">
        <v>58</v>
      </c>
      <c r="S168">
        <v>6</v>
      </c>
      <c r="V168">
        <v>24576</v>
      </c>
      <c r="AJ168" t="s">
        <v>4487</v>
      </c>
      <c r="AL168" t="s">
        <v>4411</v>
      </c>
      <c r="AN168" t="s">
        <v>4412</v>
      </c>
      <c r="AQ168">
        <v>2</v>
      </c>
      <c r="AX168" s="98" t="s">
        <v>801</v>
      </c>
      <c r="AY168">
        <f>MATCH(A168,VmSpecs[Original Hostname (CMO)],0)</f>
        <v>69</v>
      </c>
      <c r="AZ168" t="str" cm="1">
        <f t="array" ref="AZ168">INDEX(VmSpecs[VM Name],AY168)</f>
        <v>vmpfbpf2hdr25</v>
      </c>
      <c r="BA168" t="str">
        <f t="shared" si="2"/>
        <v>ehgpfaashdr25</v>
      </c>
      <c r="BB168" t="s">
        <v>4280</v>
      </c>
      <c r="BD168" t="str" cm="1">
        <f t="array" ref="BD168">INDEX(VmSpecs[Server Role],AY168)</f>
        <v>HDR</v>
      </c>
    </row>
    <row r="169" spans="1:56" hidden="1" x14ac:dyDescent="0.35">
      <c r="A169" t="s">
        <v>232</v>
      </c>
      <c r="B169" t="s">
        <v>4399</v>
      </c>
      <c r="C169" t="s">
        <v>63</v>
      </c>
      <c r="D169" t="s">
        <v>4400</v>
      </c>
      <c r="E169" t="s">
        <v>4401</v>
      </c>
      <c r="J169" t="s">
        <v>4486</v>
      </c>
      <c r="K169" t="s">
        <v>4487</v>
      </c>
      <c r="L169" t="s">
        <v>4404</v>
      </c>
      <c r="P169" t="s">
        <v>4340</v>
      </c>
      <c r="R169" t="s">
        <v>58</v>
      </c>
      <c r="S169">
        <v>6</v>
      </c>
      <c r="V169">
        <v>24576</v>
      </c>
      <c r="AJ169" t="s">
        <v>4487</v>
      </c>
      <c r="AL169" t="s">
        <v>4411</v>
      </c>
      <c r="AN169" t="s">
        <v>4412</v>
      </c>
      <c r="AQ169">
        <v>2</v>
      </c>
      <c r="AX169" s="98" t="s">
        <v>801</v>
      </c>
      <c r="AY169">
        <f>MATCH(A169,VmSpecs[Original Hostname (CMO)],0)</f>
        <v>70</v>
      </c>
      <c r="AZ169" t="str" cm="1">
        <f t="array" ref="AZ169">INDEX(VmSpecs[VM Name],AY169)</f>
        <v>vmpfbpf2hdr26</v>
      </c>
      <c r="BA169" t="str">
        <f t="shared" si="2"/>
        <v>ehgpfaashdr26</v>
      </c>
      <c r="BB169" t="s">
        <v>4280</v>
      </c>
      <c r="BD169" t="str" cm="1">
        <f t="array" ref="BD169">INDEX(VmSpecs[Server Role],AY169)</f>
        <v>HDR</v>
      </c>
    </row>
    <row r="170" spans="1:56" hidden="1" x14ac:dyDescent="0.35">
      <c r="A170" t="s">
        <v>235</v>
      </c>
      <c r="B170" t="s">
        <v>4399</v>
      </c>
      <c r="C170" t="s">
        <v>63</v>
      </c>
      <c r="D170" t="s">
        <v>4400</v>
      </c>
      <c r="E170" t="s">
        <v>4401</v>
      </c>
      <c r="J170" t="s">
        <v>4486</v>
      </c>
      <c r="K170" t="s">
        <v>4487</v>
      </c>
      <c r="L170" t="s">
        <v>4404</v>
      </c>
      <c r="P170" t="s">
        <v>4340</v>
      </c>
      <c r="R170" t="s">
        <v>58</v>
      </c>
      <c r="S170">
        <v>6</v>
      </c>
      <c r="V170">
        <v>24576</v>
      </c>
      <c r="AJ170" t="s">
        <v>4487</v>
      </c>
      <c r="AL170" t="s">
        <v>4411</v>
      </c>
      <c r="AN170" t="s">
        <v>4412</v>
      </c>
      <c r="AQ170">
        <v>2</v>
      </c>
      <c r="AX170" s="98" t="s">
        <v>801</v>
      </c>
      <c r="AY170">
        <f>MATCH(A170,VmSpecs[Original Hostname (CMO)],0)</f>
        <v>71</v>
      </c>
      <c r="AZ170" t="str" cm="1">
        <f t="array" ref="AZ170">INDEX(VmSpecs[VM Name],AY170)</f>
        <v>vmpfbpf2hdr27</v>
      </c>
      <c r="BA170" t="str">
        <f t="shared" si="2"/>
        <v>ehgpfaashdr27</v>
      </c>
      <c r="BB170" t="s">
        <v>4280</v>
      </c>
      <c r="BD170" t="str" cm="1">
        <f t="array" ref="BD170">INDEX(VmSpecs[Server Role],AY170)</f>
        <v>HDR</v>
      </c>
    </row>
    <row r="171" spans="1:56" hidden="1" x14ac:dyDescent="0.35">
      <c r="A171" t="s">
        <v>238</v>
      </c>
      <c r="B171" t="s">
        <v>4399</v>
      </c>
      <c r="C171" t="s">
        <v>63</v>
      </c>
      <c r="D171" t="s">
        <v>4400</v>
      </c>
      <c r="E171" t="s">
        <v>4401</v>
      </c>
      <c r="J171" t="s">
        <v>4486</v>
      </c>
      <c r="K171" t="s">
        <v>4487</v>
      </c>
      <c r="L171" t="s">
        <v>4404</v>
      </c>
      <c r="P171" t="s">
        <v>4340</v>
      </c>
      <c r="R171" t="s">
        <v>58</v>
      </c>
      <c r="S171">
        <v>6</v>
      </c>
      <c r="V171">
        <v>24576</v>
      </c>
      <c r="AJ171" t="s">
        <v>4487</v>
      </c>
      <c r="AL171" t="s">
        <v>4411</v>
      </c>
      <c r="AN171" t="s">
        <v>4412</v>
      </c>
      <c r="AQ171">
        <v>2</v>
      </c>
      <c r="AX171" s="98" t="s">
        <v>801</v>
      </c>
      <c r="AY171">
        <f>MATCH(A171,VmSpecs[Original Hostname (CMO)],0)</f>
        <v>72</v>
      </c>
      <c r="AZ171" t="str" cm="1">
        <f t="array" ref="AZ171">INDEX(VmSpecs[VM Name],AY171)</f>
        <v>vmpfbpf2hdr28</v>
      </c>
      <c r="BA171" t="str">
        <f t="shared" si="2"/>
        <v>ehgpfaashdr28</v>
      </c>
      <c r="BB171" t="s">
        <v>4280</v>
      </c>
      <c r="BD171" t="str" cm="1">
        <f t="array" ref="BD171">INDEX(VmSpecs[Server Role],AY171)</f>
        <v>HDR</v>
      </c>
    </row>
    <row r="172" spans="1:56" hidden="1" x14ac:dyDescent="0.35">
      <c r="A172" t="s">
        <v>241</v>
      </c>
      <c r="B172" t="s">
        <v>4399</v>
      </c>
      <c r="C172" t="s">
        <v>63</v>
      </c>
      <c r="D172" t="s">
        <v>4400</v>
      </c>
      <c r="E172" t="s">
        <v>4401</v>
      </c>
      <c r="J172" t="s">
        <v>4486</v>
      </c>
      <c r="K172" t="s">
        <v>4487</v>
      </c>
      <c r="L172" t="s">
        <v>4404</v>
      </c>
      <c r="P172" t="s">
        <v>4340</v>
      </c>
      <c r="R172" t="s">
        <v>58</v>
      </c>
      <c r="S172">
        <v>6</v>
      </c>
      <c r="V172">
        <v>24576</v>
      </c>
      <c r="AJ172" t="s">
        <v>4487</v>
      </c>
      <c r="AL172" t="s">
        <v>4411</v>
      </c>
      <c r="AN172" t="s">
        <v>4412</v>
      </c>
      <c r="AQ172">
        <v>2</v>
      </c>
      <c r="AX172" s="98" t="s">
        <v>801</v>
      </c>
      <c r="AY172">
        <f>MATCH(A172,VmSpecs[Original Hostname (CMO)],0)</f>
        <v>73</v>
      </c>
      <c r="AZ172" t="str" cm="1">
        <f t="array" ref="AZ172">INDEX(VmSpecs[VM Name],AY172)</f>
        <v>vmpfbpf2hdr29</v>
      </c>
      <c r="BA172" t="str">
        <f t="shared" si="2"/>
        <v>ehgpfaashdr29</v>
      </c>
      <c r="BB172" t="s">
        <v>4280</v>
      </c>
      <c r="BD172" t="str" cm="1">
        <f t="array" ref="BD172">INDEX(VmSpecs[Server Role],AY172)</f>
        <v>HDR</v>
      </c>
    </row>
    <row r="173" spans="1:56" hidden="1" x14ac:dyDescent="0.35">
      <c r="A173" t="s">
        <v>244</v>
      </c>
      <c r="B173" t="s">
        <v>4399</v>
      </c>
      <c r="C173" t="s">
        <v>63</v>
      </c>
      <c r="D173" t="s">
        <v>4400</v>
      </c>
      <c r="E173" t="s">
        <v>4401</v>
      </c>
      <c r="J173" t="s">
        <v>4486</v>
      </c>
      <c r="K173" t="s">
        <v>4487</v>
      </c>
      <c r="L173" t="s">
        <v>4404</v>
      </c>
      <c r="P173" t="s">
        <v>4340</v>
      </c>
      <c r="R173" t="s">
        <v>58</v>
      </c>
      <c r="S173">
        <v>6</v>
      </c>
      <c r="V173">
        <v>24576</v>
      </c>
      <c r="AJ173" t="s">
        <v>4487</v>
      </c>
      <c r="AL173" t="s">
        <v>4411</v>
      </c>
      <c r="AN173" t="s">
        <v>4412</v>
      </c>
      <c r="AQ173">
        <v>2</v>
      </c>
      <c r="AX173" s="98" t="s">
        <v>801</v>
      </c>
      <c r="AY173">
        <f>MATCH(A173,VmSpecs[Original Hostname (CMO)],0)</f>
        <v>74</v>
      </c>
      <c r="AZ173" t="str" cm="1">
        <f t="array" ref="AZ173">INDEX(VmSpecs[VM Name],AY173)</f>
        <v>vmpfbpf2hdr30</v>
      </c>
      <c r="BA173" t="str">
        <f t="shared" si="2"/>
        <v>ehgpfaashdr30</v>
      </c>
      <c r="BB173" t="s">
        <v>4280</v>
      </c>
      <c r="BD173" t="str" cm="1">
        <f t="array" ref="BD173">INDEX(VmSpecs[Server Role],AY173)</f>
        <v>HDR</v>
      </c>
    </row>
    <row r="174" spans="1:56" hidden="1" x14ac:dyDescent="0.35">
      <c r="A174" t="s">
        <v>247</v>
      </c>
      <c r="B174" t="s">
        <v>4399</v>
      </c>
      <c r="C174" t="s">
        <v>63</v>
      </c>
      <c r="D174" t="s">
        <v>4400</v>
      </c>
      <c r="E174" t="s">
        <v>4401</v>
      </c>
      <c r="J174" t="s">
        <v>4486</v>
      </c>
      <c r="K174" t="s">
        <v>4487</v>
      </c>
      <c r="L174" t="s">
        <v>4404</v>
      </c>
      <c r="P174" t="s">
        <v>4340</v>
      </c>
      <c r="R174" t="s">
        <v>58</v>
      </c>
      <c r="S174">
        <v>6</v>
      </c>
      <c r="V174">
        <v>24576</v>
      </c>
      <c r="AJ174" t="s">
        <v>4487</v>
      </c>
      <c r="AL174" t="s">
        <v>4411</v>
      </c>
      <c r="AN174" t="s">
        <v>4412</v>
      </c>
      <c r="AQ174">
        <v>2</v>
      </c>
      <c r="AX174" s="98" t="s">
        <v>801</v>
      </c>
      <c r="AY174">
        <f>MATCH(A174,VmSpecs[Original Hostname (CMO)],0)</f>
        <v>75</v>
      </c>
      <c r="AZ174" t="str" cm="1">
        <f t="array" ref="AZ174">INDEX(VmSpecs[VM Name],AY174)</f>
        <v>vmpfbpf2hdr31</v>
      </c>
      <c r="BA174" t="str">
        <f t="shared" si="2"/>
        <v>ehgpfaashdr31</v>
      </c>
      <c r="BB174" t="s">
        <v>4280</v>
      </c>
      <c r="BD174" t="str" cm="1">
        <f t="array" ref="BD174">INDEX(VmSpecs[Server Role],AY174)</f>
        <v>HDR</v>
      </c>
    </row>
    <row r="175" spans="1:56" hidden="1" x14ac:dyDescent="0.35">
      <c r="A175" t="s">
        <v>250</v>
      </c>
      <c r="B175" t="s">
        <v>4399</v>
      </c>
      <c r="C175" t="s">
        <v>63</v>
      </c>
      <c r="D175" t="s">
        <v>4400</v>
      </c>
      <c r="E175" t="s">
        <v>4401</v>
      </c>
      <c r="J175" t="s">
        <v>4486</v>
      </c>
      <c r="K175" t="s">
        <v>4487</v>
      </c>
      <c r="L175" t="s">
        <v>4404</v>
      </c>
      <c r="P175" t="s">
        <v>4340</v>
      </c>
      <c r="R175" t="s">
        <v>58</v>
      </c>
      <c r="S175">
        <v>6</v>
      </c>
      <c r="V175">
        <v>24576</v>
      </c>
      <c r="AJ175" t="s">
        <v>4487</v>
      </c>
      <c r="AL175" t="s">
        <v>4411</v>
      </c>
      <c r="AN175" t="s">
        <v>4412</v>
      </c>
      <c r="AQ175">
        <v>2</v>
      </c>
      <c r="AX175" s="98" t="s">
        <v>801</v>
      </c>
      <c r="AY175">
        <f>MATCH(A175,VmSpecs[Original Hostname (CMO)],0)</f>
        <v>76</v>
      </c>
      <c r="AZ175" t="str" cm="1">
        <f t="array" ref="AZ175">INDEX(VmSpecs[VM Name],AY175)</f>
        <v>vmpfbpf2hdr32</v>
      </c>
      <c r="BA175" t="str">
        <f t="shared" si="2"/>
        <v>ehgpfaashdr32</v>
      </c>
      <c r="BB175" t="s">
        <v>4280</v>
      </c>
      <c r="BD175" t="str" cm="1">
        <f t="array" ref="BD175">INDEX(VmSpecs[Server Role],AY175)</f>
        <v>HDR</v>
      </c>
    </row>
    <row r="176" spans="1:56" hidden="1" x14ac:dyDescent="0.35">
      <c r="A176" t="s">
        <v>253</v>
      </c>
      <c r="B176" t="s">
        <v>4399</v>
      </c>
      <c r="C176" t="s">
        <v>63</v>
      </c>
      <c r="D176" t="s">
        <v>4400</v>
      </c>
      <c r="E176" t="s">
        <v>4401</v>
      </c>
      <c r="J176" t="s">
        <v>4486</v>
      </c>
      <c r="K176" t="s">
        <v>4487</v>
      </c>
      <c r="L176" t="s">
        <v>4404</v>
      </c>
      <c r="P176" t="s">
        <v>4340</v>
      </c>
      <c r="R176" t="s">
        <v>58</v>
      </c>
      <c r="S176">
        <v>6</v>
      </c>
      <c r="V176">
        <v>24576</v>
      </c>
      <c r="AJ176" t="s">
        <v>4487</v>
      </c>
      <c r="AL176" t="s">
        <v>4411</v>
      </c>
      <c r="AN176" t="s">
        <v>4412</v>
      </c>
      <c r="AQ176">
        <v>2</v>
      </c>
      <c r="AX176" s="98" t="s">
        <v>801</v>
      </c>
      <c r="AY176">
        <f>MATCH(A176,VmSpecs[Original Hostname (CMO)],0)</f>
        <v>77</v>
      </c>
      <c r="AZ176" t="str" cm="1">
        <f t="array" ref="AZ176">INDEX(VmSpecs[VM Name],AY176)</f>
        <v>vmpfbpf2hdr33</v>
      </c>
      <c r="BA176" t="str">
        <f t="shared" si="2"/>
        <v>ehgpfaashdr33</v>
      </c>
      <c r="BB176" t="s">
        <v>4280</v>
      </c>
      <c r="BD176" t="str" cm="1">
        <f t="array" ref="BD176">INDEX(VmSpecs[Server Role],AY176)</f>
        <v>HDR</v>
      </c>
    </row>
    <row r="177" spans="1:56" hidden="1" x14ac:dyDescent="0.35">
      <c r="A177" t="s">
        <v>615</v>
      </c>
      <c r="B177" t="s">
        <v>4399</v>
      </c>
      <c r="C177" t="s">
        <v>63</v>
      </c>
      <c r="D177" t="s">
        <v>4400</v>
      </c>
      <c r="E177" t="s">
        <v>4401</v>
      </c>
      <c r="J177" t="s">
        <v>4607</v>
      </c>
      <c r="K177" t="s">
        <v>4608</v>
      </c>
      <c r="L177" t="s">
        <v>4404</v>
      </c>
      <c r="P177" t="s">
        <v>4340</v>
      </c>
      <c r="R177" t="s">
        <v>58</v>
      </c>
      <c r="S177">
        <v>2</v>
      </c>
      <c r="T177" t="s">
        <v>4416</v>
      </c>
      <c r="V177">
        <v>4096</v>
      </c>
      <c r="X177" t="s">
        <v>4406</v>
      </c>
      <c r="Y177" t="s">
        <v>4407</v>
      </c>
      <c r="Z177" t="s">
        <v>4408</v>
      </c>
      <c r="AA177" t="s">
        <v>4420</v>
      </c>
      <c r="AG177" t="s">
        <v>64</v>
      </c>
      <c r="AJ177" t="s">
        <v>4609</v>
      </c>
      <c r="AL177" t="s">
        <v>4411</v>
      </c>
      <c r="AN177" t="s">
        <v>4412</v>
      </c>
      <c r="AO177" t="s">
        <v>4413</v>
      </c>
      <c r="AQ177">
        <v>1</v>
      </c>
      <c r="AS177">
        <v>56320</v>
      </c>
      <c r="AX177" s="98" t="s">
        <v>1067</v>
      </c>
      <c r="AY177">
        <f>MATCH(A177,VmSpecs[Original Hostname (CMO)],0)</f>
        <v>252</v>
      </c>
      <c r="AZ177" t="str" cm="1">
        <f t="array" ref="AZ177">INDEX(VmSpecs[VM Name],AY177)</f>
        <v>vmpfbpf2oha01</v>
      </c>
      <c r="BA177" t="str">
        <f t="shared" si="2"/>
        <v>ehgpfawsoha01</v>
      </c>
      <c r="BB177" t="s">
        <v>4280</v>
      </c>
      <c r="BD177" t="str" cm="1">
        <f t="array" ref="BD177">INDEX(VmSpecs[Server Role],AY177)</f>
        <v>OHS-Admin/OBIEE N1</v>
      </c>
    </row>
    <row r="178" spans="1:56" hidden="1" x14ac:dyDescent="0.35">
      <c r="A178" t="s">
        <v>617</v>
      </c>
      <c r="B178" t="s">
        <v>4399</v>
      </c>
      <c r="C178" t="s">
        <v>63</v>
      </c>
      <c r="D178" t="s">
        <v>4400</v>
      </c>
      <c r="E178" t="s">
        <v>4401</v>
      </c>
      <c r="J178" t="s">
        <v>4607</v>
      </c>
      <c r="K178" t="s">
        <v>4608</v>
      </c>
      <c r="L178" t="s">
        <v>4404</v>
      </c>
      <c r="P178" t="s">
        <v>4340</v>
      </c>
      <c r="R178" t="s">
        <v>58</v>
      </c>
      <c r="S178">
        <v>2</v>
      </c>
      <c r="T178" t="s">
        <v>4416</v>
      </c>
      <c r="V178">
        <v>4096</v>
      </c>
      <c r="X178" t="s">
        <v>4406</v>
      </c>
      <c r="Y178" t="s">
        <v>4407</v>
      </c>
      <c r="Z178" t="s">
        <v>4408</v>
      </c>
      <c r="AA178" t="s">
        <v>4420</v>
      </c>
      <c r="AG178" t="s">
        <v>64</v>
      </c>
      <c r="AJ178" t="s">
        <v>4610</v>
      </c>
      <c r="AL178" t="s">
        <v>4411</v>
      </c>
      <c r="AN178" t="s">
        <v>4412</v>
      </c>
      <c r="AO178" t="s">
        <v>4413</v>
      </c>
      <c r="AQ178">
        <v>1</v>
      </c>
      <c r="AS178">
        <v>56320</v>
      </c>
      <c r="AX178" s="98" t="s">
        <v>1067</v>
      </c>
      <c r="AY178">
        <f>MATCH(A178,VmSpecs[Original Hostname (CMO)],0)</f>
        <v>253</v>
      </c>
      <c r="AZ178" t="str" cm="1">
        <f t="array" ref="AZ178">INDEX(VmSpecs[VM Name],AY178)</f>
        <v>vmpfbpf2oha02</v>
      </c>
      <c r="BA178" t="str">
        <f t="shared" si="2"/>
        <v>ehgpfawsoha02</v>
      </c>
      <c r="BB178" t="s">
        <v>4280</v>
      </c>
      <c r="BD178" t="str" cm="1">
        <f t="array" ref="BD178">INDEX(VmSpecs[Server Role],AY178)</f>
        <v>OHS-Admin/OBIEE N2</v>
      </c>
    </row>
    <row r="179" spans="1:56" hidden="1" x14ac:dyDescent="0.35">
      <c r="A179" t="s">
        <v>619</v>
      </c>
      <c r="B179" t="s">
        <v>4399</v>
      </c>
      <c r="C179" t="s">
        <v>63</v>
      </c>
      <c r="D179" t="s">
        <v>4400</v>
      </c>
      <c r="E179" t="s">
        <v>4401</v>
      </c>
      <c r="J179" t="s">
        <v>4611</v>
      </c>
      <c r="K179" t="s">
        <v>4612</v>
      </c>
      <c r="L179" t="s">
        <v>4404</v>
      </c>
      <c r="P179" t="s">
        <v>4340</v>
      </c>
      <c r="R179" t="s">
        <v>58</v>
      </c>
      <c r="S179">
        <v>8</v>
      </c>
      <c r="T179" t="s">
        <v>4416</v>
      </c>
      <c r="V179">
        <v>16384</v>
      </c>
      <c r="X179" t="s">
        <v>4406</v>
      </c>
      <c r="Y179" t="s">
        <v>4407</v>
      </c>
      <c r="Z179" t="s">
        <v>4408</v>
      </c>
      <c r="AA179" t="s">
        <v>4420</v>
      </c>
      <c r="AG179" t="s">
        <v>64</v>
      </c>
      <c r="AJ179" t="s">
        <v>4613</v>
      </c>
      <c r="AL179" t="s">
        <v>4411</v>
      </c>
      <c r="AN179" t="s">
        <v>4412</v>
      </c>
      <c r="AO179" t="s">
        <v>4413</v>
      </c>
      <c r="AQ179">
        <v>1</v>
      </c>
      <c r="AS179">
        <v>56320</v>
      </c>
      <c r="AX179" s="80" t="s">
        <v>801</v>
      </c>
      <c r="AY179">
        <f>MATCH(A179,VmSpecs[Original Hostname (CMO)],0)</f>
        <v>254</v>
      </c>
      <c r="AZ179" t="str" cm="1">
        <f t="array" ref="AZ179">INDEX(VmSpecs[VM Name],AY179)</f>
        <v>vmpfbpf2ohb01</v>
      </c>
      <c r="BA179" t="str">
        <f t="shared" si="2"/>
        <v>ehgpfawsohb01</v>
      </c>
      <c r="BB179" t="s">
        <v>4280</v>
      </c>
      <c r="BD179" t="str" cm="1">
        <f t="array" ref="BD179">INDEX(VmSpecs[Server Role],AY179)</f>
        <v>OHS-OAG B2B</v>
      </c>
    </row>
    <row r="180" spans="1:56" hidden="1" x14ac:dyDescent="0.35">
      <c r="A180" t="s">
        <v>622</v>
      </c>
      <c r="B180" t="s">
        <v>4399</v>
      </c>
      <c r="C180" t="s">
        <v>63</v>
      </c>
      <c r="D180" t="s">
        <v>4400</v>
      </c>
      <c r="E180" t="s">
        <v>4401</v>
      </c>
      <c r="J180" t="s">
        <v>4611</v>
      </c>
      <c r="K180" t="s">
        <v>4612</v>
      </c>
      <c r="L180" t="s">
        <v>4404</v>
      </c>
      <c r="P180" t="s">
        <v>4340</v>
      </c>
      <c r="R180" t="s">
        <v>58</v>
      </c>
      <c r="S180">
        <v>8</v>
      </c>
      <c r="T180" t="s">
        <v>4416</v>
      </c>
      <c r="V180">
        <v>16384</v>
      </c>
      <c r="X180" t="s">
        <v>4406</v>
      </c>
      <c r="Y180" t="s">
        <v>4407</v>
      </c>
      <c r="Z180" t="s">
        <v>4408</v>
      </c>
      <c r="AA180" t="s">
        <v>4420</v>
      </c>
      <c r="AG180" t="s">
        <v>64</v>
      </c>
      <c r="AJ180" t="s">
        <v>4613</v>
      </c>
      <c r="AL180" t="s">
        <v>4411</v>
      </c>
      <c r="AN180" t="s">
        <v>4412</v>
      </c>
      <c r="AO180" t="s">
        <v>4413</v>
      </c>
      <c r="AQ180">
        <v>1</v>
      </c>
      <c r="AS180">
        <v>56320</v>
      </c>
      <c r="AX180" s="80" t="s">
        <v>801</v>
      </c>
      <c r="AY180">
        <f>MATCH(A180,VmSpecs[Original Hostname (CMO)],0)</f>
        <v>255</v>
      </c>
      <c r="AZ180" t="str" cm="1">
        <f t="array" ref="AZ180">INDEX(VmSpecs[VM Name],AY180)</f>
        <v>vmpfbpf2ohb02</v>
      </c>
      <c r="BA180" t="str">
        <f t="shared" si="2"/>
        <v>ehgpfawsohb02</v>
      </c>
      <c r="BB180" t="s">
        <v>4280</v>
      </c>
      <c r="BD180" t="str" cm="1">
        <f t="array" ref="BD180">INDEX(VmSpecs[Server Role],AY180)</f>
        <v>OHS-OAG B2B</v>
      </c>
    </row>
    <row r="181" spans="1:56" hidden="1" x14ac:dyDescent="0.35">
      <c r="A181" t="s">
        <v>624</v>
      </c>
      <c r="B181" t="s">
        <v>4399</v>
      </c>
      <c r="C181" t="s">
        <v>63</v>
      </c>
      <c r="D181" t="s">
        <v>4400</v>
      </c>
      <c r="E181" t="s">
        <v>4401</v>
      </c>
      <c r="J181" t="s">
        <v>4611</v>
      </c>
      <c r="K181" t="s">
        <v>4612</v>
      </c>
      <c r="L181" t="s">
        <v>4404</v>
      </c>
      <c r="P181" t="s">
        <v>4340</v>
      </c>
      <c r="R181" t="s">
        <v>58</v>
      </c>
      <c r="S181">
        <v>8</v>
      </c>
      <c r="T181" t="s">
        <v>4416</v>
      </c>
      <c r="V181">
        <v>16384</v>
      </c>
      <c r="X181" t="s">
        <v>4406</v>
      </c>
      <c r="Y181" t="s">
        <v>4407</v>
      </c>
      <c r="Z181" t="s">
        <v>4408</v>
      </c>
      <c r="AA181" t="s">
        <v>4420</v>
      </c>
      <c r="AG181" t="s">
        <v>64</v>
      </c>
      <c r="AJ181" t="s">
        <v>4613</v>
      </c>
      <c r="AL181" t="s">
        <v>4411</v>
      </c>
      <c r="AN181" t="s">
        <v>4412</v>
      </c>
      <c r="AO181" t="s">
        <v>4413</v>
      </c>
      <c r="AQ181">
        <v>1</v>
      </c>
      <c r="AS181">
        <v>56320</v>
      </c>
      <c r="AX181" s="80" t="s">
        <v>801</v>
      </c>
      <c r="AY181">
        <f>MATCH(A181,VmSpecs[Original Hostname (CMO)],0)</f>
        <v>256</v>
      </c>
      <c r="AZ181" t="str" cm="1">
        <f t="array" ref="AZ181">INDEX(VmSpecs[VM Name],AY181)</f>
        <v>vmpfbpf2ohb03</v>
      </c>
      <c r="BA181" t="str">
        <f t="shared" si="2"/>
        <v>ehgpfawsohb03</v>
      </c>
      <c r="BB181" t="s">
        <v>4280</v>
      </c>
      <c r="BD181" t="str" cm="1">
        <f t="array" ref="BD181">INDEX(VmSpecs[Server Role],AY181)</f>
        <v>OHS-OAG B2B</v>
      </c>
    </row>
    <row r="182" spans="1:56" hidden="1" x14ac:dyDescent="0.35">
      <c r="A182" t="s">
        <v>626</v>
      </c>
      <c r="B182" t="s">
        <v>4399</v>
      </c>
      <c r="C182" t="s">
        <v>63</v>
      </c>
      <c r="D182" t="s">
        <v>4400</v>
      </c>
      <c r="E182" t="s">
        <v>4401</v>
      </c>
      <c r="J182" t="s">
        <v>4611</v>
      </c>
      <c r="K182" t="s">
        <v>4612</v>
      </c>
      <c r="L182" t="s">
        <v>4404</v>
      </c>
      <c r="P182" t="s">
        <v>4340</v>
      </c>
      <c r="R182" t="s">
        <v>58</v>
      </c>
      <c r="S182">
        <v>8</v>
      </c>
      <c r="T182" t="s">
        <v>4416</v>
      </c>
      <c r="V182">
        <v>16384</v>
      </c>
      <c r="X182" t="s">
        <v>4406</v>
      </c>
      <c r="Y182" t="s">
        <v>4407</v>
      </c>
      <c r="Z182" t="s">
        <v>4408</v>
      </c>
      <c r="AA182" t="s">
        <v>4420</v>
      </c>
      <c r="AG182" t="s">
        <v>64</v>
      </c>
      <c r="AJ182" t="s">
        <v>4613</v>
      </c>
      <c r="AL182" t="s">
        <v>4411</v>
      </c>
      <c r="AN182" t="s">
        <v>4412</v>
      </c>
      <c r="AO182" t="s">
        <v>4413</v>
      </c>
      <c r="AQ182">
        <v>1</v>
      </c>
      <c r="AS182">
        <v>56320</v>
      </c>
      <c r="AX182" s="80" t="s">
        <v>801</v>
      </c>
      <c r="AY182">
        <f>MATCH(A182,VmSpecs[Original Hostname (CMO)],0)</f>
        <v>257</v>
      </c>
      <c r="AZ182" t="str" cm="1">
        <f t="array" ref="AZ182">INDEX(VmSpecs[VM Name],AY182)</f>
        <v>vmpfbpf2ohb04</v>
      </c>
      <c r="BA182" t="str">
        <f t="shared" si="2"/>
        <v>ehgpfawsohb04</v>
      </c>
      <c r="BB182" t="s">
        <v>4280</v>
      </c>
      <c r="BD182" t="str" cm="1">
        <f t="array" ref="BD182">INDEX(VmSpecs[Server Role],AY182)</f>
        <v>OHS-OAG B2B</v>
      </c>
    </row>
    <row r="183" spans="1:56" hidden="1" x14ac:dyDescent="0.35">
      <c r="A183" t="s">
        <v>628</v>
      </c>
      <c r="B183" t="s">
        <v>4399</v>
      </c>
      <c r="C183" t="s">
        <v>63</v>
      </c>
      <c r="D183" t="s">
        <v>4400</v>
      </c>
      <c r="E183" t="s">
        <v>4401</v>
      </c>
      <c r="J183" t="s">
        <v>4611</v>
      </c>
      <c r="K183" t="s">
        <v>4612</v>
      </c>
      <c r="L183" t="s">
        <v>4404</v>
      </c>
      <c r="P183" t="s">
        <v>4340</v>
      </c>
      <c r="R183" t="s">
        <v>58</v>
      </c>
      <c r="S183">
        <v>8</v>
      </c>
      <c r="T183" t="s">
        <v>4416</v>
      </c>
      <c r="V183">
        <v>16384</v>
      </c>
      <c r="X183" t="s">
        <v>4406</v>
      </c>
      <c r="Y183" t="s">
        <v>4407</v>
      </c>
      <c r="Z183" t="s">
        <v>4408</v>
      </c>
      <c r="AA183" t="s">
        <v>4420</v>
      </c>
      <c r="AG183" t="s">
        <v>64</v>
      </c>
      <c r="AJ183" t="s">
        <v>4613</v>
      </c>
      <c r="AL183" t="s">
        <v>4411</v>
      </c>
      <c r="AN183" t="s">
        <v>4412</v>
      </c>
      <c r="AO183" t="s">
        <v>4413</v>
      </c>
      <c r="AQ183">
        <v>1</v>
      </c>
      <c r="AS183">
        <v>56320</v>
      </c>
      <c r="AX183" s="80" t="s">
        <v>801</v>
      </c>
      <c r="AY183">
        <f>MATCH(A183,VmSpecs[Original Hostname (CMO)],0)</f>
        <v>258</v>
      </c>
      <c r="AZ183" t="str" cm="1">
        <f t="array" ref="AZ183">INDEX(VmSpecs[VM Name],AY183)</f>
        <v>vmpfbpf2ohb05</v>
      </c>
      <c r="BA183" t="str">
        <f t="shared" si="2"/>
        <v>ehgpfawsohb05</v>
      </c>
      <c r="BB183" t="s">
        <v>4280</v>
      </c>
      <c r="BD183" t="str" cm="1">
        <f t="array" ref="BD183">INDEX(VmSpecs[Server Role],AY183)</f>
        <v>OHS-OAG B2B</v>
      </c>
    </row>
    <row r="184" spans="1:56" hidden="1" x14ac:dyDescent="0.35">
      <c r="A184" t="s">
        <v>630</v>
      </c>
      <c r="B184" t="s">
        <v>4399</v>
      </c>
      <c r="C184" t="s">
        <v>63</v>
      </c>
      <c r="D184" t="s">
        <v>4400</v>
      </c>
      <c r="E184" t="s">
        <v>4401</v>
      </c>
      <c r="J184" t="s">
        <v>4611</v>
      </c>
      <c r="K184" t="s">
        <v>4612</v>
      </c>
      <c r="L184" t="s">
        <v>4404</v>
      </c>
      <c r="P184" t="s">
        <v>4340</v>
      </c>
      <c r="R184" t="s">
        <v>58</v>
      </c>
      <c r="S184">
        <v>8</v>
      </c>
      <c r="T184" t="s">
        <v>4416</v>
      </c>
      <c r="V184">
        <v>16384</v>
      </c>
      <c r="X184" t="s">
        <v>4406</v>
      </c>
      <c r="Y184" t="s">
        <v>4407</v>
      </c>
      <c r="Z184" t="s">
        <v>4408</v>
      </c>
      <c r="AA184" t="s">
        <v>4420</v>
      </c>
      <c r="AG184" t="s">
        <v>64</v>
      </c>
      <c r="AJ184" t="s">
        <v>4613</v>
      </c>
      <c r="AL184" t="s">
        <v>4411</v>
      </c>
      <c r="AN184" t="s">
        <v>4412</v>
      </c>
      <c r="AO184" t="s">
        <v>4413</v>
      </c>
      <c r="AQ184">
        <v>1</v>
      </c>
      <c r="AS184">
        <v>56320</v>
      </c>
      <c r="AX184" s="80" t="s">
        <v>801</v>
      </c>
      <c r="AY184">
        <f>MATCH(A184,VmSpecs[Original Hostname (CMO)],0)</f>
        <v>259</v>
      </c>
      <c r="AZ184" t="str" cm="1">
        <f t="array" ref="AZ184">INDEX(VmSpecs[VM Name],AY184)</f>
        <v>vmpfbpf2ohb06</v>
      </c>
      <c r="BA184" t="str">
        <f t="shared" si="2"/>
        <v>ehgpfawsohb06</v>
      </c>
      <c r="BB184" t="s">
        <v>4280</v>
      </c>
      <c r="BD184" t="str" cm="1">
        <f t="array" ref="BD184">INDEX(VmSpecs[Server Role],AY184)</f>
        <v>OHS-OAG B2B</v>
      </c>
    </row>
    <row r="185" spans="1:56" hidden="1" x14ac:dyDescent="0.35">
      <c r="A185" t="s">
        <v>632</v>
      </c>
      <c r="B185" t="s">
        <v>4399</v>
      </c>
      <c r="C185" t="s">
        <v>63</v>
      </c>
      <c r="D185" t="s">
        <v>4400</v>
      </c>
      <c r="E185" t="s">
        <v>4401</v>
      </c>
      <c r="J185" t="s">
        <v>4614</v>
      </c>
      <c r="K185" t="s">
        <v>4615</v>
      </c>
      <c r="L185" t="s">
        <v>4404</v>
      </c>
      <c r="P185" t="s">
        <v>4340</v>
      </c>
      <c r="R185" t="s">
        <v>58</v>
      </c>
      <c r="S185">
        <v>4</v>
      </c>
      <c r="T185" t="s">
        <v>4416</v>
      </c>
      <c r="V185">
        <v>16384</v>
      </c>
      <c r="X185" t="s">
        <v>4406</v>
      </c>
      <c r="Y185" t="s">
        <v>4407</v>
      </c>
      <c r="Z185" t="s">
        <v>4408</v>
      </c>
      <c r="AA185" t="s">
        <v>4420</v>
      </c>
      <c r="AG185" t="s">
        <v>64</v>
      </c>
      <c r="AJ185" t="s">
        <v>4616</v>
      </c>
      <c r="AL185" t="s">
        <v>4411</v>
      </c>
      <c r="AN185" t="s">
        <v>4412</v>
      </c>
      <c r="AO185" t="s">
        <v>4413</v>
      </c>
      <c r="AQ185">
        <v>1</v>
      </c>
      <c r="AS185">
        <v>56320</v>
      </c>
      <c r="AX185" s="98" t="s">
        <v>1067</v>
      </c>
      <c r="AY185">
        <f>MATCH(A185,VmSpecs[Original Hostname (CMO)],0)</f>
        <v>260</v>
      </c>
      <c r="AZ185" t="str" cm="1">
        <f t="array" ref="AZ185">INDEX(VmSpecs[VM Name],AY185)</f>
        <v>vmpfbpf2ohc01</v>
      </c>
      <c r="BA185" t="str">
        <f t="shared" si="2"/>
        <v>ehgpfawsohc01</v>
      </c>
      <c r="BB185" t="s">
        <v>4280</v>
      </c>
      <c r="BD185" t="str" cm="1">
        <f t="array" ref="BD185">INDEX(VmSpecs[Server Role],AY185)</f>
        <v>OHS-Consumer N1</v>
      </c>
    </row>
    <row r="186" spans="1:56" hidden="1" x14ac:dyDescent="0.35">
      <c r="A186" t="s">
        <v>634</v>
      </c>
      <c r="B186" t="s">
        <v>4399</v>
      </c>
      <c r="C186" t="s">
        <v>63</v>
      </c>
      <c r="D186" t="s">
        <v>4400</v>
      </c>
      <c r="E186" t="s">
        <v>4401</v>
      </c>
      <c r="J186" t="s">
        <v>4614</v>
      </c>
      <c r="K186" t="s">
        <v>4615</v>
      </c>
      <c r="L186" t="s">
        <v>4404</v>
      </c>
      <c r="P186" t="s">
        <v>4340</v>
      </c>
      <c r="R186" t="s">
        <v>58</v>
      </c>
      <c r="S186">
        <v>4</v>
      </c>
      <c r="T186" t="s">
        <v>4416</v>
      </c>
      <c r="V186">
        <v>16384</v>
      </c>
      <c r="X186" t="s">
        <v>4406</v>
      </c>
      <c r="Y186" t="s">
        <v>4407</v>
      </c>
      <c r="Z186" t="s">
        <v>4408</v>
      </c>
      <c r="AA186" t="s">
        <v>4420</v>
      </c>
      <c r="AG186" t="s">
        <v>64</v>
      </c>
      <c r="AJ186" t="s">
        <v>4617</v>
      </c>
      <c r="AL186" t="s">
        <v>4411</v>
      </c>
      <c r="AN186" t="s">
        <v>4412</v>
      </c>
      <c r="AO186" t="s">
        <v>4413</v>
      </c>
      <c r="AQ186">
        <v>1</v>
      </c>
      <c r="AS186">
        <v>56320</v>
      </c>
      <c r="AX186" s="98" t="s">
        <v>1067</v>
      </c>
      <c r="AY186">
        <f>MATCH(A186,VmSpecs[Original Hostname (CMO)],0)</f>
        <v>261</v>
      </c>
      <c r="AZ186" t="str" cm="1">
        <f t="array" ref="AZ186">INDEX(VmSpecs[VM Name],AY186)</f>
        <v>vmpfbpf2ohc02</v>
      </c>
      <c r="BA186" t="str">
        <f t="shared" si="2"/>
        <v>ehgpfawsohc02</v>
      </c>
      <c r="BB186" t="s">
        <v>4280</v>
      </c>
      <c r="BD186" t="str" cm="1">
        <f t="array" ref="BD186">INDEX(VmSpecs[Server Role],AY186)</f>
        <v>OHS-Consumer N2</v>
      </c>
    </row>
    <row r="187" spans="1:56" hidden="1" x14ac:dyDescent="0.35">
      <c r="A187" t="s">
        <v>636</v>
      </c>
      <c r="B187" t="s">
        <v>4399</v>
      </c>
      <c r="C187" t="s">
        <v>63</v>
      </c>
      <c r="D187" t="s">
        <v>4400</v>
      </c>
      <c r="E187" t="s">
        <v>4401</v>
      </c>
      <c r="J187" t="s">
        <v>4614</v>
      </c>
      <c r="K187" t="s">
        <v>4615</v>
      </c>
      <c r="L187" t="s">
        <v>4404</v>
      </c>
      <c r="P187" t="s">
        <v>4340</v>
      </c>
      <c r="R187" t="s">
        <v>58</v>
      </c>
      <c r="S187">
        <v>4</v>
      </c>
      <c r="T187" t="s">
        <v>4416</v>
      </c>
      <c r="V187">
        <v>16384</v>
      </c>
      <c r="X187" t="s">
        <v>4406</v>
      </c>
      <c r="Y187" t="s">
        <v>4407</v>
      </c>
      <c r="Z187" t="s">
        <v>4408</v>
      </c>
      <c r="AA187" t="s">
        <v>4420</v>
      </c>
      <c r="AG187" t="s">
        <v>64</v>
      </c>
      <c r="AJ187" t="s">
        <v>4618</v>
      </c>
      <c r="AL187" t="s">
        <v>4411</v>
      </c>
      <c r="AN187" t="s">
        <v>4412</v>
      </c>
      <c r="AO187" t="s">
        <v>4413</v>
      </c>
      <c r="AQ187">
        <v>1</v>
      </c>
      <c r="AS187">
        <v>56320</v>
      </c>
      <c r="AX187" s="98" t="s">
        <v>1067</v>
      </c>
      <c r="AY187">
        <f>MATCH(A187,VmSpecs[Original Hostname (CMO)],0)</f>
        <v>262</v>
      </c>
      <c r="AZ187" t="str" cm="1">
        <f t="array" ref="AZ187">INDEX(VmSpecs[VM Name],AY187)</f>
        <v>vmpfbpf2ohc03</v>
      </c>
      <c r="BA187" t="str">
        <f t="shared" si="2"/>
        <v>ehgpfawsohc03</v>
      </c>
      <c r="BB187" t="s">
        <v>4280</v>
      </c>
      <c r="BD187" t="str" cm="1">
        <f t="array" ref="BD187">INDEX(VmSpecs[Server Role],AY187)</f>
        <v>OHS-Consumer N3</v>
      </c>
    </row>
    <row r="188" spans="1:56" hidden="1" x14ac:dyDescent="0.35">
      <c r="A188" t="s">
        <v>638</v>
      </c>
      <c r="B188" t="s">
        <v>4399</v>
      </c>
      <c r="C188" t="s">
        <v>63</v>
      </c>
      <c r="D188" t="s">
        <v>4400</v>
      </c>
      <c r="E188" t="s">
        <v>4401</v>
      </c>
      <c r="J188" t="s">
        <v>4614</v>
      </c>
      <c r="K188" t="s">
        <v>4615</v>
      </c>
      <c r="L188" t="s">
        <v>4404</v>
      </c>
      <c r="P188" t="s">
        <v>4340</v>
      </c>
      <c r="R188" t="s">
        <v>58</v>
      </c>
      <c r="S188">
        <v>4</v>
      </c>
      <c r="T188" t="s">
        <v>4416</v>
      </c>
      <c r="V188">
        <v>16384</v>
      </c>
      <c r="X188" t="s">
        <v>4406</v>
      </c>
      <c r="Y188" t="s">
        <v>4407</v>
      </c>
      <c r="Z188" t="s">
        <v>4408</v>
      </c>
      <c r="AA188" t="s">
        <v>4420</v>
      </c>
      <c r="AG188" t="s">
        <v>64</v>
      </c>
      <c r="AJ188" t="s">
        <v>4619</v>
      </c>
      <c r="AL188" t="s">
        <v>4411</v>
      </c>
      <c r="AN188" t="s">
        <v>4412</v>
      </c>
      <c r="AO188" t="s">
        <v>4413</v>
      </c>
      <c r="AQ188">
        <v>1</v>
      </c>
      <c r="AS188">
        <v>56320</v>
      </c>
      <c r="AX188" s="98" t="s">
        <v>1067</v>
      </c>
      <c r="AY188">
        <f>MATCH(A188,VmSpecs[Original Hostname (CMO)],0)</f>
        <v>263</v>
      </c>
      <c r="AZ188" t="str" cm="1">
        <f t="array" ref="AZ188">INDEX(VmSpecs[VM Name],AY188)</f>
        <v>vmpfbpf2ohc04</v>
      </c>
      <c r="BA188" t="str">
        <f t="shared" si="2"/>
        <v>ehgpfawsohc04</v>
      </c>
      <c r="BB188" t="s">
        <v>4280</v>
      </c>
      <c r="BD188" t="str" cm="1">
        <f t="array" ref="BD188">INDEX(VmSpecs[Server Role],AY188)</f>
        <v>OHS-Consumer N4</v>
      </c>
    </row>
    <row r="189" spans="1:56" hidden="1" x14ac:dyDescent="0.35">
      <c r="A189" t="s">
        <v>640</v>
      </c>
      <c r="B189" t="s">
        <v>4399</v>
      </c>
      <c r="C189" t="s">
        <v>63</v>
      </c>
      <c r="D189" t="s">
        <v>4400</v>
      </c>
      <c r="E189" t="s">
        <v>4401</v>
      </c>
      <c r="J189" t="s">
        <v>4614</v>
      </c>
      <c r="K189" t="s">
        <v>4615</v>
      </c>
      <c r="L189" t="s">
        <v>4404</v>
      </c>
      <c r="P189" t="s">
        <v>4340</v>
      </c>
      <c r="R189" t="s">
        <v>58</v>
      </c>
      <c r="S189">
        <v>4</v>
      </c>
      <c r="T189" t="s">
        <v>4416</v>
      </c>
      <c r="V189">
        <v>16384</v>
      </c>
      <c r="X189" t="s">
        <v>4406</v>
      </c>
      <c r="Y189" t="s">
        <v>4407</v>
      </c>
      <c r="Z189" t="s">
        <v>4408</v>
      </c>
      <c r="AA189" t="s">
        <v>4420</v>
      </c>
      <c r="AG189" t="s">
        <v>64</v>
      </c>
      <c r="AJ189" t="s">
        <v>4620</v>
      </c>
      <c r="AL189" t="s">
        <v>4411</v>
      </c>
      <c r="AN189" t="s">
        <v>4412</v>
      </c>
      <c r="AO189" t="s">
        <v>4413</v>
      </c>
      <c r="AQ189">
        <v>1</v>
      </c>
      <c r="AS189">
        <v>56320</v>
      </c>
      <c r="AX189" s="98" t="s">
        <v>757</v>
      </c>
      <c r="AY189">
        <f>MATCH(A189,VmSpecs[Original Hostname (CMO)],0)</f>
        <v>264</v>
      </c>
      <c r="AZ189" t="str" cm="1">
        <f t="array" ref="AZ189">INDEX(VmSpecs[VM Name],AY189)</f>
        <v>vmpfbpf2ohc05</v>
      </c>
      <c r="BA189" t="str">
        <f t="shared" si="2"/>
        <v>ehgpfawsohc05</v>
      </c>
      <c r="BB189" t="s">
        <v>4280</v>
      </c>
      <c r="BD189" t="str" cm="1">
        <f t="array" ref="BD189">INDEX(VmSpecs[Server Role],AY189)</f>
        <v>OHS-Consumer N5</v>
      </c>
    </row>
    <row r="190" spans="1:56" hidden="1" x14ac:dyDescent="0.35">
      <c r="A190" t="s">
        <v>642</v>
      </c>
      <c r="B190" t="s">
        <v>4399</v>
      </c>
      <c r="C190" t="s">
        <v>63</v>
      </c>
      <c r="D190" t="s">
        <v>4400</v>
      </c>
      <c r="E190" t="s">
        <v>4401</v>
      </c>
      <c r="J190" t="s">
        <v>4614</v>
      </c>
      <c r="K190" t="s">
        <v>4615</v>
      </c>
      <c r="L190" t="s">
        <v>4404</v>
      </c>
      <c r="P190" t="s">
        <v>4340</v>
      </c>
      <c r="R190" t="s">
        <v>58</v>
      </c>
      <c r="S190">
        <v>4</v>
      </c>
      <c r="T190" t="s">
        <v>4416</v>
      </c>
      <c r="V190">
        <v>16384</v>
      </c>
      <c r="X190" t="s">
        <v>4406</v>
      </c>
      <c r="Y190" t="s">
        <v>4407</v>
      </c>
      <c r="Z190" t="s">
        <v>4408</v>
      </c>
      <c r="AA190" t="s">
        <v>4420</v>
      </c>
      <c r="AG190" t="s">
        <v>64</v>
      </c>
      <c r="AJ190" t="s">
        <v>4621</v>
      </c>
      <c r="AL190" t="s">
        <v>4411</v>
      </c>
      <c r="AN190" t="s">
        <v>4412</v>
      </c>
      <c r="AO190" t="s">
        <v>4413</v>
      </c>
      <c r="AQ190">
        <v>1</v>
      </c>
      <c r="AS190">
        <v>56320</v>
      </c>
      <c r="AX190" s="98" t="s">
        <v>757</v>
      </c>
      <c r="AY190">
        <f>MATCH(A190,VmSpecs[Original Hostname (CMO)],0)</f>
        <v>265</v>
      </c>
      <c r="AZ190" t="str" cm="1">
        <f t="array" ref="AZ190">INDEX(VmSpecs[VM Name],AY190)</f>
        <v>vmpfbpf2ohc06</v>
      </c>
      <c r="BA190" t="str">
        <f t="shared" si="2"/>
        <v>ehgpfawsohc06</v>
      </c>
      <c r="BB190" t="s">
        <v>4280</v>
      </c>
      <c r="BD190" t="str" cm="1">
        <f t="array" ref="BD190">INDEX(VmSpecs[Server Role],AY190)</f>
        <v>OHS-Consumer N6</v>
      </c>
    </row>
    <row r="191" spans="1:56" hidden="1" x14ac:dyDescent="0.35">
      <c r="A191" t="s">
        <v>644</v>
      </c>
      <c r="B191" t="s">
        <v>4399</v>
      </c>
      <c r="C191" t="s">
        <v>63</v>
      </c>
      <c r="D191" t="s">
        <v>4400</v>
      </c>
      <c r="E191" t="s">
        <v>4401</v>
      </c>
      <c r="J191" t="s">
        <v>4614</v>
      </c>
      <c r="K191" t="s">
        <v>4615</v>
      </c>
      <c r="L191" t="s">
        <v>4404</v>
      </c>
      <c r="P191" t="s">
        <v>4340</v>
      </c>
      <c r="R191" t="s">
        <v>58</v>
      </c>
      <c r="S191">
        <v>4</v>
      </c>
      <c r="T191" t="s">
        <v>4416</v>
      </c>
      <c r="V191">
        <v>16384</v>
      </c>
      <c r="X191" t="s">
        <v>4406</v>
      </c>
      <c r="Y191" t="s">
        <v>4407</v>
      </c>
      <c r="Z191" t="s">
        <v>4408</v>
      </c>
      <c r="AA191" t="s">
        <v>4420</v>
      </c>
      <c r="AG191" t="s">
        <v>64</v>
      </c>
      <c r="AJ191" t="s">
        <v>4622</v>
      </c>
      <c r="AL191" t="s">
        <v>4411</v>
      </c>
      <c r="AN191" t="s">
        <v>4412</v>
      </c>
      <c r="AO191" t="s">
        <v>4413</v>
      </c>
      <c r="AQ191">
        <v>1</v>
      </c>
      <c r="AS191">
        <v>56320</v>
      </c>
      <c r="AX191" s="98" t="s">
        <v>757</v>
      </c>
      <c r="AY191">
        <f>MATCH(A191,VmSpecs[Original Hostname (CMO)],0)</f>
        <v>266</v>
      </c>
      <c r="AZ191" t="str" cm="1">
        <f t="array" ref="AZ191">INDEX(VmSpecs[VM Name],AY191)</f>
        <v>vmpfbpf2ohc07</v>
      </c>
      <c r="BA191" t="str">
        <f t="shared" si="2"/>
        <v>ehgpfawsohc07</v>
      </c>
      <c r="BB191" t="s">
        <v>4280</v>
      </c>
      <c r="BD191" t="str" cm="1">
        <f t="array" ref="BD191">INDEX(VmSpecs[Server Role],AY191)</f>
        <v>OHS-Consumer N7</v>
      </c>
    </row>
    <row r="192" spans="1:56" hidden="1" x14ac:dyDescent="0.35">
      <c r="A192" t="s">
        <v>646</v>
      </c>
      <c r="B192" t="s">
        <v>4399</v>
      </c>
      <c r="C192" t="s">
        <v>63</v>
      </c>
      <c r="D192" t="s">
        <v>4400</v>
      </c>
      <c r="E192" t="s">
        <v>4401</v>
      </c>
      <c r="J192" t="s">
        <v>4614</v>
      </c>
      <c r="K192" t="s">
        <v>4615</v>
      </c>
      <c r="L192" t="s">
        <v>4404</v>
      </c>
      <c r="P192" t="s">
        <v>4340</v>
      </c>
      <c r="R192" t="s">
        <v>58</v>
      </c>
      <c r="S192">
        <v>4</v>
      </c>
      <c r="T192" t="s">
        <v>4416</v>
      </c>
      <c r="V192">
        <v>16384</v>
      </c>
      <c r="X192" t="s">
        <v>4406</v>
      </c>
      <c r="Y192" t="s">
        <v>4407</v>
      </c>
      <c r="Z192" t="s">
        <v>4408</v>
      </c>
      <c r="AA192" t="s">
        <v>4420</v>
      </c>
      <c r="AG192" t="s">
        <v>64</v>
      </c>
      <c r="AJ192" t="s">
        <v>4623</v>
      </c>
      <c r="AL192" t="s">
        <v>4411</v>
      </c>
      <c r="AN192" t="s">
        <v>4412</v>
      </c>
      <c r="AO192" t="s">
        <v>4413</v>
      </c>
      <c r="AQ192">
        <v>1</v>
      </c>
      <c r="AS192">
        <v>56320</v>
      </c>
      <c r="AX192" s="98" t="s">
        <v>757</v>
      </c>
      <c r="AY192">
        <f>MATCH(A192,VmSpecs[Original Hostname (CMO)],0)</f>
        <v>267</v>
      </c>
      <c r="AZ192" t="str" cm="1">
        <f t="array" ref="AZ192">INDEX(VmSpecs[VM Name],AY192)</f>
        <v>vmpfbpf2ohc08</v>
      </c>
      <c r="BA192" t="str">
        <f t="shared" si="2"/>
        <v>ehgpfawsohc08</v>
      </c>
      <c r="BB192" t="s">
        <v>4280</v>
      </c>
      <c r="BD192" t="str" cm="1">
        <f t="array" ref="BD192">INDEX(VmSpecs[Server Role],AY192)</f>
        <v>OHS-Consumer N8</v>
      </c>
    </row>
    <row r="193" spans="1:56" hidden="1" x14ac:dyDescent="0.35">
      <c r="A193" t="s">
        <v>648</v>
      </c>
      <c r="B193" t="s">
        <v>4399</v>
      </c>
      <c r="C193" t="s">
        <v>63</v>
      </c>
      <c r="D193" t="s">
        <v>4400</v>
      </c>
      <c r="E193" t="s">
        <v>4401</v>
      </c>
      <c r="J193" t="s">
        <v>4072</v>
      </c>
      <c r="K193" t="s">
        <v>4624</v>
      </c>
      <c r="L193" t="s">
        <v>4404</v>
      </c>
      <c r="P193" t="s">
        <v>4340</v>
      </c>
      <c r="R193" t="s">
        <v>58</v>
      </c>
      <c r="S193">
        <v>4</v>
      </c>
      <c r="T193" t="s">
        <v>4416</v>
      </c>
      <c r="V193">
        <v>16384</v>
      </c>
      <c r="X193" t="s">
        <v>4406</v>
      </c>
      <c r="Y193" t="s">
        <v>4407</v>
      </c>
      <c r="Z193" t="s">
        <v>4408</v>
      </c>
      <c r="AA193" t="s">
        <v>4420</v>
      </c>
      <c r="AG193" t="s">
        <v>64</v>
      </c>
      <c r="AJ193" t="s">
        <v>4625</v>
      </c>
      <c r="AL193" t="s">
        <v>4411</v>
      </c>
      <c r="AN193" t="s">
        <v>4412</v>
      </c>
      <c r="AO193" t="s">
        <v>4413</v>
      </c>
      <c r="AQ193">
        <v>1</v>
      </c>
      <c r="AS193">
        <v>56320</v>
      </c>
      <c r="AX193" s="98" t="s">
        <v>801</v>
      </c>
      <c r="AY193">
        <f>MATCH(A193,VmSpecs[Original Hostname (CMO)],0)</f>
        <v>268</v>
      </c>
      <c r="AZ193" t="str" cm="1">
        <f t="array" ref="AZ193">INDEX(VmSpecs[VM Name],AY193)</f>
        <v>vmpfbpf2ohm01</v>
      </c>
      <c r="BA193" t="str">
        <f t="shared" si="2"/>
        <v>ehgpfawsohm01</v>
      </c>
      <c r="BB193" t="s">
        <v>4280</v>
      </c>
      <c r="BD193" t="str" cm="1">
        <f t="array" ref="BD193">INDEX(VmSpecs[Server Role],AY193)</f>
        <v>OHS-OAG B2M and FHIR / Mobility</v>
      </c>
    </row>
    <row r="194" spans="1:56" hidden="1" x14ac:dyDescent="0.35">
      <c r="A194" t="s">
        <v>650</v>
      </c>
      <c r="B194" t="s">
        <v>4399</v>
      </c>
      <c r="C194" t="s">
        <v>63</v>
      </c>
      <c r="D194" t="s">
        <v>4400</v>
      </c>
      <c r="E194" t="s">
        <v>4401</v>
      </c>
      <c r="J194" t="s">
        <v>4072</v>
      </c>
      <c r="K194" t="s">
        <v>4624</v>
      </c>
      <c r="L194" t="s">
        <v>4404</v>
      </c>
      <c r="P194" t="s">
        <v>4340</v>
      </c>
      <c r="R194" t="s">
        <v>58</v>
      </c>
      <c r="S194">
        <v>4</v>
      </c>
      <c r="T194" t="s">
        <v>4416</v>
      </c>
      <c r="V194">
        <v>16384</v>
      </c>
      <c r="X194" t="s">
        <v>4406</v>
      </c>
      <c r="Y194" t="s">
        <v>4407</v>
      </c>
      <c r="Z194" t="s">
        <v>4408</v>
      </c>
      <c r="AA194" t="s">
        <v>4420</v>
      </c>
      <c r="AG194" t="s">
        <v>64</v>
      </c>
      <c r="AJ194" t="s">
        <v>4625</v>
      </c>
      <c r="AL194" t="s">
        <v>4411</v>
      </c>
      <c r="AN194" t="s">
        <v>4412</v>
      </c>
      <c r="AO194" t="s">
        <v>4413</v>
      </c>
      <c r="AQ194">
        <v>1</v>
      </c>
      <c r="AS194">
        <v>56320</v>
      </c>
      <c r="AX194" s="98" t="s">
        <v>801</v>
      </c>
      <c r="AY194">
        <f>MATCH(A194,VmSpecs[Original Hostname (CMO)],0)</f>
        <v>269</v>
      </c>
      <c r="AZ194" t="str" cm="1">
        <f t="array" ref="AZ194">INDEX(VmSpecs[VM Name],AY194)</f>
        <v>vmpfbpf2ohm02</v>
      </c>
      <c r="BA194" t="str">
        <f t="shared" si="2"/>
        <v>ehgpfawsohm02</v>
      </c>
      <c r="BB194" t="s">
        <v>4280</v>
      </c>
      <c r="BD194" t="str" cm="1">
        <f t="array" ref="BD194">INDEX(VmSpecs[Server Role],AY194)</f>
        <v>OHS-OAG B2M and FHIR / Mobility</v>
      </c>
    </row>
    <row r="195" spans="1:56" hidden="1" x14ac:dyDescent="0.35">
      <c r="A195" t="s">
        <v>652</v>
      </c>
      <c r="B195" t="s">
        <v>4399</v>
      </c>
      <c r="C195" t="s">
        <v>63</v>
      </c>
      <c r="D195" t="s">
        <v>4400</v>
      </c>
      <c r="E195" t="s">
        <v>4401</v>
      </c>
      <c r="J195" t="s">
        <v>4072</v>
      </c>
      <c r="K195" t="s">
        <v>4624</v>
      </c>
      <c r="L195" t="s">
        <v>4404</v>
      </c>
      <c r="P195" t="s">
        <v>4340</v>
      </c>
      <c r="R195" t="s">
        <v>58</v>
      </c>
      <c r="S195">
        <v>4</v>
      </c>
      <c r="T195" t="s">
        <v>4416</v>
      </c>
      <c r="V195">
        <v>16384</v>
      </c>
      <c r="X195" t="s">
        <v>4406</v>
      </c>
      <c r="Y195" t="s">
        <v>4407</v>
      </c>
      <c r="Z195" t="s">
        <v>4408</v>
      </c>
      <c r="AA195" t="s">
        <v>4420</v>
      </c>
      <c r="AG195" t="s">
        <v>64</v>
      </c>
      <c r="AJ195" t="s">
        <v>4625</v>
      </c>
      <c r="AL195" t="s">
        <v>4411</v>
      </c>
      <c r="AN195" t="s">
        <v>4412</v>
      </c>
      <c r="AO195" t="s">
        <v>4413</v>
      </c>
      <c r="AQ195">
        <v>1</v>
      </c>
      <c r="AS195">
        <v>56320</v>
      </c>
      <c r="AX195" s="98" t="s">
        <v>801</v>
      </c>
      <c r="AY195">
        <f>MATCH(A195,VmSpecs[Original Hostname (CMO)],0)</f>
        <v>270</v>
      </c>
      <c r="AZ195" t="str" cm="1">
        <f t="array" ref="AZ195">INDEX(VmSpecs[VM Name],AY195)</f>
        <v>vmpfbpf2ohm03</v>
      </c>
      <c r="BA195" t="str">
        <f t="shared" ref="BA195:BA258" si="3">A195</f>
        <v>ehgpfawsohm03</v>
      </c>
      <c r="BB195" t="s">
        <v>4280</v>
      </c>
      <c r="BD195" t="str" cm="1">
        <f t="array" ref="BD195">INDEX(VmSpecs[Server Role],AY195)</f>
        <v>OHS-OAG B2M and FHIR / Mobility</v>
      </c>
    </row>
    <row r="196" spans="1:56" hidden="1" x14ac:dyDescent="0.35">
      <c r="A196" t="s">
        <v>654</v>
      </c>
      <c r="B196" t="s">
        <v>4399</v>
      </c>
      <c r="C196" t="s">
        <v>63</v>
      </c>
      <c r="D196" t="s">
        <v>4400</v>
      </c>
      <c r="E196" t="s">
        <v>4401</v>
      </c>
      <c r="J196" t="s">
        <v>4072</v>
      </c>
      <c r="K196" t="s">
        <v>4624</v>
      </c>
      <c r="L196" t="s">
        <v>4404</v>
      </c>
      <c r="P196" t="s">
        <v>4340</v>
      </c>
      <c r="R196" t="s">
        <v>58</v>
      </c>
      <c r="S196">
        <v>4</v>
      </c>
      <c r="T196" t="s">
        <v>4416</v>
      </c>
      <c r="V196">
        <v>16384</v>
      </c>
      <c r="X196" t="s">
        <v>4406</v>
      </c>
      <c r="Y196" t="s">
        <v>4407</v>
      </c>
      <c r="Z196" t="s">
        <v>4408</v>
      </c>
      <c r="AA196" t="s">
        <v>4420</v>
      </c>
      <c r="AG196" t="s">
        <v>64</v>
      </c>
      <c r="AJ196" t="s">
        <v>4625</v>
      </c>
      <c r="AL196" t="s">
        <v>4411</v>
      </c>
      <c r="AN196" t="s">
        <v>4412</v>
      </c>
      <c r="AO196" t="s">
        <v>4413</v>
      </c>
      <c r="AQ196">
        <v>1</v>
      </c>
      <c r="AS196">
        <v>56320</v>
      </c>
      <c r="AX196" s="98" t="s">
        <v>801</v>
      </c>
      <c r="AY196">
        <f>MATCH(A196,VmSpecs[Original Hostname (CMO)],0)</f>
        <v>271</v>
      </c>
      <c r="AZ196" t="str" cm="1">
        <f t="array" ref="AZ196">INDEX(VmSpecs[VM Name],AY196)</f>
        <v>vmpfbpf2ohm04</v>
      </c>
      <c r="BA196" t="str">
        <f t="shared" si="3"/>
        <v>ehgpfawsohm04</v>
      </c>
      <c r="BB196" t="s">
        <v>4280</v>
      </c>
      <c r="BD196" t="str" cm="1">
        <f t="array" ref="BD196">INDEX(VmSpecs[Server Role],AY196)</f>
        <v>OHS-OAG B2M and FHIR / Mobility</v>
      </c>
    </row>
    <row r="197" spans="1:56" hidden="1" x14ac:dyDescent="0.35">
      <c r="A197" t="s">
        <v>256</v>
      </c>
      <c r="B197" t="s">
        <v>4399</v>
      </c>
      <c r="C197" t="s">
        <v>63</v>
      </c>
      <c r="D197" t="s">
        <v>4400</v>
      </c>
      <c r="E197" t="s">
        <v>4401</v>
      </c>
      <c r="J197" t="s">
        <v>4486</v>
      </c>
      <c r="K197" t="s">
        <v>4487</v>
      </c>
      <c r="L197" t="s">
        <v>4404</v>
      </c>
      <c r="P197" t="s">
        <v>4340</v>
      </c>
      <c r="R197" t="s">
        <v>58</v>
      </c>
      <c r="S197">
        <v>6</v>
      </c>
      <c r="V197">
        <v>24576</v>
      </c>
      <c r="AJ197" t="s">
        <v>4487</v>
      </c>
      <c r="AL197" t="s">
        <v>4411</v>
      </c>
      <c r="AN197" t="s">
        <v>4412</v>
      </c>
      <c r="AQ197">
        <v>2</v>
      </c>
      <c r="AX197" s="98" t="s">
        <v>801</v>
      </c>
      <c r="AY197">
        <f>MATCH(A197,VmSpecs[Original Hostname (CMO)],0)</f>
        <v>78</v>
      </c>
      <c r="AZ197" t="str" cm="1">
        <f t="array" ref="AZ197">INDEX(VmSpecs[VM Name],AY197)</f>
        <v>vmpfbpf2hdr34</v>
      </c>
      <c r="BA197" t="str">
        <f t="shared" si="3"/>
        <v>ehgpfaashdr34</v>
      </c>
      <c r="BB197" t="s">
        <v>4280</v>
      </c>
      <c r="BD197" t="str" cm="1">
        <f t="array" ref="BD197">INDEX(VmSpecs[Server Role],AY197)</f>
        <v>HDR</v>
      </c>
    </row>
    <row r="198" spans="1:56" hidden="1" x14ac:dyDescent="0.35">
      <c r="A198" t="s">
        <v>259</v>
      </c>
      <c r="B198" t="s">
        <v>4399</v>
      </c>
      <c r="C198" t="s">
        <v>63</v>
      </c>
      <c r="D198" t="s">
        <v>4400</v>
      </c>
      <c r="E198" t="s">
        <v>4401</v>
      </c>
      <c r="J198" t="s">
        <v>4486</v>
      </c>
      <c r="K198" t="s">
        <v>4487</v>
      </c>
      <c r="L198" t="s">
        <v>4404</v>
      </c>
      <c r="P198" t="s">
        <v>4340</v>
      </c>
      <c r="R198" t="s">
        <v>58</v>
      </c>
      <c r="S198">
        <v>6</v>
      </c>
      <c r="V198">
        <v>24576</v>
      </c>
      <c r="AJ198" t="s">
        <v>4487</v>
      </c>
      <c r="AL198" t="s">
        <v>4411</v>
      </c>
      <c r="AN198" t="s">
        <v>4412</v>
      </c>
      <c r="AQ198">
        <v>2</v>
      </c>
      <c r="AX198" s="98" t="s">
        <v>801</v>
      </c>
      <c r="AY198">
        <f>MATCH(A198,VmSpecs[Original Hostname (CMO)],0)</f>
        <v>79</v>
      </c>
      <c r="AZ198" t="str" cm="1">
        <f t="array" ref="AZ198">INDEX(VmSpecs[VM Name],AY198)</f>
        <v>vmpfbpf2hdr35</v>
      </c>
      <c r="BA198" t="str">
        <f t="shared" si="3"/>
        <v>ehgpfaashdr35</v>
      </c>
      <c r="BB198" t="s">
        <v>4280</v>
      </c>
      <c r="BD198" t="str" cm="1">
        <f t="array" ref="BD198">INDEX(VmSpecs[Server Role],AY198)</f>
        <v>HDR</v>
      </c>
    </row>
    <row r="199" spans="1:56" hidden="1" x14ac:dyDescent="0.35">
      <c r="A199" t="s">
        <v>656</v>
      </c>
      <c r="B199" t="s">
        <v>4399</v>
      </c>
      <c r="C199" t="s">
        <v>63</v>
      </c>
      <c r="D199" t="s">
        <v>4400</v>
      </c>
      <c r="E199" t="s">
        <v>4401</v>
      </c>
      <c r="J199" t="s">
        <v>4072</v>
      </c>
      <c r="K199" t="s">
        <v>4624</v>
      </c>
      <c r="L199" t="s">
        <v>4404</v>
      </c>
      <c r="P199" t="s">
        <v>4340</v>
      </c>
      <c r="R199" t="s">
        <v>58</v>
      </c>
      <c r="S199">
        <v>12</v>
      </c>
      <c r="V199">
        <v>24576</v>
      </c>
      <c r="AA199" t="s">
        <v>4420</v>
      </c>
      <c r="AJ199" t="s">
        <v>4625</v>
      </c>
      <c r="AL199" t="s">
        <v>4411</v>
      </c>
      <c r="AN199" t="s">
        <v>4412</v>
      </c>
      <c r="AO199" t="s">
        <v>4413</v>
      </c>
      <c r="AQ199">
        <v>1</v>
      </c>
      <c r="AX199" s="98" t="s">
        <v>801</v>
      </c>
      <c r="AY199">
        <f>MATCH(A199,VmSpecs[Original Hostname (CMO)],0)</f>
        <v>272</v>
      </c>
      <c r="AZ199" t="str" cm="1">
        <f t="array" ref="AZ199">INDEX(VmSpecs[VM Name],AY199)</f>
        <v>vmpfbpf2ohm05</v>
      </c>
      <c r="BA199" t="str">
        <f t="shared" si="3"/>
        <v>ehgpfawsohm05</v>
      </c>
      <c r="BB199" t="s">
        <v>4280</v>
      </c>
      <c r="BD199" t="str" cm="1">
        <f t="array" ref="BD199">INDEX(VmSpecs[Server Role],AY199)</f>
        <v>OHS-OAG B2M and FHIR / Mobility</v>
      </c>
    </row>
    <row r="200" spans="1:56" hidden="1" x14ac:dyDescent="0.35">
      <c r="A200" t="s">
        <v>658</v>
      </c>
      <c r="B200" t="s">
        <v>4399</v>
      </c>
      <c r="C200" t="s">
        <v>63</v>
      </c>
      <c r="D200" t="s">
        <v>4400</v>
      </c>
      <c r="E200" t="s">
        <v>4401</v>
      </c>
      <c r="J200" t="s">
        <v>4072</v>
      </c>
      <c r="K200" t="s">
        <v>4624</v>
      </c>
      <c r="L200" t="s">
        <v>4404</v>
      </c>
      <c r="P200" t="s">
        <v>4340</v>
      </c>
      <c r="R200" t="s">
        <v>58</v>
      </c>
      <c r="S200">
        <v>12</v>
      </c>
      <c r="V200">
        <v>24576</v>
      </c>
      <c r="AA200" t="s">
        <v>4420</v>
      </c>
      <c r="AJ200" t="s">
        <v>4625</v>
      </c>
      <c r="AL200" t="s">
        <v>4411</v>
      </c>
      <c r="AN200" t="s">
        <v>4412</v>
      </c>
      <c r="AO200" t="s">
        <v>4413</v>
      </c>
      <c r="AQ200">
        <v>1</v>
      </c>
      <c r="AX200" s="98" t="s">
        <v>801</v>
      </c>
      <c r="AY200">
        <f>MATCH(A200,VmSpecs[Original Hostname (CMO)],0)</f>
        <v>273</v>
      </c>
      <c r="AZ200" t="str" cm="1">
        <f t="array" ref="AZ200">INDEX(VmSpecs[VM Name],AY200)</f>
        <v>vmpfbpf2ohm06</v>
      </c>
      <c r="BA200" t="str">
        <f t="shared" si="3"/>
        <v>ehgpfawsohm06</v>
      </c>
      <c r="BB200" t="s">
        <v>4280</v>
      </c>
      <c r="BD200" t="str" cm="1">
        <f t="array" ref="BD200">INDEX(VmSpecs[Server Role],AY200)</f>
        <v>OHS-OAG B2M and FHIR / Mobility</v>
      </c>
    </row>
    <row r="201" spans="1:56" hidden="1" x14ac:dyDescent="0.35">
      <c r="A201" t="s">
        <v>664</v>
      </c>
      <c r="B201" t="s">
        <v>4399</v>
      </c>
      <c r="C201" t="s">
        <v>63</v>
      </c>
      <c r="D201" t="s">
        <v>4400</v>
      </c>
      <c r="E201" t="s">
        <v>4401</v>
      </c>
      <c r="J201" t="s">
        <v>4073</v>
      </c>
      <c r="K201" t="s">
        <v>4626</v>
      </c>
      <c r="L201" t="s">
        <v>4404</v>
      </c>
      <c r="P201" t="s">
        <v>4340</v>
      </c>
      <c r="R201" t="s">
        <v>58</v>
      </c>
      <c r="S201">
        <v>8</v>
      </c>
      <c r="T201" t="s">
        <v>4405</v>
      </c>
      <c r="V201">
        <v>16384</v>
      </c>
      <c r="X201" t="s">
        <v>4406</v>
      </c>
      <c r="Y201" t="s">
        <v>4407</v>
      </c>
      <c r="Z201" t="s">
        <v>4408</v>
      </c>
      <c r="AA201" t="s">
        <v>4420</v>
      </c>
      <c r="AG201" t="s">
        <v>64</v>
      </c>
      <c r="AJ201" t="s">
        <v>4627</v>
      </c>
      <c r="AL201" t="s">
        <v>4411</v>
      </c>
      <c r="AN201" t="s">
        <v>4412</v>
      </c>
      <c r="AO201" t="s">
        <v>4413</v>
      </c>
      <c r="AQ201">
        <v>1</v>
      </c>
      <c r="AS201">
        <v>56320</v>
      </c>
      <c r="AX201" s="98" t="s">
        <v>757</v>
      </c>
      <c r="AY201">
        <f>MATCH(A201,VmSpecs[Original Hostname (CMO)],0)</f>
        <v>276</v>
      </c>
      <c r="AZ201" t="str" cm="1">
        <f t="array" ref="AZ201">INDEX(VmSpecs[VM Name],AY201)</f>
        <v>vmpfbpf2oho01</v>
      </c>
      <c r="BA201" t="str">
        <f t="shared" si="3"/>
        <v>ehgpfawsoho01</v>
      </c>
      <c r="BB201" t="s">
        <v>4280</v>
      </c>
      <c r="BD201" t="str" cm="1">
        <f t="array" ref="BD201">INDEX(VmSpecs[Server Role],AY201)</f>
        <v>OHS-OAG OCR</v>
      </c>
    </row>
    <row r="202" spans="1:56" hidden="1" x14ac:dyDescent="0.35">
      <c r="A202" t="s">
        <v>666</v>
      </c>
      <c r="B202" t="s">
        <v>4399</v>
      </c>
      <c r="C202" t="s">
        <v>63</v>
      </c>
      <c r="D202" t="s">
        <v>4400</v>
      </c>
      <c r="E202" t="s">
        <v>4401</v>
      </c>
      <c r="J202" t="s">
        <v>4073</v>
      </c>
      <c r="K202" t="s">
        <v>4626</v>
      </c>
      <c r="L202" t="s">
        <v>4404</v>
      </c>
      <c r="P202" t="s">
        <v>4340</v>
      </c>
      <c r="R202" t="s">
        <v>58</v>
      </c>
      <c r="S202">
        <v>8</v>
      </c>
      <c r="T202" t="s">
        <v>4405</v>
      </c>
      <c r="V202">
        <v>16384</v>
      </c>
      <c r="X202" t="s">
        <v>4406</v>
      </c>
      <c r="Y202" t="s">
        <v>4407</v>
      </c>
      <c r="Z202" t="s">
        <v>4408</v>
      </c>
      <c r="AA202" t="s">
        <v>4420</v>
      </c>
      <c r="AG202" t="s">
        <v>64</v>
      </c>
      <c r="AJ202" t="s">
        <v>4627</v>
      </c>
      <c r="AL202" t="s">
        <v>4411</v>
      </c>
      <c r="AN202" t="s">
        <v>4412</v>
      </c>
      <c r="AO202" t="s">
        <v>4413</v>
      </c>
      <c r="AQ202">
        <v>1</v>
      </c>
      <c r="AS202">
        <v>56320</v>
      </c>
      <c r="AX202" s="98" t="s">
        <v>757</v>
      </c>
      <c r="AY202">
        <f>MATCH(A202,VmSpecs[Original Hostname (CMO)],0)</f>
        <v>277</v>
      </c>
      <c r="AZ202" t="str" cm="1">
        <f t="array" ref="AZ202">INDEX(VmSpecs[VM Name],AY202)</f>
        <v>vmpfbpf2oho02</v>
      </c>
      <c r="BA202" t="str">
        <f t="shared" si="3"/>
        <v>ehgpfawsoho02</v>
      </c>
      <c r="BB202" t="s">
        <v>4280</v>
      </c>
      <c r="BD202" t="str" cm="1">
        <f t="array" ref="BD202">INDEX(VmSpecs[Server Role],AY202)</f>
        <v>OHS-OAG OCR</v>
      </c>
    </row>
    <row r="203" spans="1:56" hidden="1" x14ac:dyDescent="0.35">
      <c r="A203" t="s">
        <v>668</v>
      </c>
      <c r="B203" t="s">
        <v>4399</v>
      </c>
      <c r="C203" t="s">
        <v>63</v>
      </c>
      <c r="D203" t="s">
        <v>4400</v>
      </c>
      <c r="E203" t="s">
        <v>4401</v>
      </c>
      <c r="J203" t="s">
        <v>4073</v>
      </c>
      <c r="K203" t="s">
        <v>4626</v>
      </c>
      <c r="L203" t="s">
        <v>4404</v>
      </c>
      <c r="P203" t="s">
        <v>4340</v>
      </c>
      <c r="R203" t="s">
        <v>58</v>
      </c>
      <c r="S203">
        <v>8</v>
      </c>
      <c r="T203" t="s">
        <v>4405</v>
      </c>
      <c r="V203">
        <v>16384</v>
      </c>
      <c r="X203" t="s">
        <v>4406</v>
      </c>
      <c r="Y203" t="s">
        <v>4407</v>
      </c>
      <c r="Z203" t="s">
        <v>4408</v>
      </c>
      <c r="AA203" t="s">
        <v>4420</v>
      </c>
      <c r="AG203" t="s">
        <v>64</v>
      </c>
      <c r="AJ203" t="s">
        <v>4627</v>
      </c>
      <c r="AL203" t="s">
        <v>4411</v>
      </c>
      <c r="AN203" t="s">
        <v>4412</v>
      </c>
      <c r="AO203" t="s">
        <v>4413</v>
      </c>
      <c r="AQ203">
        <v>1</v>
      </c>
      <c r="AS203">
        <v>56320</v>
      </c>
      <c r="AX203" s="98" t="s">
        <v>757</v>
      </c>
      <c r="AY203">
        <f>MATCH(A203,VmSpecs[Original Hostname (CMO)],0)</f>
        <v>278</v>
      </c>
      <c r="AZ203" t="str" cm="1">
        <f t="array" ref="AZ203">INDEX(VmSpecs[VM Name],AY203)</f>
        <v>vmpfbpf2oho03</v>
      </c>
      <c r="BA203" t="str">
        <f t="shared" si="3"/>
        <v>ehgpfawsoho03</v>
      </c>
      <c r="BB203" t="s">
        <v>4280</v>
      </c>
      <c r="BD203" t="str" cm="1">
        <f t="array" ref="BD203">INDEX(VmSpecs[Server Role],AY203)</f>
        <v>OHS-OAG OCR</v>
      </c>
    </row>
    <row r="204" spans="1:56" hidden="1" x14ac:dyDescent="0.35">
      <c r="A204" t="s">
        <v>670</v>
      </c>
      <c r="B204" t="s">
        <v>4399</v>
      </c>
      <c r="C204" t="s">
        <v>63</v>
      </c>
      <c r="D204" t="s">
        <v>4400</v>
      </c>
      <c r="E204" t="s">
        <v>4401</v>
      </c>
      <c r="J204" t="s">
        <v>4073</v>
      </c>
      <c r="K204" t="s">
        <v>4626</v>
      </c>
      <c r="L204" t="s">
        <v>4404</v>
      </c>
      <c r="P204" t="s">
        <v>4340</v>
      </c>
      <c r="R204" t="s">
        <v>58</v>
      </c>
      <c r="S204">
        <v>8</v>
      </c>
      <c r="T204" t="s">
        <v>4405</v>
      </c>
      <c r="V204">
        <v>16384</v>
      </c>
      <c r="X204" t="s">
        <v>4406</v>
      </c>
      <c r="Y204" t="s">
        <v>4407</v>
      </c>
      <c r="Z204" t="s">
        <v>4408</v>
      </c>
      <c r="AA204" t="s">
        <v>4420</v>
      </c>
      <c r="AG204" t="s">
        <v>64</v>
      </c>
      <c r="AJ204" t="s">
        <v>4627</v>
      </c>
      <c r="AL204" t="s">
        <v>4411</v>
      </c>
      <c r="AN204" t="s">
        <v>4412</v>
      </c>
      <c r="AO204" t="s">
        <v>4413</v>
      </c>
      <c r="AQ204">
        <v>1</v>
      </c>
      <c r="AS204">
        <v>56320</v>
      </c>
      <c r="AX204" s="98" t="s">
        <v>757</v>
      </c>
      <c r="AY204">
        <f>MATCH(A204,VmSpecs[Original Hostname (CMO)],0)</f>
        <v>279</v>
      </c>
      <c r="AZ204" t="str" cm="1">
        <f t="array" ref="AZ204">INDEX(VmSpecs[VM Name],AY204)</f>
        <v>vmpfbpf2oho04</v>
      </c>
      <c r="BA204" t="str">
        <f t="shared" si="3"/>
        <v>ehgpfawsoho04</v>
      </c>
      <c r="BB204" t="s">
        <v>4280</v>
      </c>
      <c r="BD204" t="str" cm="1">
        <f t="array" ref="BD204">INDEX(VmSpecs[Server Role],AY204)</f>
        <v>OHS-OAG OCR</v>
      </c>
    </row>
    <row r="205" spans="1:56" hidden="1" x14ac:dyDescent="0.35">
      <c r="A205" t="s">
        <v>672</v>
      </c>
      <c r="B205" t="s">
        <v>4399</v>
      </c>
      <c r="C205" t="s">
        <v>63</v>
      </c>
      <c r="D205" t="s">
        <v>4400</v>
      </c>
      <c r="E205" t="s">
        <v>4401</v>
      </c>
      <c r="J205" t="s">
        <v>4073</v>
      </c>
      <c r="K205" t="s">
        <v>4626</v>
      </c>
      <c r="L205" t="s">
        <v>4404</v>
      </c>
      <c r="P205" t="s">
        <v>4340</v>
      </c>
      <c r="R205" t="s">
        <v>58</v>
      </c>
      <c r="S205">
        <v>8</v>
      </c>
      <c r="T205" t="s">
        <v>4405</v>
      </c>
      <c r="V205">
        <v>16384</v>
      </c>
      <c r="X205" t="s">
        <v>4406</v>
      </c>
      <c r="Y205" t="s">
        <v>4407</v>
      </c>
      <c r="Z205" t="s">
        <v>4408</v>
      </c>
      <c r="AA205" t="s">
        <v>4420</v>
      </c>
      <c r="AG205" t="s">
        <v>64</v>
      </c>
      <c r="AJ205" t="s">
        <v>4627</v>
      </c>
      <c r="AL205" t="s">
        <v>4411</v>
      </c>
      <c r="AN205" t="s">
        <v>4412</v>
      </c>
      <c r="AO205" t="s">
        <v>4413</v>
      </c>
      <c r="AQ205">
        <v>1</v>
      </c>
      <c r="AS205">
        <v>56320</v>
      </c>
      <c r="AX205" s="98" t="s">
        <v>757</v>
      </c>
      <c r="AY205">
        <f>MATCH(A205,VmSpecs[Original Hostname (CMO)],0)</f>
        <v>280</v>
      </c>
      <c r="AZ205" t="str" cm="1">
        <f t="array" ref="AZ205">INDEX(VmSpecs[VM Name],AY205)</f>
        <v>vmpfbpf2oho05</v>
      </c>
      <c r="BA205" t="str">
        <f t="shared" si="3"/>
        <v>ehgpfawsoho05</v>
      </c>
      <c r="BB205" t="s">
        <v>4280</v>
      </c>
      <c r="BD205" t="str" cm="1">
        <f t="array" ref="BD205">INDEX(VmSpecs[Server Role],AY205)</f>
        <v>OHS-OAG OCR</v>
      </c>
    </row>
    <row r="206" spans="1:56" hidden="1" x14ac:dyDescent="0.35">
      <c r="A206" t="s">
        <v>674</v>
      </c>
      <c r="B206" t="s">
        <v>4399</v>
      </c>
      <c r="C206" t="s">
        <v>63</v>
      </c>
      <c r="D206" t="s">
        <v>4400</v>
      </c>
      <c r="E206" t="s">
        <v>4401</v>
      </c>
      <c r="J206" t="s">
        <v>4073</v>
      </c>
      <c r="K206" t="s">
        <v>4626</v>
      </c>
      <c r="L206" t="s">
        <v>4404</v>
      </c>
      <c r="P206" t="s">
        <v>4340</v>
      </c>
      <c r="R206" t="s">
        <v>58</v>
      </c>
      <c r="S206">
        <v>8</v>
      </c>
      <c r="T206" t="s">
        <v>4405</v>
      </c>
      <c r="V206">
        <v>16384</v>
      </c>
      <c r="X206" t="s">
        <v>4406</v>
      </c>
      <c r="Y206" t="s">
        <v>4407</v>
      </c>
      <c r="Z206" t="s">
        <v>4408</v>
      </c>
      <c r="AA206" t="s">
        <v>4420</v>
      </c>
      <c r="AG206" t="s">
        <v>64</v>
      </c>
      <c r="AJ206" t="s">
        <v>4627</v>
      </c>
      <c r="AL206" t="s">
        <v>4411</v>
      </c>
      <c r="AN206" t="s">
        <v>4412</v>
      </c>
      <c r="AO206" t="s">
        <v>4413</v>
      </c>
      <c r="AQ206">
        <v>1</v>
      </c>
      <c r="AS206">
        <v>56320</v>
      </c>
      <c r="AX206" s="98" t="s">
        <v>757</v>
      </c>
      <c r="AY206">
        <f>MATCH(A206,VmSpecs[Original Hostname (CMO)],0)</f>
        <v>281</v>
      </c>
      <c r="AZ206" t="str" cm="1">
        <f t="array" ref="AZ206">INDEX(VmSpecs[VM Name],AY206)</f>
        <v>vmpfbpf2oho06</v>
      </c>
      <c r="BA206" t="str">
        <f t="shared" si="3"/>
        <v>ehgpfawsoho06</v>
      </c>
      <c r="BB206" t="s">
        <v>4280</v>
      </c>
      <c r="BD206" t="str" cm="1">
        <f t="array" ref="BD206">INDEX(VmSpecs[Server Role],AY206)</f>
        <v>OHS-OAG OCR</v>
      </c>
    </row>
    <row r="207" spans="1:56" x14ac:dyDescent="0.35">
      <c r="A207" t="s">
        <v>359</v>
      </c>
      <c r="B207" t="s">
        <v>4399</v>
      </c>
      <c r="C207" t="s">
        <v>63</v>
      </c>
      <c r="D207" t="s">
        <v>4400</v>
      </c>
      <c r="E207" t="s">
        <v>4401</v>
      </c>
      <c r="J207" t="s">
        <v>4440</v>
      </c>
      <c r="K207" t="s">
        <v>4441</v>
      </c>
      <c r="L207" t="s">
        <v>4404</v>
      </c>
      <c r="P207" t="s">
        <v>4340</v>
      </c>
      <c r="R207" t="s">
        <v>58</v>
      </c>
      <c r="S207">
        <v>2</v>
      </c>
      <c r="T207" t="s">
        <v>4416</v>
      </c>
      <c r="V207">
        <v>8192</v>
      </c>
      <c r="X207" t="s">
        <v>4406</v>
      </c>
      <c r="Y207" t="s">
        <v>4407</v>
      </c>
      <c r="Z207" t="s">
        <v>4408</v>
      </c>
      <c r="AA207" t="s">
        <v>4409</v>
      </c>
      <c r="AG207" t="s">
        <v>64</v>
      </c>
      <c r="AJ207" t="s">
        <v>4628</v>
      </c>
      <c r="AL207" t="s">
        <v>4411</v>
      </c>
      <c r="AN207" t="s">
        <v>4412</v>
      </c>
      <c r="AO207" t="s">
        <v>4413</v>
      </c>
      <c r="AQ207">
        <v>2</v>
      </c>
      <c r="AS207">
        <v>81920</v>
      </c>
      <c r="AX207" s="98" t="s">
        <v>757</v>
      </c>
      <c r="AY207">
        <f>MATCH(A207,VmSpecs[Original Hostname (CMO)],0)</f>
        <v>128</v>
      </c>
      <c r="AZ207" t="str" cm="1">
        <f t="array" ref="AZ207">INDEX(VmSpecs[VM Name],AY207)</f>
        <v>vmpfbpf2oid09</v>
      </c>
      <c r="BA207" t="str">
        <f t="shared" si="3"/>
        <v>ehgpfaasoid09</v>
      </c>
      <c r="BB207" t="s">
        <v>4280</v>
      </c>
      <c r="BD207" t="str" cm="1">
        <f t="array" ref="BD207">INDEX(VmSpecs[Server Role],AY207)</f>
        <v>OID N9</v>
      </c>
    </row>
    <row r="208" spans="1:56" x14ac:dyDescent="0.35">
      <c r="A208" t="s">
        <v>361</v>
      </c>
      <c r="B208" t="s">
        <v>4399</v>
      </c>
      <c r="C208" t="s">
        <v>63</v>
      </c>
      <c r="D208" t="s">
        <v>4400</v>
      </c>
      <c r="E208" t="s">
        <v>4401</v>
      </c>
      <c r="J208" t="s">
        <v>4440</v>
      </c>
      <c r="K208" t="s">
        <v>4441</v>
      </c>
      <c r="L208" t="s">
        <v>4404</v>
      </c>
      <c r="P208" t="s">
        <v>4340</v>
      </c>
      <c r="R208" t="s">
        <v>58</v>
      </c>
      <c r="S208">
        <v>2</v>
      </c>
      <c r="T208" t="s">
        <v>4416</v>
      </c>
      <c r="V208">
        <v>8192</v>
      </c>
      <c r="X208" t="s">
        <v>4406</v>
      </c>
      <c r="Y208" t="s">
        <v>4407</v>
      </c>
      <c r="Z208" t="s">
        <v>4408</v>
      </c>
      <c r="AA208" t="s">
        <v>4409</v>
      </c>
      <c r="AG208" t="s">
        <v>64</v>
      </c>
      <c r="AJ208" t="s">
        <v>4629</v>
      </c>
      <c r="AL208" t="s">
        <v>4411</v>
      </c>
      <c r="AN208" t="s">
        <v>4412</v>
      </c>
      <c r="AO208" t="s">
        <v>4413</v>
      </c>
      <c r="AQ208">
        <v>2</v>
      </c>
      <c r="AS208">
        <v>81920</v>
      </c>
      <c r="AX208" s="98" t="s">
        <v>757</v>
      </c>
      <c r="AY208">
        <f>MATCH(A208,VmSpecs[Original Hostname (CMO)],0)</f>
        <v>129</v>
      </c>
      <c r="AZ208" t="str" cm="1">
        <f t="array" ref="AZ208">INDEX(VmSpecs[VM Name],AY208)</f>
        <v>vmpfbpf2oid10</v>
      </c>
      <c r="BA208" t="str">
        <f t="shared" si="3"/>
        <v>ehgpfaasoid10</v>
      </c>
      <c r="BB208" t="s">
        <v>4280</v>
      </c>
      <c r="BD208" t="str" cm="1">
        <f t="array" ref="BD208">INDEX(VmSpecs[Server Role],AY208)</f>
        <v>OID N10</v>
      </c>
    </row>
    <row r="209" spans="1:56" x14ac:dyDescent="0.35">
      <c r="A209" t="s">
        <v>363</v>
      </c>
      <c r="B209" t="s">
        <v>4399</v>
      </c>
      <c r="C209" t="s">
        <v>63</v>
      </c>
      <c r="D209" t="s">
        <v>4400</v>
      </c>
      <c r="E209" t="s">
        <v>4401</v>
      </c>
      <c r="J209" t="s">
        <v>4440</v>
      </c>
      <c r="K209" t="s">
        <v>4441</v>
      </c>
      <c r="L209" t="s">
        <v>4404</v>
      </c>
      <c r="P209" t="s">
        <v>4340</v>
      </c>
      <c r="R209" t="s">
        <v>58</v>
      </c>
      <c r="S209">
        <v>2</v>
      </c>
      <c r="V209">
        <v>8192</v>
      </c>
      <c r="AJ209" t="s">
        <v>4630</v>
      </c>
      <c r="AL209" t="s">
        <v>4411</v>
      </c>
      <c r="AN209" t="s">
        <v>4412</v>
      </c>
      <c r="AQ209">
        <v>2</v>
      </c>
      <c r="AX209" s="98" t="s">
        <v>757</v>
      </c>
      <c r="AY209">
        <f>MATCH(A209,VmSpecs[Original Hostname (CMO)],0)</f>
        <v>130</v>
      </c>
      <c r="AZ209" t="str" cm="1">
        <f t="array" ref="AZ209">INDEX(VmSpecs[VM Name],AY209)</f>
        <v>vmpfbpf2oid11</v>
      </c>
      <c r="BA209" t="str">
        <f t="shared" si="3"/>
        <v>ehgpfaasoid11</v>
      </c>
      <c r="BB209" t="s">
        <v>4280</v>
      </c>
      <c r="BD209" t="str" cm="1">
        <f t="array" ref="BD209">INDEX(VmSpecs[Server Role],AY209)</f>
        <v>OID N11</v>
      </c>
    </row>
    <row r="210" spans="1:56" x14ac:dyDescent="0.35">
      <c r="A210" t="s">
        <v>365</v>
      </c>
      <c r="B210" t="s">
        <v>4399</v>
      </c>
      <c r="C210" t="s">
        <v>63</v>
      </c>
      <c r="D210" t="s">
        <v>4400</v>
      </c>
      <c r="E210" t="s">
        <v>4401</v>
      </c>
      <c r="J210" t="s">
        <v>4440</v>
      </c>
      <c r="K210" t="s">
        <v>4441</v>
      </c>
      <c r="L210" t="s">
        <v>4404</v>
      </c>
      <c r="P210" t="s">
        <v>4340</v>
      </c>
      <c r="R210" t="s">
        <v>58</v>
      </c>
      <c r="S210">
        <v>2</v>
      </c>
      <c r="V210">
        <v>8192</v>
      </c>
      <c r="AJ210" t="s">
        <v>4631</v>
      </c>
      <c r="AL210" t="s">
        <v>4411</v>
      </c>
      <c r="AN210" t="s">
        <v>4412</v>
      </c>
      <c r="AQ210">
        <v>2</v>
      </c>
      <c r="AX210" s="98" t="s">
        <v>757</v>
      </c>
      <c r="AY210">
        <f>MATCH(A210,VmSpecs[Original Hostname (CMO)],0)</f>
        <v>131</v>
      </c>
      <c r="AZ210" t="str" cm="1">
        <f t="array" ref="AZ210">INDEX(VmSpecs[VM Name],AY210)</f>
        <v>vmpfbpf2oid12</v>
      </c>
      <c r="BA210" t="str">
        <f t="shared" si="3"/>
        <v>ehgpfaasoid12</v>
      </c>
      <c r="BB210" t="s">
        <v>4280</v>
      </c>
      <c r="BD210" t="str" cm="1">
        <f t="array" ref="BD210">INDEX(VmSpecs[Server Role],AY210)</f>
        <v>OID N12</v>
      </c>
    </row>
    <row r="211" spans="1:56" x14ac:dyDescent="0.35">
      <c r="A211" t="s">
        <v>367</v>
      </c>
      <c r="B211" t="s">
        <v>4399</v>
      </c>
      <c r="C211" t="s">
        <v>63</v>
      </c>
      <c r="D211" t="s">
        <v>4400</v>
      </c>
      <c r="E211" t="s">
        <v>4401</v>
      </c>
      <c r="J211" t="s">
        <v>4440</v>
      </c>
      <c r="K211" t="s">
        <v>4441</v>
      </c>
      <c r="L211" t="s">
        <v>4404</v>
      </c>
      <c r="P211" t="s">
        <v>4340</v>
      </c>
      <c r="R211" t="s">
        <v>58</v>
      </c>
      <c r="S211">
        <v>2</v>
      </c>
      <c r="V211">
        <v>8192</v>
      </c>
      <c r="AJ211" t="s">
        <v>4632</v>
      </c>
      <c r="AL211" t="s">
        <v>4411</v>
      </c>
      <c r="AN211" t="s">
        <v>4412</v>
      </c>
      <c r="AQ211">
        <v>2</v>
      </c>
      <c r="AX211" s="98" t="s">
        <v>757</v>
      </c>
      <c r="AY211">
        <f>MATCH(A211,VmSpecs[Original Hostname (CMO)],0)</f>
        <v>132</v>
      </c>
      <c r="AZ211" t="str" cm="1">
        <f t="array" ref="AZ211">INDEX(VmSpecs[VM Name],AY211)</f>
        <v>vmpfbpf2oid13</v>
      </c>
      <c r="BA211" t="str">
        <f t="shared" si="3"/>
        <v>ehgpfaasoid13</v>
      </c>
      <c r="BB211" t="s">
        <v>4280</v>
      </c>
      <c r="BD211" t="str" cm="1">
        <f t="array" ref="BD211">INDEX(VmSpecs[Server Role],AY211)</f>
        <v>OID N13</v>
      </c>
    </row>
    <row r="212" spans="1:56" x14ac:dyDescent="0.35">
      <c r="A212" t="s">
        <v>369</v>
      </c>
      <c r="B212" t="s">
        <v>4399</v>
      </c>
      <c r="C212" t="s">
        <v>63</v>
      </c>
      <c r="D212" t="s">
        <v>4400</v>
      </c>
      <c r="E212" t="s">
        <v>4401</v>
      </c>
      <c r="J212" t="s">
        <v>4440</v>
      </c>
      <c r="K212" t="s">
        <v>4441</v>
      </c>
      <c r="L212" t="s">
        <v>4404</v>
      </c>
      <c r="P212" t="s">
        <v>4340</v>
      </c>
      <c r="R212" t="s">
        <v>58</v>
      </c>
      <c r="S212">
        <v>2</v>
      </c>
      <c r="V212">
        <v>8192</v>
      </c>
      <c r="AJ212" t="s">
        <v>4633</v>
      </c>
      <c r="AL212" t="s">
        <v>4411</v>
      </c>
      <c r="AN212" t="s">
        <v>4412</v>
      </c>
      <c r="AQ212">
        <v>2</v>
      </c>
      <c r="AX212" s="98" t="s">
        <v>757</v>
      </c>
      <c r="AY212">
        <f>MATCH(A212,VmSpecs[Original Hostname (CMO)],0)</f>
        <v>133</v>
      </c>
      <c r="AZ212" t="str" cm="1">
        <f t="array" ref="AZ212">INDEX(VmSpecs[VM Name],AY212)</f>
        <v>vmpfbpf2oid14</v>
      </c>
      <c r="BA212" t="str">
        <f t="shared" si="3"/>
        <v>ehgpfaasoid14</v>
      </c>
      <c r="BB212" t="s">
        <v>4280</v>
      </c>
      <c r="BD212" t="str" cm="1">
        <f t="array" ref="BD212">INDEX(VmSpecs[Server Role],AY212)</f>
        <v>OID N14</v>
      </c>
    </row>
    <row r="213" spans="1:56" x14ac:dyDescent="0.35">
      <c r="A213" t="s">
        <v>371</v>
      </c>
      <c r="B213" t="s">
        <v>4399</v>
      </c>
      <c r="C213" t="s">
        <v>63</v>
      </c>
      <c r="D213" t="s">
        <v>4400</v>
      </c>
      <c r="E213" t="s">
        <v>4401</v>
      </c>
      <c r="J213" t="s">
        <v>4440</v>
      </c>
      <c r="K213" t="s">
        <v>4441</v>
      </c>
      <c r="L213" t="s">
        <v>4404</v>
      </c>
      <c r="P213" t="s">
        <v>4340</v>
      </c>
      <c r="R213" t="s">
        <v>58</v>
      </c>
      <c r="S213">
        <v>2</v>
      </c>
      <c r="V213">
        <v>8192</v>
      </c>
      <c r="AJ213" t="s">
        <v>4634</v>
      </c>
      <c r="AL213" t="s">
        <v>4411</v>
      </c>
      <c r="AN213" t="s">
        <v>4412</v>
      </c>
      <c r="AQ213">
        <v>2</v>
      </c>
      <c r="AX213" s="98" t="s">
        <v>757</v>
      </c>
      <c r="AY213">
        <f>MATCH(A213,VmSpecs[Original Hostname (CMO)],0)</f>
        <v>134</v>
      </c>
      <c r="AZ213" t="str" cm="1">
        <f t="array" ref="AZ213">INDEX(VmSpecs[VM Name],AY213)</f>
        <v>vmpfbpf2oid15</v>
      </c>
      <c r="BA213" t="str">
        <f t="shared" si="3"/>
        <v>ehgpfaasoid15</v>
      </c>
      <c r="BB213" t="s">
        <v>4280</v>
      </c>
      <c r="BD213" t="str" cm="1">
        <f t="array" ref="BD213">INDEX(VmSpecs[Server Role],AY213)</f>
        <v>OID N15</v>
      </c>
    </row>
    <row r="214" spans="1:56" x14ac:dyDescent="0.35">
      <c r="A214" t="s">
        <v>373</v>
      </c>
      <c r="B214" t="s">
        <v>4399</v>
      </c>
      <c r="C214" t="s">
        <v>63</v>
      </c>
      <c r="D214" t="s">
        <v>4400</v>
      </c>
      <c r="E214" t="s">
        <v>4401</v>
      </c>
      <c r="J214" t="s">
        <v>4440</v>
      </c>
      <c r="K214" t="s">
        <v>4441</v>
      </c>
      <c r="L214" t="s">
        <v>4404</v>
      </c>
      <c r="P214" t="s">
        <v>4340</v>
      </c>
      <c r="R214" t="s">
        <v>58</v>
      </c>
      <c r="S214">
        <v>2</v>
      </c>
      <c r="V214">
        <v>8192</v>
      </c>
      <c r="AJ214" t="s">
        <v>4635</v>
      </c>
      <c r="AL214" t="s">
        <v>4411</v>
      </c>
      <c r="AN214" t="s">
        <v>4412</v>
      </c>
      <c r="AQ214">
        <v>2</v>
      </c>
      <c r="AX214" s="98" t="s">
        <v>757</v>
      </c>
      <c r="AY214">
        <f>MATCH(A214,VmSpecs[Original Hostname (CMO)],0)</f>
        <v>135</v>
      </c>
      <c r="AZ214" t="str" cm="1">
        <f t="array" ref="AZ214">INDEX(VmSpecs[VM Name],AY214)</f>
        <v>vmpfbpf2oid16</v>
      </c>
      <c r="BA214" t="str">
        <f t="shared" si="3"/>
        <v>ehgpfaasoid16</v>
      </c>
      <c r="BB214" t="s">
        <v>4280</v>
      </c>
      <c r="BD214" t="str" cm="1">
        <f t="array" ref="BD214">INDEX(VmSpecs[Server Role],AY214)</f>
        <v>OID N16</v>
      </c>
    </row>
    <row r="215" spans="1:56" x14ac:dyDescent="0.35">
      <c r="A215" t="s">
        <v>375</v>
      </c>
      <c r="B215" t="s">
        <v>4399</v>
      </c>
      <c r="C215" t="s">
        <v>63</v>
      </c>
      <c r="D215" t="s">
        <v>4400</v>
      </c>
      <c r="E215" t="s">
        <v>4401</v>
      </c>
      <c r="J215" t="s">
        <v>4440</v>
      </c>
      <c r="K215" t="s">
        <v>4441</v>
      </c>
      <c r="L215" t="s">
        <v>4404</v>
      </c>
      <c r="P215" t="s">
        <v>4340</v>
      </c>
      <c r="R215" t="s">
        <v>58</v>
      </c>
      <c r="S215">
        <v>2</v>
      </c>
      <c r="V215">
        <v>8192</v>
      </c>
      <c r="AJ215" t="s">
        <v>4636</v>
      </c>
      <c r="AL215" t="s">
        <v>4411</v>
      </c>
      <c r="AN215" t="s">
        <v>4412</v>
      </c>
      <c r="AQ215">
        <v>2</v>
      </c>
      <c r="AX215" s="98" t="s">
        <v>757</v>
      </c>
      <c r="AY215">
        <f>MATCH(A215,VmSpecs[Original Hostname (CMO)],0)</f>
        <v>136</v>
      </c>
      <c r="AZ215" t="str" cm="1">
        <f t="array" ref="AZ215">INDEX(VmSpecs[VM Name],AY215)</f>
        <v>vmpfbpf2oid17</v>
      </c>
      <c r="BA215" t="str">
        <f t="shared" si="3"/>
        <v>ehgpfaasoid17</v>
      </c>
      <c r="BB215" t="s">
        <v>4280</v>
      </c>
      <c r="BD215" t="str" cm="1">
        <f t="array" ref="BD215">INDEX(VmSpecs[Server Role],AY215)</f>
        <v>OID N17</v>
      </c>
    </row>
    <row r="216" spans="1:56" x14ac:dyDescent="0.35">
      <c r="A216" t="s">
        <v>377</v>
      </c>
      <c r="B216" t="s">
        <v>4399</v>
      </c>
      <c r="C216" t="s">
        <v>63</v>
      </c>
      <c r="D216" t="s">
        <v>4400</v>
      </c>
      <c r="E216" t="s">
        <v>4401</v>
      </c>
      <c r="J216" t="s">
        <v>4440</v>
      </c>
      <c r="K216" t="s">
        <v>4441</v>
      </c>
      <c r="L216" t="s">
        <v>4404</v>
      </c>
      <c r="P216" t="s">
        <v>4340</v>
      </c>
      <c r="R216" t="s">
        <v>58</v>
      </c>
      <c r="S216">
        <v>2</v>
      </c>
      <c r="V216">
        <v>8192</v>
      </c>
      <c r="AJ216" t="s">
        <v>4637</v>
      </c>
      <c r="AL216" t="s">
        <v>4411</v>
      </c>
      <c r="AN216" t="s">
        <v>4412</v>
      </c>
      <c r="AQ216">
        <v>2</v>
      </c>
      <c r="AX216" s="98" t="s">
        <v>757</v>
      </c>
      <c r="AY216">
        <f>MATCH(A216,VmSpecs[Original Hostname (CMO)],0)</f>
        <v>137</v>
      </c>
      <c r="AZ216" t="str" cm="1">
        <f t="array" ref="AZ216">INDEX(VmSpecs[VM Name],AY216)</f>
        <v>vmpfbpf2oid18</v>
      </c>
      <c r="BA216" t="str">
        <f t="shared" si="3"/>
        <v>ehgpfaasoid18</v>
      </c>
      <c r="BB216" t="s">
        <v>4280</v>
      </c>
      <c r="BD216" t="str" cm="1">
        <f t="array" ref="BD216">INDEX(VmSpecs[Server Role],AY216)</f>
        <v>OID N18</v>
      </c>
    </row>
    <row r="217" spans="1:56" hidden="1" x14ac:dyDescent="0.35">
      <c r="A217" t="s">
        <v>660</v>
      </c>
      <c r="B217" t="s">
        <v>4399</v>
      </c>
      <c r="C217" t="s">
        <v>63</v>
      </c>
      <c r="D217" t="s">
        <v>4400</v>
      </c>
      <c r="E217" t="s">
        <v>4401</v>
      </c>
      <c r="J217" t="s">
        <v>4072</v>
      </c>
      <c r="K217" t="s">
        <v>4624</v>
      </c>
      <c r="L217" t="s">
        <v>4404</v>
      </c>
      <c r="P217" t="s">
        <v>4340</v>
      </c>
      <c r="R217" t="s">
        <v>58</v>
      </c>
      <c r="S217">
        <v>12</v>
      </c>
      <c r="V217">
        <v>24576</v>
      </c>
      <c r="AA217" t="s">
        <v>4420</v>
      </c>
      <c r="AJ217" t="s">
        <v>4625</v>
      </c>
      <c r="AL217" t="s">
        <v>4411</v>
      </c>
      <c r="AN217" t="s">
        <v>4412</v>
      </c>
      <c r="AO217" t="s">
        <v>4413</v>
      </c>
      <c r="AQ217">
        <v>1</v>
      </c>
      <c r="AX217" s="98" t="s">
        <v>801</v>
      </c>
      <c r="AY217">
        <f>MATCH(A217,VmSpecs[Original Hostname (CMO)],0)</f>
        <v>274</v>
      </c>
      <c r="AZ217" t="str" cm="1">
        <f t="array" ref="AZ217">INDEX(VmSpecs[VM Name],AY217)</f>
        <v>vmpfbpf2ohm07</v>
      </c>
      <c r="BA217" t="str">
        <f t="shared" si="3"/>
        <v>ehgpfawsohm07</v>
      </c>
      <c r="BB217" t="s">
        <v>4280</v>
      </c>
      <c r="BD217" t="str" cm="1">
        <f t="array" ref="BD217">INDEX(VmSpecs[Server Role],AY217)</f>
        <v>OHS-OAG B2M and FHIR / Mobility</v>
      </c>
    </row>
    <row r="218" spans="1:56" hidden="1" x14ac:dyDescent="0.35">
      <c r="A218" t="s">
        <v>662</v>
      </c>
      <c r="B218" t="s">
        <v>4399</v>
      </c>
      <c r="C218" t="s">
        <v>63</v>
      </c>
      <c r="D218" t="s">
        <v>4400</v>
      </c>
      <c r="E218" t="s">
        <v>4401</v>
      </c>
      <c r="J218" t="s">
        <v>4072</v>
      </c>
      <c r="K218" t="s">
        <v>4624</v>
      </c>
      <c r="L218" t="s">
        <v>4404</v>
      </c>
      <c r="P218" t="s">
        <v>4340</v>
      </c>
      <c r="R218" t="s">
        <v>58</v>
      </c>
      <c r="S218">
        <v>12</v>
      </c>
      <c r="V218">
        <v>24576</v>
      </c>
      <c r="AA218" t="s">
        <v>4420</v>
      </c>
      <c r="AJ218" t="s">
        <v>4625</v>
      </c>
      <c r="AL218" t="s">
        <v>4411</v>
      </c>
      <c r="AN218" t="s">
        <v>4412</v>
      </c>
      <c r="AO218" t="s">
        <v>4413</v>
      </c>
      <c r="AQ218">
        <v>1</v>
      </c>
      <c r="AX218" s="98" t="s">
        <v>801</v>
      </c>
      <c r="AY218">
        <f>MATCH(A218,VmSpecs[Original Hostname (CMO)],0)</f>
        <v>275</v>
      </c>
      <c r="AZ218" t="str" cm="1">
        <f t="array" ref="AZ218">INDEX(VmSpecs[VM Name],AY218)</f>
        <v>vmpfbpf2ohm08</v>
      </c>
      <c r="BA218" t="str">
        <f t="shared" si="3"/>
        <v>ehgpfawsohm08</v>
      </c>
      <c r="BB218" t="s">
        <v>4280</v>
      </c>
      <c r="BD218" t="str" cm="1">
        <f t="array" ref="BD218">INDEX(VmSpecs[Server Role],AY218)</f>
        <v>OHS-OAG B2M and FHIR / Mobility</v>
      </c>
    </row>
    <row r="219" spans="1:56" hidden="1" x14ac:dyDescent="0.35">
      <c r="A219" t="s">
        <v>403</v>
      </c>
      <c r="B219" t="s">
        <v>4399</v>
      </c>
      <c r="C219" t="s">
        <v>63</v>
      </c>
      <c r="D219" t="s">
        <v>4400</v>
      </c>
      <c r="E219" t="s">
        <v>4401</v>
      </c>
      <c r="J219" t="s">
        <v>4078</v>
      </c>
      <c r="K219" t="s">
        <v>4638</v>
      </c>
      <c r="L219" t="s">
        <v>4404</v>
      </c>
      <c r="P219" t="s">
        <v>4340</v>
      </c>
      <c r="R219" t="s">
        <v>58</v>
      </c>
      <c r="S219">
        <v>8</v>
      </c>
      <c r="V219">
        <v>24576</v>
      </c>
      <c r="AJ219" t="s">
        <v>4639</v>
      </c>
      <c r="AL219" t="s">
        <v>4411</v>
      </c>
      <c r="AN219" t="s">
        <v>4412</v>
      </c>
      <c r="AQ219">
        <v>2</v>
      </c>
      <c r="AX219" s="98" t="s">
        <v>801</v>
      </c>
      <c r="AY219">
        <f>MATCH(A219,VmSpecs[Original Hostname (CMO)],0)</f>
        <v>150</v>
      </c>
      <c r="AZ219" t="str" cm="1">
        <f t="array" ref="AZ219">INDEX(VmSpecs[VM Name],AY219)</f>
        <v>vmpfbpf2olg12</v>
      </c>
      <c r="BA219" t="str">
        <f t="shared" si="3"/>
        <v>ehgpfaasolg12</v>
      </c>
      <c r="BB219" t="s">
        <v>4280</v>
      </c>
      <c r="BD219" t="str" cm="1">
        <f t="array" ref="BD219">INDEX(VmSpecs[Server Role],AY219)</f>
        <v>OSB Log N12</v>
      </c>
    </row>
    <row r="220" spans="1:56" hidden="1" x14ac:dyDescent="0.35">
      <c r="A220" t="s">
        <v>405</v>
      </c>
      <c r="B220" t="s">
        <v>4399</v>
      </c>
      <c r="C220" t="s">
        <v>63</v>
      </c>
      <c r="D220" t="s">
        <v>4400</v>
      </c>
      <c r="E220" t="s">
        <v>4401</v>
      </c>
      <c r="J220" t="s">
        <v>4078</v>
      </c>
      <c r="K220" t="s">
        <v>4638</v>
      </c>
      <c r="L220" t="s">
        <v>4404</v>
      </c>
      <c r="P220" t="s">
        <v>4340</v>
      </c>
      <c r="R220" t="s">
        <v>58</v>
      </c>
      <c r="S220">
        <v>8</v>
      </c>
      <c r="V220">
        <v>24576</v>
      </c>
      <c r="AJ220" t="s">
        <v>4640</v>
      </c>
      <c r="AL220" t="s">
        <v>4411</v>
      </c>
      <c r="AN220" t="s">
        <v>4412</v>
      </c>
      <c r="AQ220">
        <v>2</v>
      </c>
      <c r="AX220" s="98" t="s">
        <v>801</v>
      </c>
      <c r="AY220">
        <f>MATCH(A220,VmSpecs[Original Hostname (CMO)],0)</f>
        <v>151</v>
      </c>
      <c r="AZ220" t="str" cm="1">
        <f t="array" ref="AZ220">INDEX(VmSpecs[VM Name],AY220)</f>
        <v>vmpfbpf2olg13</v>
      </c>
      <c r="BA220" t="str">
        <f t="shared" si="3"/>
        <v>ehgpfaasolg13</v>
      </c>
      <c r="BB220" t="s">
        <v>4280</v>
      </c>
      <c r="BD220" t="str" cm="1">
        <f t="array" ref="BD220">INDEX(VmSpecs[Server Role],AY220)</f>
        <v>OSB Log N13</v>
      </c>
    </row>
    <row r="221" spans="1:56" hidden="1" x14ac:dyDescent="0.35">
      <c r="A221" t="s">
        <v>407</v>
      </c>
      <c r="B221" t="s">
        <v>4399</v>
      </c>
      <c r="C221" t="s">
        <v>63</v>
      </c>
      <c r="D221" t="s">
        <v>4400</v>
      </c>
      <c r="E221" t="s">
        <v>4401</v>
      </c>
      <c r="J221" t="s">
        <v>4078</v>
      </c>
      <c r="K221" t="s">
        <v>4638</v>
      </c>
      <c r="L221" t="s">
        <v>4404</v>
      </c>
      <c r="P221" t="s">
        <v>4340</v>
      </c>
      <c r="R221" t="s">
        <v>58</v>
      </c>
      <c r="S221">
        <v>8</v>
      </c>
      <c r="V221">
        <v>24576</v>
      </c>
      <c r="AJ221" t="s">
        <v>4641</v>
      </c>
      <c r="AL221" t="s">
        <v>4411</v>
      </c>
      <c r="AN221" t="s">
        <v>4412</v>
      </c>
      <c r="AQ221">
        <v>2</v>
      </c>
      <c r="AX221" s="98" t="s">
        <v>801</v>
      </c>
      <c r="AY221">
        <f>MATCH(A221,VmSpecs[Original Hostname (CMO)],0)</f>
        <v>152</v>
      </c>
      <c r="AZ221" t="str" cm="1">
        <f t="array" ref="AZ221">INDEX(VmSpecs[VM Name],AY221)</f>
        <v>vmpfbpf2olg14</v>
      </c>
      <c r="BA221" t="str">
        <f t="shared" si="3"/>
        <v>ehgpfaasolg14</v>
      </c>
      <c r="BB221" t="s">
        <v>4280</v>
      </c>
      <c r="BD221" t="str" cm="1">
        <f t="array" ref="BD221">INDEX(VmSpecs[Server Role],AY221)</f>
        <v>OSB Log N14</v>
      </c>
    </row>
    <row r="222" spans="1:56" hidden="1" x14ac:dyDescent="0.35">
      <c r="A222" t="s">
        <v>409</v>
      </c>
      <c r="B222" t="s">
        <v>4399</v>
      </c>
      <c r="C222" t="s">
        <v>63</v>
      </c>
      <c r="D222" t="s">
        <v>4400</v>
      </c>
      <c r="E222" t="s">
        <v>4401</v>
      </c>
      <c r="J222" t="s">
        <v>4078</v>
      </c>
      <c r="K222" t="s">
        <v>4638</v>
      </c>
      <c r="L222" t="s">
        <v>4404</v>
      </c>
      <c r="P222" t="s">
        <v>4340</v>
      </c>
      <c r="R222" t="s">
        <v>58</v>
      </c>
      <c r="S222">
        <v>8</v>
      </c>
      <c r="V222">
        <v>24576</v>
      </c>
      <c r="AJ222" t="s">
        <v>4642</v>
      </c>
      <c r="AL222" t="s">
        <v>4411</v>
      </c>
      <c r="AN222" t="s">
        <v>4412</v>
      </c>
      <c r="AQ222">
        <v>2</v>
      </c>
      <c r="AX222" s="98" t="s">
        <v>801</v>
      </c>
      <c r="AY222">
        <f>MATCH(A222,VmSpecs[Original Hostname (CMO)],0)</f>
        <v>153</v>
      </c>
      <c r="AZ222" t="str" cm="1">
        <f t="array" ref="AZ222">INDEX(VmSpecs[VM Name],AY222)</f>
        <v>vmpfbpf2olg15</v>
      </c>
      <c r="BA222" t="str">
        <f t="shared" si="3"/>
        <v>ehgpfaasolg15</v>
      </c>
      <c r="BB222" t="s">
        <v>4280</v>
      </c>
      <c r="BD222" t="str" cm="1">
        <f t="array" ref="BD222">INDEX(VmSpecs[Server Role],AY222)</f>
        <v>OSB Log N15</v>
      </c>
    </row>
    <row r="223" spans="1:56" hidden="1" x14ac:dyDescent="0.35">
      <c r="A223" t="s">
        <v>411</v>
      </c>
      <c r="B223" t="s">
        <v>4399</v>
      </c>
      <c r="C223" t="s">
        <v>63</v>
      </c>
      <c r="D223" t="s">
        <v>4400</v>
      </c>
      <c r="E223" t="s">
        <v>4401</v>
      </c>
      <c r="J223" t="s">
        <v>4078</v>
      </c>
      <c r="K223" t="s">
        <v>4638</v>
      </c>
      <c r="L223" t="s">
        <v>4404</v>
      </c>
      <c r="P223" t="s">
        <v>4340</v>
      </c>
      <c r="R223" t="s">
        <v>58</v>
      </c>
      <c r="S223">
        <v>8</v>
      </c>
      <c r="V223">
        <v>24576</v>
      </c>
      <c r="AJ223" t="s">
        <v>4643</v>
      </c>
      <c r="AL223" t="s">
        <v>4411</v>
      </c>
      <c r="AN223" t="s">
        <v>4412</v>
      </c>
      <c r="AQ223">
        <v>2</v>
      </c>
      <c r="AX223" s="98" t="s">
        <v>801</v>
      </c>
      <c r="AY223">
        <f>MATCH(A223,VmSpecs[Original Hostname (CMO)],0)</f>
        <v>154</v>
      </c>
      <c r="AZ223" t="str" cm="1">
        <f t="array" ref="AZ223">INDEX(VmSpecs[VM Name],AY223)</f>
        <v>vmpfbpf2olg16</v>
      </c>
      <c r="BA223" t="str">
        <f t="shared" si="3"/>
        <v>ehgpfaasolg16</v>
      </c>
      <c r="BB223" t="s">
        <v>4280</v>
      </c>
      <c r="BD223" t="str" cm="1">
        <f t="array" ref="BD223">INDEX(VmSpecs[Server Role],AY223)</f>
        <v>OSB Log N16</v>
      </c>
    </row>
    <row r="224" spans="1:56" hidden="1" x14ac:dyDescent="0.35">
      <c r="A224" t="s">
        <v>413</v>
      </c>
      <c r="B224" t="s">
        <v>4399</v>
      </c>
      <c r="C224" t="s">
        <v>63</v>
      </c>
      <c r="D224" t="s">
        <v>4400</v>
      </c>
      <c r="E224" t="s">
        <v>4401</v>
      </c>
      <c r="J224" t="s">
        <v>4078</v>
      </c>
      <c r="K224" t="s">
        <v>4638</v>
      </c>
      <c r="L224" t="s">
        <v>4404</v>
      </c>
      <c r="P224" t="s">
        <v>4340</v>
      </c>
      <c r="R224" t="s">
        <v>58</v>
      </c>
      <c r="S224">
        <v>8</v>
      </c>
      <c r="V224">
        <v>24576</v>
      </c>
      <c r="AJ224" t="s">
        <v>4644</v>
      </c>
      <c r="AL224" t="s">
        <v>4411</v>
      </c>
      <c r="AN224" t="s">
        <v>4412</v>
      </c>
      <c r="AQ224">
        <v>2</v>
      </c>
      <c r="AX224" s="98" t="s">
        <v>801</v>
      </c>
      <c r="AY224">
        <f>MATCH(A224,VmSpecs[Original Hostname (CMO)],0)</f>
        <v>155</v>
      </c>
      <c r="AZ224" t="str" cm="1">
        <f t="array" ref="AZ224">INDEX(VmSpecs[VM Name],AY224)</f>
        <v>vmpfbpf2olg17</v>
      </c>
      <c r="BA224" t="str">
        <f t="shared" si="3"/>
        <v>ehgpfaasolg17</v>
      </c>
      <c r="BB224" t="s">
        <v>4280</v>
      </c>
      <c r="BD224" t="str" cm="1">
        <f t="array" ref="BD224">INDEX(VmSpecs[Server Role],AY224)</f>
        <v>OSB Log N17</v>
      </c>
    </row>
    <row r="225" spans="1:56" hidden="1" x14ac:dyDescent="0.35">
      <c r="A225" t="s">
        <v>415</v>
      </c>
      <c r="B225" t="s">
        <v>4399</v>
      </c>
      <c r="C225" t="s">
        <v>63</v>
      </c>
      <c r="D225" t="s">
        <v>4400</v>
      </c>
      <c r="E225" t="s">
        <v>4401</v>
      </c>
      <c r="J225" t="s">
        <v>4078</v>
      </c>
      <c r="K225" t="s">
        <v>4638</v>
      </c>
      <c r="L225" t="s">
        <v>4404</v>
      </c>
      <c r="P225" t="s">
        <v>4340</v>
      </c>
      <c r="R225" t="s">
        <v>58</v>
      </c>
      <c r="S225">
        <v>8</v>
      </c>
      <c r="V225">
        <v>24576</v>
      </c>
      <c r="AJ225" t="s">
        <v>4645</v>
      </c>
      <c r="AL225" t="s">
        <v>4411</v>
      </c>
      <c r="AN225" t="s">
        <v>4412</v>
      </c>
      <c r="AQ225">
        <v>2</v>
      </c>
      <c r="AX225" s="98" t="s">
        <v>801</v>
      </c>
      <c r="AY225">
        <f>MATCH(A225,VmSpecs[Original Hostname (CMO)],0)</f>
        <v>156</v>
      </c>
      <c r="AZ225" t="str" cm="1">
        <f t="array" ref="AZ225">INDEX(VmSpecs[VM Name],AY225)</f>
        <v>vmpfbpf2olg18</v>
      </c>
      <c r="BA225" t="str">
        <f t="shared" si="3"/>
        <v>ehgpfaasolg18</v>
      </c>
      <c r="BB225" t="s">
        <v>4280</v>
      </c>
      <c r="BD225" t="str" cm="1">
        <f t="array" ref="BD225">INDEX(VmSpecs[Server Role],AY225)</f>
        <v>OSB Log N18</v>
      </c>
    </row>
    <row r="226" spans="1:56" hidden="1" x14ac:dyDescent="0.35">
      <c r="A226" t="s">
        <v>383</v>
      </c>
      <c r="B226" t="s">
        <v>4399</v>
      </c>
      <c r="C226" t="s">
        <v>63</v>
      </c>
      <c r="D226" t="s">
        <v>4400</v>
      </c>
      <c r="E226" t="s">
        <v>4401</v>
      </c>
      <c r="J226" t="s">
        <v>4078</v>
      </c>
      <c r="K226" t="s">
        <v>4638</v>
      </c>
      <c r="L226" t="s">
        <v>4404</v>
      </c>
      <c r="P226" t="s">
        <v>4340</v>
      </c>
      <c r="R226" t="s">
        <v>58</v>
      </c>
      <c r="S226">
        <v>8</v>
      </c>
      <c r="T226" t="s">
        <v>4416</v>
      </c>
      <c r="V226">
        <v>24576</v>
      </c>
      <c r="X226" t="s">
        <v>4406</v>
      </c>
      <c r="Y226" t="s">
        <v>4407</v>
      </c>
      <c r="Z226" t="s">
        <v>4408</v>
      </c>
      <c r="AA226" t="s">
        <v>4409</v>
      </c>
      <c r="AG226" t="s">
        <v>64</v>
      </c>
      <c r="AJ226" t="s">
        <v>4646</v>
      </c>
      <c r="AL226" t="s">
        <v>4411</v>
      </c>
      <c r="AN226" t="s">
        <v>4412</v>
      </c>
      <c r="AO226" t="s">
        <v>4413</v>
      </c>
      <c r="AQ226">
        <v>2</v>
      </c>
      <c r="AS226">
        <v>107520</v>
      </c>
      <c r="AX226" s="98" t="s">
        <v>801</v>
      </c>
      <c r="AY226">
        <f>MATCH(A226,VmSpecs[Original Hostname (CMO)],0)</f>
        <v>140</v>
      </c>
      <c r="AZ226" t="str" cm="1">
        <f t="array" ref="AZ226">INDEX(VmSpecs[VM Name],AY226)</f>
        <v>vmpfbpf2olg02</v>
      </c>
      <c r="BA226" t="str">
        <f t="shared" si="3"/>
        <v>ehgpfaasolg02</v>
      </c>
      <c r="BB226" t="s">
        <v>4280</v>
      </c>
      <c r="BD226" t="str" cm="1">
        <f t="array" ref="BD226">INDEX(VmSpecs[Server Role],AY226)</f>
        <v>OSB Log N02</v>
      </c>
    </row>
    <row r="227" spans="1:56" hidden="1" x14ac:dyDescent="0.35">
      <c r="A227" t="s">
        <v>385</v>
      </c>
      <c r="B227" t="s">
        <v>4399</v>
      </c>
      <c r="C227" t="s">
        <v>63</v>
      </c>
      <c r="D227" t="s">
        <v>4400</v>
      </c>
      <c r="E227" t="s">
        <v>4401</v>
      </c>
      <c r="J227" t="s">
        <v>4078</v>
      </c>
      <c r="K227" t="s">
        <v>4638</v>
      </c>
      <c r="L227" t="s">
        <v>4404</v>
      </c>
      <c r="P227" t="s">
        <v>4340</v>
      </c>
      <c r="R227" t="s">
        <v>58</v>
      </c>
      <c r="S227">
        <v>8</v>
      </c>
      <c r="T227" t="s">
        <v>4416</v>
      </c>
      <c r="V227">
        <v>24576</v>
      </c>
      <c r="X227" t="s">
        <v>4406</v>
      </c>
      <c r="Y227" t="s">
        <v>4407</v>
      </c>
      <c r="Z227" t="s">
        <v>4408</v>
      </c>
      <c r="AA227" t="s">
        <v>4409</v>
      </c>
      <c r="AG227" t="s">
        <v>64</v>
      </c>
      <c r="AJ227" t="s">
        <v>4647</v>
      </c>
      <c r="AL227" t="s">
        <v>4411</v>
      </c>
      <c r="AN227" t="s">
        <v>4412</v>
      </c>
      <c r="AO227" t="s">
        <v>4413</v>
      </c>
      <c r="AQ227">
        <v>2</v>
      </c>
      <c r="AS227">
        <v>107520</v>
      </c>
      <c r="AX227" s="98" t="s">
        <v>801</v>
      </c>
      <c r="AY227">
        <f>MATCH(A227,VmSpecs[Original Hostname (CMO)],0)</f>
        <v>141</v>
      </c>
      <c r="AZ227" t="str" cm="1">
        <f t="array" ref="AZ227">INDEX(VmSpecs[VM Name],AY227)</f>
        <v>vmpfbpf2olg03</v>
      </c>
      <c r="BA227" t="str">
        <f t="shared" si="3"/>
        <v>ehgpfaasolg03</v>
      </c>
      <c r="BB227" t="s">
        <v>4280</v>
      </c>
      <c r="BD227" t="str" cm="1">
        <f t="array" ref="BD227">INDEX(VmSpecs[Server Role],AY227)</f>
        <v>OSB Log N03</v>
      </c>
    </row>
    <row r="228" spans="1:56" hidden="1" x14ac:dyDescent="0.35">
      <c r="A228" t="s">
        <v>387</v>
      </c>
      <c r="B228" t="s">
        <v>4399</v>
      </c>
      <c r="C228" t="s">
        <v>63</v>
      </c>
      <c r="D228" t="s">
        <v>4400</v>
      </c>
      <c r="E228" t="s">
        <v>4401</v>
      </c>
      <c r="J228" t="s">
        <v>4078</v>
      </c>
      <c r="K228" t="s">
        <v>4638</v>
      </c>
      <c r="L228" t="s">
        <v>4404</v>
      </c>
      <c r="P228" t="s">
        <v>4340</v>
      </c>
      <c r="R228" t="s">
        <v>58</v>
      </c>
      <c r="S228">
        <v>8</v>
      </c>
      <c r="T228" t="s">
        <v>4416</v>
      </c>
      <c r="V228">
        <v>24576</v>
      </c>
      <c r="X228" t="s">
        <v>4406</v>
      </c>
      <c r="Y228" t="s">
        <v>4407</v>
      </c>
      <c r="Z228" t="s">
        <v>4408</v>
      </c>
      <c r="AA228" t="s">
        <v>4409</v>
      </c>
      <c r="AG228" t="s">
        <v>64</v>
      </c>
      <c r="AJ228" t="s">
        <v>4648</v>
      </c>
      <c r="AL228" t="s">
        <v>4411</v>
      </c>
      <c r="AN228" t="s">
        <v>4412</v>
      </c>
      <c r="AO228" t="s">
        <v>4413</v>
      </c>
      <c r="AQ228">
        <v>2</v>
      </c>
      <c r="AS228">
        <v>107520</v>
      </c>
      <c r="AX228" s="98" t="s">
        <v>801</v>
      </c>
      <c r="AY228">
        <f>MATCH(A228,VmSpecs[Original Hostname (CMO)],0)</f>
        <v>142</v>
      </c>
      <c r="AZ228" t="str" cm="1">
        <f t="array" ref="AZ228">INDEX(VmSpecs[VM Name],AY228)</f>
        <v>vmpfbpf2olg04</v>
      </c>
      <c r="BA228" t="str">
        <f t="shared" si="3"/>
        <v>ehgpfaasolg04</v>
      </c>
      <c r="BB228" t="s">
        <v>4280</v>
      </c>
      <c r="BD228" t="str" cm="1">
        <f t="array" ref="BD228">INDEX(VmSpecs[Server Role],AY228)</f>
        <v>OSB Log N04</v>
      </c>
    </row>
    <row r="229" spans="1:56" hidden="1" x14ac:dyDescent="0.35">
      <c r="A229" t="s">
        <v>389</v>
      </c>
      <c r="B229" t="s">
        <v>4399</v>
      </c>
      <c r="C229" t="s">
        <v>63</v>
      </c>
      <c r="D229" t="s">
        <v>4400</v>
      </c>
      <c r="E229" t="s">
        <v>4401</v>
      </c>
      <c r="J229" t="s">
        <v>4078</v>
      </c>
      <c r="K229" t="s">
        <v>4638</v>
      </c>
      <c r="L229" t="s">
        <v>4404</v>
      </c>
      <c r="P229" t="s">
        <v>4340</v>
      </c>
      <c r="R229" t="s">
        <v>58</v>
      </c>
      <c r="S229">
        <v>8</v>
      </c>
      <c r="T229" t="s">
        <v>4416</v>
      </c>
      <c r="V229">
        <v>24576</v>
      </c>
      <c r="X229" t="s">
        <v>4406</v>
      </c>
      <c r="Y229" t="s">
        <v>4407</v>
      </c>
      <c r="Z229" t="s">
        <v>4408</v>
      </c>
      <c r="AA229" t="s">
        <v>4409</v>
      </c>
      <c r="AG229" t="s">
        <v>64</v>
      </c>
      <c r="AJ229" t="s">
        <v>4649</v>
      </c>
      <c r="AL229" t="s">
        <v>4411</v>
      </c>
      <c r="AN229" t="s">
        <v>4412</v>
      </c>
      <c r="AO229" t="s">
        <v>4413</v>
      </c>
      <c r="AQ229">
        <v>2</v>
      </c>
      <c r="AS229">
        <v>107520</v>
      </c>
      <c r="AX229" s="98" t="s">
        <v>801</v>
      </c>
      <c r="AY229">
        <f>MATCH(A229,VmSpecs[Original Hostname (CMO)],0)</f>
        <v>143</v>
      </c>
      <c r="AZ229" t="str" cm="1">
        <f t="array" ref="AZ229">INDEX(VmSpecs[VM Name],AY229)</f>
        <v>vmpfbpf2olg05</v>
      </c>
      <c r="BA229" t="str">
        <f t="shared" si="3"/>
        <v>ehgpfaasolg05</v>
      </c>
      <c r="BB229" t="s">
        <v>4280</v>
      </c>
      <c r="BD229" t="str" cm="1">
        <f t="array" ref="BD229">INDEX(VmSpecs[Server Role],AY229)</f>
        <v>OSB Log N05</v>
      </c>
    </row>
    <row r="230" spans="1:56" hidden="1" x14ac:dyDescent="0.35">
      <c r="A230" t="s">
        <v>391</v>
      </c>
      <c r="B230" t="s">
        <v>4399</v>
      </c>
      <c r="C230" t="s">
        <v>63</v>
      </c>
      <c r="D230" t="s">
        <v>4400</v>
      </c>
      <c r="E230" t="s">
        <v>4401</v>
      </c>
      <c r="J230" t="s">
        <v>4078</v>
      </c>
      <c r="K230" t="s">
        <v>4638</v>
      </c>
      <c r="L230" t="s">
        <v>4404</v>
      </c>
      <c r="P230" t="s">
        <v>4340</v>
      </c>
      <c r="R230" t="s">
        <v>58</v>
      </c>
      <c r="S230">
        <v>8</v>
      </c>
      <c r="T230" t="s">
        <v>4405</v>
      </c>
      <c r="V230">
        <v>24576</v>
      </c>
      <c r="X230" t="s">
        <v>4406</v>
      </c>
      <c r="Y230" t="s">
        <v>4407</v>
      </c>
      <c r="Z230" t="s">
        <v>4408</v>
      </c>
      <c r="AA230" t="s">
        <v>4409</v>
      </c>
      <c r="AG230" t="s">
        <v>64</v>
      </c>
      <c r="AJ230" t="s">
        <v>4650</v>
      </c>
      <c r="AL230" t="s">
        <v>4411</v>
      </c>
      <c r="AN230" t="s">
        <v>4412</v>
      </c>
      <c r="AO230" t="s">
        <v>4413</v>
      </c>
      <c r="AQ230">
        <v>2</v>
      </c>
      <c r="AS230">
        <v>107520</v>
      </c>
      <c r="AX230" s="98" t="s">
        <v>801</v>
      </c>
      <c r="AY230">
        <f>MATCH(A230,VmSpecs[Original Hostname (CMO)],0)</f>
        <v>144</v>
      </c>
      <c r="AZ230" t="str" cm="1">
        <f t="array" ref="AZ230">INDEX(VmSpecs[VM Name],AY230)</f>
        <v>vmpfbpf2olg06</v>
      </c>
      <c r="BA230" t="str">
        <f t="shared" si="3"/>
        <v>ehgpfaasolg06</v>
      </c>
      <c r="BB230" t="s">
        <v>4280</v>
      </c>
      <c r="BD230" t="str" cm="1">
        <f t="array" ref="BD230">INDEX(VmSpecs[Server Role],AY230)</f>
        <v>OSB Log N06</v>
      </c>
    </row>
    <row r="231" spans="1:56" hidden="1" x14ac:dyDescent="0.35">
      <c r="A231" t="s">
        <v>393</v>
      </c>
      <c r="B231" t="s">
        <v>4399</v>
      </c>
      <c r="C231" t="s">
        <v>63</v>
      </c>
      <c r="D231" t="s">
        <v>4400</v>
      </c>
      <c r="E231" t="s">
        <v>4401</v>
      </c>
      <c r="J231" t="s">
        <v>4078</v>
      </c>
      <c r="K231" t="s">
        <v>4638</v>
      </c>
      <c r="L231" t="s">
        <v>4404</v>
      </c>
      <c r="P231" t="s">
        <v>4340</v>
      </c>
      <c r="R231" t="s">
        <v>58</v>
      </c>
      <c r="S231">
        <v>8</v>
      </c>
      <c r="T231" t="s">
        <v>4405</v>
      </c>
      <c r="V231">
        <v>24576</v>
      </c>
      <c r="X231" t="s">
        <v>4406</v>
      </c>
      <c r="Y231" t="s">
        <v>4407</v>
      </c>
      <c r="Z231" t="s">
        <v>4408</v>
      </c>
      <c r="AA231" t="s">
        <v>4409</v>
      </c>
      <c r="AG231" t="s">
        <v>64</v>
      </c>
      <c r="AJ231" t="s">
        <v>4651</v>
      </c>
      <c r="AL231" t="s">
        <v>4411</v>
      </c>
      <c r="AN231" t="s">
        <v>4412</v>
      </c>
      <c r="AO231" t="s">
        <v>4413</v>
      </c>
      <c r="AQ231">
        <v>2</v>
      </c>
      <c r="AS231">
        <v>107520</v>
      </c>
      <c r="AX231" s="98" t="s">
        <v>801</v>
      </c>
      <c r="AY231">
        <f>MATCH(A231,VmSpecs[Original Hostname (CMO)],0)</f>
        <v>145</v>
      </c>
      <c r="AZ231" t="str" cm="1">
        <f t="array" ref="AZ231">INDEX(VmSpecs[VM Name],AY231)</f>
        <v>vmpfbpf2olg07</v>
      </c>
      <c r="BA231" t="str">
        <f t="shared" si="3"/>
        <v>ehgpfaasolg07</v>
      </c>
      <c r="BB231" t="s">
        <v>4280</v>
      </c>
      <c r="BD231" t="str" cm="1">
        <f t="array" ref="BD231">INDEX(VmSpecs[Server Role],AY231)</f>
        <v>OSB Log N07</v>
      </c>
    </row>
    <row r="232" spans="1:56" hidden="1" x14ac:dyDescent="0.35">
      <c r="A232" t="s">
        <v>395</v>
      </c>
      <c r="B232" t="s">
        <v>4399</v>
      </c>
      <c r="C232" t="s">
        <v>63</v>
      </c>
      <c r="D232" t="s">
        <v>4400</v>
      </c>
      <c r="E232" t="s">
        <v>4401</v>
      </c>
      <c r="J232" t="s">
        <v>4078</v>
      </c>
      <c r="K232" t="s">
        <v>4638</v>
      </c>
      <c r="L232" t="s">
        <v>4404</v>
      </c>
      <c r="P232" t="s">
        <v>4340</v>
      </c>
      <c r="R232" t="s">
        <v>58</v>
      </c>
      <c r="S232">
        <v>8</v>
      </c>
      <c r="T232" t="s">
        <v>4416</v>
      </c>
      <c r="V232">
        <v>24576</v>
      </c>
      <c r="X232" t="s">
        <v>4406</v>
      </c>
      <c r="Y232" t="s">
        <v>4407</v>
      </c>
      <c r="Z232" t="s">
        <v>4408</v>
      </c>
      <c r="AA232" t="s">
        <v>4409</v>
      </c>
      <c r="AG232" t="s">
        <v>64</v>
      </c>
      <c r="AJ232" t="s">
        <v>4652</v>
      </c>
      <c r="AL232" t="s">
        <v>4411</v>
      </c>
      <c r="AN232" t="s">
        <v>4412</v>
      </c>
      <c r="AO232" t="s">
        <v>4413</v>
      </c>
      <c r="AQ232">
        <v>2</v>
      </c>
      <c r="AS232">
        <v>107520</v>
      </c>
      <c r="AX232" s="98" t="s">
        <v>801</v>
      </c>
      <c r="AY232">
        <f>MATCH(A232,VmSpecs[Original Hostname (CMO)],0)</f>
        <v>146</v>
      </c>
      <c r="AZ232" t="str" cm="1">
        <f t="array" ref="AZ232">INDEX(VmSpecs[VM Name],AY232)</f>
        <v>vmpfbpf2olg08</v>
      </c>
      <c r="BA232" t="str">
        <f t="shared" si="3"/>
        <v>ehgpfaasolg08</v>
      </c>
      <c r="BB232" t="s">
        <v>4280</v>
      </c>
      <c r="BD232" t="str" cm="1">
        <f t="array" ref="BD232">INDEX(VmSpecs[Server Role],AY232)</f>
        <v>OSB Log N08</v>
      </c>
    </row>
    <row r="233" spans="1:56" hidden="1" x14ac:dyDescent="0.35">
      <c r="A233" t="s">
        <v>397</v>
      </c>
      <c r="B233" t="s">
        <v>4399</v>
      </c>
      <c r="C233" t="s">
        <v>63</v>
      </c>
      <c r="D233" t="s">
        <v>4400</v>
      </c>
      <c r="E233" t="s">
        <v>4401</v>
      </c>
      <c r="J233" t="s">
        <v>4078</v>
      </c>
      <c r="K233" t="s">
        <v>4638</v>
      </c>
      <c r="L233" t="s">
        <v>4404</v>
      </c>
      <c r="P233" t="s">
        <v>4340</v>
      </c>
      <c r="R233" t="s">
        <v>58</v>
      </c>
      <c r="S233">
        <v>8</v>
      </c>
      <c r="T233" t="s">
        <v>4416</v>
      </c>
      <c r="V233">
        <v>24576</v>
      </c>
      <c r="X233" t="s">
        <v>4406</v>
      </c>
      <c r="Y233" t="s">
        <v>4407</v>
      </c>
      <c r="Z233" t="s">
        <v>4408</v>
      </c>
      <c r="AA233" t="s">
        <v>4409</v>
      </c>
      <c r="AG233" t="s">
        <v>64</v>
      </c>
      <c r="AJ233" t="s">
        <v>4653</v>
      </c>
      <c r="AL233" t="s">
        <v>4411</v>
      </c>
      <c r="AN233" t="s">
        <v>4412</v>
      </c>
      <c r="AO233" t="s">
        <v>4413</v>
      </c>
      <c r="AQ233">
        <v>2</v>
      </c>
      <c r="AS233">
        <v>107520</v>
      </c>
      <c r="AX233" s="98" t="s">
        <v>801</v>
      </c>
      <c r="AY233">
        <f>MATCH(A233,VmSpecs[Original Hostname (CMO)],0)</f>
        <v>147</v>
      </c>
      <c r="AZ233" t="str" cm="1">
        <f t="array" ref="AZ233">INDEX(VmSpecs[VM Name],AY233)</f>
        <v>vmpfbpf2olg09</v>
      </c>
      <c r="BA233" t="str">
        <f t="shared" si="3"/>
        <v>ehgpfaasolg09</v>
      </c>
      <c r="BB233" t="s">
        <v>4280</v>
      </c>
      <c r="BD233" t="str" cm="1">
        <f t="array" ref="BD233">INDEX(VmSpecs[Server Role],AY233)</f>
        <v>OSB Log N09</v>
      </c>
    </row>
    <row r="234" spans="1:56" hidden="1" x14ac:dyDescent="0.35">
      <c r="A234" t="s">
        <v>399</v>
      </c>
      <c r="B234" t="s">
        <v>4399</v>
      </c>
      <c r="C234" t="s">
        <v>63</v>
      </c>
      <c r="D234" t="s">
        <v>4400</v>
      </c>
      <c r="E234" t="s">
        <v>4401</v>
      </c>
      <c r="J234" t="s">
        <v>4078</v>
      </c>
      <c r="K234" t="s">
        <v>4638</v>
      </c>
      <c r="L234" t="s">
        <v>4404</v>
      </c>
      <c r="P234" t="s">
        <v>4340</v>
      </c>
      <c r="R234" t="s">
        <v>58</v>
      </c>
      <c r="S234">
        <v>8</v>
      </c>
      <c r="T234" t="s">
        <v>4416</v>
      </c>
      <c r="V234">
        <v>24576</v>
      </c>
      <c r="X234" t="s">
        <v>4406</v>
      </c>
      <c r="Y234" t="s">
        <v>4407</v>
      </c>
      <c r="Z234" t="s">
        <v>4408</v>
      </c>
      <c r="AA234" t="s">
        <v>4409</v>
      </c>
      <c r="AG234" t="s">
        <v>64</v>
      </c>
      <c r="AJ234" t="s">
        <v>4654</v>
      </c>
      <c r="AL234" t="s">
        <v>4411</v>
      </c>
      <c r="AN234" t="s">
        <v>4412</v>
      </c>
      <c r="AO234" t="s">
        <v>4413</v>
      </c>
      <c r="AQ234">
        <v>2</v>
      </c>
      <c r="AS234">
        <v>107520</v>
      </c>
      <c r="AX234" s="98" t="s">
        <v>801</v>
      </c>
      <c r="AY234">
        <f>MATCH(A234,VmSpecs[Original Hostname (CMO)],0)</f>
        <v>148</v>
      </c>
      <c r="AZ234" t="str" cm="1">
        <f t="array" ref="AZ234">INDEX(VmSpecs[VM Name],AY234)</f>
        <v>vmpfbpf2olg10</v>
      </c>
      <c r="BA234" t="str">
        <f t="shared" si="3"/>
        <v>ehgpfaasolg10</v>
      </c>
      <c r="BB234" t="s">
        <v>4280</v>
      </c>
      <c r="BD234" t="str" cm="1">
        <f t="array" ref="BD234">INDEX(VmSpecs[Server Role],AY234)</f>
        <v>OSB Log N10</v>
      </c>
    </row>
    <row r="235" spans="1:56" hidden="1" x14ac:dyDescent="0.35">
      <c r="A235" t="s">
        <v>381</v>
      </c>
      <c r="B235" t="s">
        <v>4399</v>
      </c>
      <c r="C235" t="s">
        <v>63</v>
      </c>
      <c r="D235" t="s">
        <v>4400</v>
      </c>
      <c r="E235" t="s">
        <v>4401</v>
      </c>
      <c r="J235" t="s">
        <v>4078</v>
      </c>
      <c r="K235" t="s">
        <v>4638</v>
      </c>
      <c r="L235" t="s">
        <v>4404</v>
      </c>
      <c r="P235" t="s">
        <v>4340</v>
      </c>
      <c r="R235" t="s">
        <v>58</v>
      </c>
      <c r="S235">
        <v>8</v>
      </c>
      <c r="T235" t="s">
        <v>4416</v>
      </c>
      <c r="V235">
        <v>32768</v>
      </c>
      <c r="X235" t="s">
        <v>4406</v>
      </c>
      <c r="Y235" t="s">
        <v>4407</v>
      </c>
      <c r="Z235" t="s">
        <v>4408</v>
      </c>
      <c r="AA235" t="s">
        <v>4409</v>
      </c>
      <c r="AG235" t="s">
        <v>64</v>
      </c>
      <c r="AJ235" t="s">
        <v>4655</v>
      </c>
      <c r="AL235" t="s">
        <v>4411</v>
      </c>
      <c r="AN235" t="s">
        <v>4412</v>
      </c>
      <c r="AO235" t="s">
        <v>4413</v>
      </c>
      <c r="AQ235">
        <v>2</v>
      </c>
      <c r="AS235">
        <v>107520</v>
      </c>
      <c r="AX235" s="98" t="s">
        <v>801</v>
      </c>
      <c r="AY235">
        <f>MATCH(A235,VmSpecs[Original Hostname (CMO)],0)</f>
        <v>139</v>
      </c>
      <c r="AZ235" t="str" cm="1">
        <f t="array" ref="AZ235">INDEX(VmSpecs[VM Name],AY235)</f>
        <v>vmpfbpf2olg01</v>
      </c>
      <c r="BA235" t="str">
        <f t="shared" si="3"/>
        <v>ehgpfaasolg01</v>
      </c>
      <c r="BB235" t="s">
        <v>4280</v>
      </c>
      <c r="BD235" t="str" cm="1">
        <f t="array" ref="BD235">INDEX(VmSpecs[Server Role],AY235)</f>
        <v>OSB Log N01</v>
      </c>
    </row>
    <row r="236" spans="1:56" hidden="1" x14ac:dyDescent="0.35">
      <c r="A236" t="s">
        <v>417</v>
      </c>
      <c r="B236" t="s">
        <v>4399</v>
      </c>
      <c r="C236" t="s">
        <v>63</v>
      </c>
      <c r="D236" t="s">
        <v>4400</v>
      </c>
      <c r="E236" t="s">
        <v>4401</v>
      </c>
      <c r="J236" t="s">
        <v>4078</v>
      </c>
      <c r="K236" t="s">
        <v>4638</v>
      </c>
      <c r="L236" t="s">
        <v>4404</v>
      </c>
      <c r="P236" t="s">
        <v>4340</v>
      </c>
      <c r="R236" t="s">
        <v>58</v>
      </c>
      <c r="S236">
        <v>8</v>
      </c>
      <c r="V236">
        <v>24576</v>
      </c>
      <c r="AJ236" t="s">
        <v>4656</v>
      </c>
      <c r="AL236" t="s">
        <v>4411</v>
      </c>
      <c r="AN236" t="s">
        <v>4412</v>
      </c>
      <c r="AQ236">
        <v>2</v>
      </c>
      <c r="AX236" s="98" t="s">
        <v>801</v>
      </c>
      <c r="AY236">
        <f>MATCH(A236,VmSpecs[Original Hostname (CMO)],0)</f>
        <v>157</v>
      </c>
      <c r="AZ236" t="str" cm="1">
        <f t="array" ref="AZ236">INDEX(VmSpecs[VM Name],AY236)</f>
        <v>vmpfbpf2olg19</v>
      </c>
      <c r="BA236" t="str">
        <f t="shared" si="3"/>
        <v>ehgpfaasolg19</v>
      </c>
      <c r="BB236" t="s">
        <v>4280</v>
      </c>
      <c r="BD236" t="str" cm="1">
        <f t="array" ref="BD236">INDEX(VmSpecs[Server Role],AY236)</f>
        <v>OSB Log N19</v>
      </c>
    </row>
    <row r="237" spans="1:56" hidden="1" x14ac:dyDescent="0.35">
      <c r="A237" t="s">
        <v>419</v>
      </c>
      <c r="B237" t="s">
        <v>4399</v>
      </c>
      <c r="C237" t="s">
        <v>63</v>
      </c>
      <c r="D237" t="s">
        <v>4400</v>
      </c>
      <c r="E237" t="s">
        <v>4401</v>
      </c>
      <c r="J237" t="s">
        <v>4078</v>
      </c>
      <c r="K237" t="s">
        <v>4638</v>
      </c>
      <c r="L237" t="s">
        <v>4404</v>
      </c>
      <c r="P237" t="s">
        <v>4340</v>
      </c>
      <c r="R237" t="s">
        <v>58</v>
      </c>
      <c r="S237">
        <v>8</v>
      </c>
      <c r="V237">
        <v>24576</v>
      </c>
      <c r="AJ237" t="s">
        <v>4657</v>
      </c>
      <c r="AL237" t="s">
        <v>4411</v>
      </c>
      <c r="AN237" t="s">
        <v>4412</v>
      </c>
      <c r="AQ237">
        <v>2</v>
      </c>
      <c r="AX237" s="98" t="s">
        <v>801</v>
      </c>
      <c r="AY237">
        <f>MATCH(A237,VmSpecs[Original Hostname (CMO)],0)</f>
        <v>158</v>
      </c>
      <c r="AZ237" t="str" cm="1">
        <f t="array" ref="AZ237">INDEX(VmSpecs[VM Name],AY237)</f>
        <v>vmpfbpf2olg20</v>
      </c>
      <c r="BA237" t="str">
        <f t="shared" si="3"/>
        <v>ehgpfaasolg20</v>
      </c>
      <c r="BB237" t="s">
        <v>4280</v>
      </c>
      <c r="BD237" t="str" cm="1">
        <f t="array" ref="BD237">INDEX(VmSpecs[Server Role],AY237)</f>
        <v>OSB Log N20</v>
      </c>
    </row>
    <row r="238" spans="1:56" hidden="1" x14ac:dyDescent="0.35">
      <c r="A238" t="s">
        <v>421</v>
      </c>
      <c r="B238" t="s">
        <v>4399</v>
      </c>
      <c r="C238" t="s">
        <v>63</v>
      </c>
      <c r="D238" t="s">
        <v>4400</v>
      </c>
      <c r="E238" t="s">
        <v>4401</v>
      </c>
      <c r="J238" t="s">
        <v>4078</v>
      </c>
      <c r="K238" t="s">
        <v>4638</v>
      </c>
      <c r="L238" t="s">
        <v>4404</v>
      </c>
      <c r="P238" t="s">
        <v>4340</v>
      </c>
      <c r="R238" t="s">
        <v>58</v>
      </c>
      <c r="S238">
        <v>8</v>
      </c>
      <c r="V238">
        <v>24576</v>
      </c>
      <c r="AJ238" t="s">
        <v>4658</v>
      </c>
      <c r="AL238" t="s">
        <v>4411</v>
      </c>
      <c r="AN238" t="s">
        <v>4412</v>
      </c>
      <c r="AQ238">
        <v>2</v>
      </c>
      <c r="AX238" s="98" t="s">
        <v>801</v>
      </c>
      <c r="AY238">
        <f>MATCH(A238,VmSpecs[Original Hostname (CMO)],0)</f>
        <v>159</v>
      </c>
      <c r="AZ238" t="str" cm="1">
        <f t="array" ref="AZ238">INDEX(VmSpecs[VM Name],AY238)</f>
        <v>vmpfbpf2olg21</v>
      </c>
      <c r="BA238" t="str">
        <f t="shared" si="3"/>
        <v>ehgpfaasolg21</v>
      </c>
      <c r="BB238" t="s">
        <v>4280</v>
      </c>
      <c r="BD238" t="str" cm="1">
        <f t="array" ref="BD238">INDEX(VmSpecs[Server Role],AY238)</f>
        <v>OSB Log N21</v>
      </c>
    </row>
    <row r="239" spans="1:56" hidden="1" x14ac:dyDescent="0.35">
      <c r="A239" t="s">
        <v>423</v>
      </c>
      <c r="B239" t="s">
        <v>4399</v>
      </c>
      <c r="C239" t="s">
        <v>63</v>
      </c>
      <c r="D239" t="s">
        <v>4400</v>
      </c>
      <c r="E239" t="s">
        <v>4401</v>
      </c>
      <c r="J239" t="s">
        <v>4078</v>
      </c>
      <c r="K239" t="s">
        <v>4638</v>
      </c>
      <c r="L239" t="s">
        <v>4404</v>
      </c>
      <c r="P239" t="s">
        <v>4340</v>
      </c>
      <c r="R239" t="s">
        <v>58</v>
      </c>
      <c r="S239">
        <v>8</v>
      </c>
      <c r="V239">
        <v>24576</v>
      </c>
      <c r="AJ239" t="s">
        <v>4659</v>
      </c>
      <c r="AL239" t="s">
        <v>4411</v>
      </c>
      <c r="AN239" t="s">
        <v>4412</v>
      </c>
      <c r="AQ239">
        <v>2</v>
      </c>
      <c r="AX239" s="98" t="s">
        <v>801</v>
      </c>
      <c r="AY239">
        <f>MATCH(A239,VmSpecs[Original Hostname (CMO)],0)</f>
        <v>160</v>
      </c>
      <c r="AZ239" t="str" cm="1">
        <f t="array" ref="AZ239">INDEX(VmSpecs[VM Name],AY239)</f>
        <v>vmpfbpf2olg22</v>
      </c>
      <c r="BA239" t="str">
        <f t="shared" si="3"/>
        <v>ehgpfaasolg22</v>
      </c>
      <c r="BB239" t="s">
        <v>4280</v>
      </c>
      <c r="BD239" t="str" cm="1">
        <f t="array" ref="BD239">INDEX(VmSpecs[Server Role],AY239)</f>
        <v>OSB Log N22</v>
      </c>
    </row>
    <row r="240" spans="1:56" hidden="1" x14ac:dyDescent="0.35">
      <c r="A240" t="s">
        <v>425</v>
      </c>
      <c r="B240" t="s">
        <v>4399</v>
      </c>
      <c r="C240" t="s">
        <v>63</v>
      </c>
      <c r="D240" t="s">
        <v>4400</v>
      </c>
      <c r="E240" t="s">
        <v>4401</v>
      </c>
      <c r="J240" t="s">
        <v>4078</v>
      </c>
      <c r="K240" t="s">
        <v>4638</v>
      </c>
      <c r="L240" t="s">
        <v>4404</v>
      </c>
      <c r="P240" t="s">
        <v>4340</v>
      </c>
      <c r="R240" t="s">
        <v>58</v>
      </c>
      <c r="S240">
        <v>8</v>
      </c>
      <c r="V240">
        <v>24576</v>
      </c>
      <c r="AJ240" t="s">
        <v>4660</v>
      </c>
      <c r="AL240" t="s">
        <v>4411</v>
      </c>
      <c r="AN240" t="s">
        <v>4412</v>
      </c>
      <c r="AQ240">
        <v>2</v>
      </c>
      <c r="AX240" s="98" t="s">
        <v>801</v>
      </c>
      <c r="AY240">
        <f>MATCH(A240,VmSpecs[Original Hostname (CMO)],0)</f>
        <v>161</v>
      </c>
      <c r="AZ240" t="str" cm="1">
        <f t="array" ref="AZ240">INDEX(VmSpecs[VM Name],AY240)</f>
        <v>vmpfbpf2olg23</v>
      </c>
      <c r="BA240" t="str">
        <f t="shared" si="3"/>
        <v>ehgpfaasolg23</v>
      </c>
      <c r="BB240" t="s">
        <v>4280</v>
      </c>
      <c r="BD240" t="str" cm="1">
        <f t="array" ref="BD240">INDEX(VmSpecs[Server Role],AY240)</f>
        <v>OSB Log N23</v>
      </c>
    </row>
    <row r="241" spans="1:56" hidden="1" x14ac:dyDescent="0.35">
      <c r="A241" t="s">
        <v>427</v>
      </c>
      <c r="B241" t="s">
        <v>4399</v>
      </c>
      <c r="C241" t="s">
        <v>63</v>
      </c>
      <c r="D241" t="s">
        <v>4400</v>
      </c>
      <c r="E241" t="s">
        <v>4401</v>
      </c>
      <c r="J241" t="s">
        <v>4078</v>
      </c>
      <c r="K241" t="s">
        <v>4638</v>
      </c>
      <c r="L241" t="s">
        <v>4404</v>
      </c>
      <c r="P241" t="s">
        <v>4340</v>
      </c>
      <c r="R241" t="s">
        <v>58</v>
      </c>
      <c r="S241">
        <v>8</v>
      </c>
      <c r="V241">
        <v>24576</v>
      </c>
      <c r="AJ241" t="s">
        <v>4661</v>
      </c>
      <c r="AL241" t="s">
        <v>4411</v>
      </c>
      <c r="AN241" t="s">
        <v>4412</v>
      </c>
      <c r="AQ241">
        <v>2</v>
      </c>
      <c r="AX241" s="98" t="s">
        <v>801</v>
      </c>
      <c r="AY241">
        <f>MATCH(A241,VmSpecs[Original Hostname (CMO)],0)</f>
        <v>162</v>
      </c>
      <c r="AZ241" t="str" cm="1">
        <f t="array" ref="AZ241">INDEX(VmSpecs[VM Name],AY241)</f>
        <v>vmpfbpf2olg24</v>
      </c>
      <c r="BA241" t="str">
        <f t="shared" si="3"/>
        <v>ehgpfaasolg24</v>
      </c>
      <c r="BB241" t="s">
        <v>4280</v>
      </c>
      <c r="BD241" t="str" cm="1">
        <f t="array" ref="BD241">INDEX(VmSpecs[Server Role],AY241)</f>
        <v>OSB Log N24</v>
      </c>
    </row>
    <row r="242" spans="1:56" hidden="1" x14ac:dyDescent="0.35">
      <c r="A242" t="s">
        <v>429</v>
      </c>
      <c r="B242" t="s">
        <v>4399</v>
      </c>
      <c r="C242" t="s">
        <v>63</v>
      </c>
      <c r="D242" t="s">
        <v>4400</v>
      </c>
      <c r="E242" t="s">
        <v>4401</v>
      </c>
      <c r="J242" t="s">
        <v>4078</v>
      </c>
      <c r="K242" t="s">
        <v>4638</v>
      </c>
      <c r="L242" t="s">
        <v>4404</v>
      </c>
      <c r="P242" t="s">
        <v>4340</v>
      </c>
      <c r="R242" t="s">
        <v>58</v>
      </c>
      <c r="S242">
        <v>8</v>
      </c>
      <c r="V242">
        <v>24576</v>
      </c>
      <c r="AJ242" t="s">
        <v>4662</v>
      </c>
      <c r="AL242" t="s">
        <v>4411</v>
      </c>
      <c r="AN242" t="s">
        <v>4412</v>
      </c>
      <c r="AQ242">
        <v>2</v>
      </c>
      <c r="AX242" s="98" t="s">
        <v>801</v>
      </c>
      <c r="AY242">
        <f>MATCH(A242,VmSpecs[Original Hostname (CMO)],0)</f>
        <v>163</v>
      </c>
      <c r="AZ242" t="str" cm="1">
        <f t="array" ref="AZ242">INDEX(VmSpecs[VM Name],AY242)</f>
        <v>vmpfbpf2olg25</v>
      </c>
      <c r="BA242" t="str">
        <f t="shared" si="3"/>
        <v>ehgpfaasolg25</v>
      </c>
      <c r="BB242" t="s">
        <v>4280</v>
      </c>
      <c r="BD242" t="str" cm="1">
        <f t="array" ref="BD242">INDEX(VmSpecs[Server Role],AY242)</f>
        <v>OSB Log N25</v>
      </c>
    </row>
    <row r="243" spans="1:56" hidden="1" x14ac:dyDescent="0.35">
      <c r="A243" t="s">
        <v>431</v>
      </c>
      <c r="B243" t="s">
        <v>4399</v>
      </c>
      <c r="C243" t="s">
        <v>63</v>
      </c>
      <c r="D243" t="s">
        <v>4400</v>
      </c>
      <c r="E243" t="s">
        <v>4401</v>
      </c>
      <c r="J243" t="s">
        <v>4078</v>
      </c>
      <c r="K243" t="s">
        <v>4638</v>
      </c>
      <c r="L243" t="s">
        <v>4404</v>
      </c>
      <c r="P243" t="s">
        <v>4340</v>
      </c>
      <c r="R243" t="s">
        <v>58</v>
      </c>
      <c r="S243">
        <v>8</v>
      </c>
      <c r="V243">
        <v>24576</v>
      </c>
      <c r="AJ243" t="s">
        <v>4663</v>
      </c>
      <c r="AL243" t="s">
        <v>4411</v>
      </c>
      <c r="AN243" t="s">
        <v>4412</v>
      </c>
      <c r="AQ243">
        <v>2</v>
      </c>
      <c r="AX243" s="98" t="s">
        <v>801</v>
      </c>
      <c r="AY243">
        <f>MATCH(A243,VmSpecs[Original Hostname (CMO)],0)</f>
        <v>164</v>
      </c>
      <c r="AZ243" t="str" cm="1">
        <f t="array" ref="AZ243">INDEX(VmSpecs[VM Name],AY243)</f>
        <v>vmpfbpf2olg26</v>
      </c>
      <c r="BA243" t="str">
        <f t="shared" si="3"/>
        <v>ehgpfaasolg26</v>
      </c>
      <c r="BB243" t="s">
        <v>4280</v>
      </c>
      <c r="BD243" t="str" cm="1">
        <f t="array" ref="BD243">INDEX(VmSpecs[Server Role],AY243)</f>
        <v>OSB Log N26</v>
      </c>
    </row>
    <row r="244" spans="1:56" hidden="1" x14ac:dyDescent="0.35">
      <c r="A244" t="s">
        <v>433</v>
      </c>
      <c r="B244" t="s">
        <v>4399</v>
      </c>
      <c r="C244" t="s">
        <v>63</v>
      </c>
      <c r="D244" t="s">
        <v>4400</v>
      </c>
      <c r="E244" t="s">
        <v>4401</v>
      </c>
      <c r="J244" t="s">
        <v>4078</v>
      </c>
      <c r="K244" t="s">
        <v>4638</v>
      </c>
      <c r="L244" t="s">
        <v>4404</v>
      </c>
      <c r="P244" t="s">
        <v>4340</v>
      </c>
      <c r="R244" t="s">
        <v>58</v>
      </c>
      <c r="S244">
        <v>8</v>
      </c>
      <c r="V244">
        <v>24576</v>
      </c>
      <c r="AJ244" t="s">
        <v>4664</v>
      </c>
      <c r="AL244" t="s">
        <v>4411</v>
      </c>
      <c r="AN244" t="s">
        <v>4412</v>
      </c>
      <c r="AQ244">
        <v>2</v>
      </c>
      <c r="AX244" s="98" t="s">
        <v>801</v>
      </c>
      <c r="AY244">
        <f>MATCH(A244,VmSpecs[Original Hostname (CMO)],0)</f>
        <v>165</v>
      </c>
      <c r="AZ244" t="str" cm="1">
        <f t="array" ref="AZ244">INDEX(VmSpecs[VM Name],AY244)</f>
        <v>vmpfbpf2olg27</v>
      </c>
      <c r="BA244" t="str">
        <f t="shared" si="3"/>
        <v>ehgpfaasolg27</v>
      </c>
      <c r="BB244" t="s">
        <v>4280</v>
      </c>
      <c r="BD244" t="str" cm="1">
        <f t="array" ref="BD244">INDEX(VmSpecs[Server Role],AY244)</f>
        <v>OSB Log N27</v>
      </c>
    </row>
    <row r="245" spans="1:56" hidden="1" x14ac:dyDescent="0.35">
      <c r="A245" t="s">
        <v>435</v>
      </c>
      <c r="B245" t="s">
        <v>4399</v>
      </c>
      <c r="C245" t="s">
        <v>63</v>
      </c>
      <c r="D245" t="s">
        <v>4400</v>
      </c>
      <c r="E245" t="s">
        <v>4401</v>
      </c>
      <c r="J245" t="s">
        <v>4078</v>
      </c>
      <c r="K245" t="s">
        <v>4638</v>
      </c>
      <c r="L245" t="s">
        <v>4404</v>
      </c>
      <c r="P245" t="s">
        <v>4340</v>
      </c>
      <c r="R245" t="s">
        <v>58</v>
      </c>
      <c r="S245">
        <v>8</v>
      </c>
      <c r="V245">
        <v>24576</v>
      </c>
      <c r="AJ245" t="s">
        <v>4665</v>
      </c>
      <c r="AL245" t="s">
        <v>4411</v>
      </c>
      <c r="AN245" t="s">
        <v>4412</v>
      </c>
      <c r="AQ245">
        <v>2</v>
      </c>
      <c r="AX245" s="98" t="s">
        <v>801</v>
      </c>
      <c r="AY245">
        <f>MATCH(A245,VmSpecs[Original Hostname (CMO)],0)</f>
        <v>166</v>
      </c>
      <c r="AZ245" t="str" cm="1">
        <f t="array" ref="AZ245">INDEX(VmSpecs[VM Name],AY245)</f>
        <v>vmpfbpf2olg28</v>
      </c>
      <c r="BA245" t="str">
        <f t="shared" si="3"/>
        <v>ehgpfaasolg28</v>
      </c>
      <c r="BB245" t="s">
        <v>4280</v>
      </c>
      <c r="BD245" t="str" cm="1">
        <f t="array" ref="BD245">INDEX(VmSpecs[Server Role],AY245)</f>
        <v>OSB Log N28</v>
      </c>
    </row>
    <row r="246" spans="1:56" hidden="1" x14ac:dyDescent="0.35">
      <c r="A246" t="s">
        <v>437</v>
      </c>
      <c r="B246" t="s">
        <v>4399</v>
      </c>
      <c r="C246" t="s">
        <v>63</v>
      </c>
      <c r="D246" t="s">
        <v>4400</v>
      </c>
      <c r="E246" t="s">
        <v>4401</v>
      </c>
      <c r="J246" t="s">
        <v>4078</v>
      </c>
      <c r="K246" t="s">
        <v>4638</v>
      </c>
      <c r="L246" t="s">
        <v>4404</v>
      </c>
      <c r="P246" t="s">
        <v>4340</v>
      </c>
      <c r="R246" t="s">
        <v>58</v>
      </c>
      <c r="S246">
        <v>8</v>
      </c>
      <c r="V246">
        <v>24576</v>
      </c>
      <c r="AJ246" t="s">
        <v>4666</v>
      </c>
      <c r="AL246" t="s">
        <v>4411</v>
      </c>
      <c r="AN246" t="s">
        <v>4412</v>
      </c>
      <c r="AQ246">
        <v>2</v>
      </c>
      <c r="AX246" s="98" t="s">
        <v>801</v>
      </c>
      <c r="AY246">
        <f>MATCH(A246,VmSpecs[Original Hostname (CMO)],0)</f>
        <v>167</v>
      </c>
      <c r="AZ246" t="str" cm="1">
        <f t="array" ref="AZ246">INDEX(VmSpecs[VM Name],AY246)</f>
        <v>vmpfbpf2olg29</v>
      </c>
      <c r="BA246" t="str">
        <f t="shared" si="3"/>
        <v>ehgpfaasolg29</v>
      </c>
      <c r="BB246" t="s">
        <v>4280</v>
      </c>
      <c r="BD246" t="str" cm="1">
        <f t="array" ref="BD246">INDEX(VmSpecs[Server Role],AY246)</f>
        <v>OSB Log N29</v>
      </c>
    </row>
    <row r="247" spans="1:56" hidden="1" x14ac:dyDescent="0.35">
      <c r="A247" t="s">
        <v>439</v>
      </c>
      <c r="B247" t="s">
        <v>4399</v>
      </c>
      <c r="C247" t="s">
        <v>63</v>
      </c>
      <c r="D247" t="s">
        <v>4400</v>
      </c>
      <c r="E247" t="s">
        <v>4401</v>
      </c>
      <c r="J247" t="s">
        <v>4078</v>
      </c>
      <c r="K247" t="s">
        <v>4638</v>
      </c>
      <c r="L247" t="s">
        <v>4404</v>
      </c>
      <c r="P247" t="s">
        <v>4340</v>
      </c>
      <c r="R247" t="s">
        <v>58</v>
      </c>
      <c r="S247">
        <v>8</v>
      </c>
      <c r="V247">
        <v>24576</v>
      </c>
      <c r="AJ247" t="s">
        <v>4667</v>
      </c>
      <c r="AL247" t="s">
        <v>4411</v>
      </c>
      <c r="AN247" t="s">
        <v>4412</v>
      </c>
      <c r="AQ247">
        <v>2</v>
      </c>
      <c r="AX247" s="98" t="s">
        <v>801</v>
      </c>
      <c r="AY247">
        <f>MATCH(A247,VmSpecs[Original Hostname (CMO)],0)</f>
        <v>168</v>
      </c>
      <c r="AZ247" t="str" cm="1">
        <f t="array" ref="AZ247">INDEX(VmSpecs[VM Name],AY247)</f>
        <v>vmpfbpf2olg30</v>
      </c>
      <c r="BA247" t="str">
        <f t="shared" si="3"/>
        <v>ehgpfaasolg30</v>
      </c>
      <c r="BB247" t="s">
        <v>4280</v>
      </c>
      <c r="BD247" t="str" cm="1">
        <f t="array" ref="BD247">INDEX(VmSpecs[Server Role],AY247)</f>
        <v>OSB Log N30</v>
      </c>
    </row>
    <row r="248" spans="1:56" hidden="1" x14ac:dyDescent="0.35">
      <c r="A248" t="s">
        <v>441</v>
      </c>
      <c r="B248" t="s">
        <v>4399</v>
      </c>
      <c r="C248" t="s">
        <v>63</v>
      </c>
      <c r="D248" t="s">
        <v>4400</v>
      </c>
      <c r="E248" t="s">
        <v>4401</v>
      </c>
      <c r="J248" t="s">
        <v>4078</v>
      </c>
      <c r="K248" t="s">
        <v>4638</v>
      </c>
      <c r="L248" t="s">
        <v>4404</v>
      </c>
      <c r="P248" t="s">
        <v>4340</v>
      </c>
      <c r="R248" t="s">
        <v>58</v>
      </c>
      <c r="S248">
        <v>8</v>
      </c>
      <c r="V248">
        <v>24576</v>
      </c>
      <c r="AJ248" t="s">
        <v>4668</v>
      </c>
      <c r="AL248" t="s">
        <v>4411</v>
      </c>
      <c r="AN248" t="s">
        <v>4412</v>
      </c>
      <c r="AQ248">
        <v>2</v>
      </c>
      <c r="AX248" s="98" t="s">
        <v>801</v>
      </c>
      <c r="AY248">
        <f>MATCH(A248,VmSpecs[Original Hostname (CMO)],0)</f>
        <v>169</v>
      </c>
      <c r="AZ248" t="str" cm="1">
        <f t="array" ref="AZ248">INDEX(VmSpecs[VM Name],AY248)</f>
        <v>vmpfbpf2olg31</v>
      </c>
      <c r="BA248" t="str">
        <f t="shared" si="3"/>
        <v>ehgpfaasolg31</v>
      </c>
      <c r="BB248" t="s">
        <v>4280</v>
      </c>
      <c r="BD248" t="str" cm="1">
        <f t="array" ref="BD248">INDEX(VmSpecs[Server Role],AY248)</f>
        <v>OSB Log N31</v>
      </c>
    </row>
    <row r="249" spans="1:56" hidden="1" x14ac:dyDescent="0.35">
      <c r="A249" t="s">
        <v>513</v>
      </c>
      <c r="B249" t="s">
        <v>4399</v>
      </c>
      <c r="C249" t="s">
        <v>63</v>
      </c>
      <c r="D249" t="s">
        <v>4400</v>
      </c>
      <c r="E249" t="s">
        <v>4463</v>
      </c>
      <c r="J249" t="s">
        <v>4076</v>
      </c>
      <c r="K249" t="s">
        <v>4476</v>
      </c>
      <c r="L249" t="s">
        <v>4404</v>
      </c>
      <c r="P249" t="s">
        <v>4340</v>
      </c>
      <c r="R249" t="s">
        <v>58</v>
      </c>
      <c r="S249">
        <v>12</v>
      </c>
      <c r="V249">
        <v>32768</v>
      </c>
      <c r="AA249" t="s">
        <v>4420</v>
      </c>
      <c r="AJ249" t="s">
        <v>4669</v>
      </c>
      <c r="AL249" t="s">
        <v>4411</v>
      </c>
      <c r="AN249" t="s">
        <v>4412</v>
      </c>
      <c r="AO249" t="s">
        <v>4413</v>
      </c>
      <c r="AQ249">
        <v>1</v>
      </c>
      <c r="AX249" s="98" t="s">
        <v>801</v>
      </c>
      <c r="AY249">
        <f>MATCH(A249,VmSpecs[Original Hostname (CMO)],0)</f>
        <v>203</v>
      </c>
      <c r="AZ249" t="str" cm="1">
        <f t="array" ref="AZ249">INDEX(VmSpecs[VM Name],AY249)</f>
        <v>vmpfbpf2fhi05</v>
      </c>
      <c r="BA249" t="str">
        <f t="shared" si="3"/>
        <v>ehgpfawsfhi05</v>
      </c>
      <c r="BB249" t="s">
        <v>4280</v>
      </c>
      <c r="BD249" t="str" cm="1">
        <f t="array" ref="BD249">INDEX(VmSpecs[Server Role],AY249)</f>
        <v>FHIR-OAG N5</v>
      </c>
    </row>
    <row r="250" spans="1:56" hidden="1" x14ac:dyDescent="0.35">
      <c r="A250" t="s">
        <v>515</v>
      </c>
      <c r="B250" t="s">
        <v>4399</v>
      </c>
      <c r="C250" t="s">
        <v>63</v>
      </c>
      <c r="D250" t="s">
        <v>4400</v>
      </c>
      <c r="E250" t="s">
        <v>4463</v>
      </c>
      <c r="J250" t="s">
        <v>4076</v>
      </c>
      <c r="K250" t="s">
        <v>4476</v>
      </c>
      <c r="L250" t="s">
        <v>4404</v>
      </c>
      <c r="P250" t="s">
        <v>4340</v>
      </c>
      <c r="R250" t="s">
        <v>58</v>
      </c>
      <c r="S250">
        <v>12</v>
      </c>
      <c r="V250">
        <v>32768</v>
      </c>
      <c r="AA250" t="s">
        <v>4420</v>
      </c>
      <c r="AJ250" t="s">
        <v>4670</v>
      </c>
      <c r="AL250" t="s">
        <v>4411</v>
      </c>
      <c r="AN250" t="s">
        <v>4412</v>
      </c>
      <c r="AO250" t="s">
        <v>4413</v>
      </c>
      <c r="AQ250">
        <v>1</v>
      </c>
      <c r="AX250" s="98" t="s">
        <v>801</v>
      </c>
      <c r="AY250">
        <f>MATCH(A250,VmSpecs[Original Hostname (CMO)],0)</f>
        <v>204</v>
      </c>
      <c r="AZ250" t="str" cm="1">
        <f t="array" ref="AZ250">INDEX(VmSpecs[VM Name],AY250)</f>
        <v>vmpfbpf2fhi06</v>
      </c>
      <c r="BA250" t="str">
        <f t="shared" si="3"/>
        <v>ehgpfawsfhi06</v>
      </c>
      <c r="BB250" t="s">
        <v>4280</v>
      </c>
      <c r="BD250" t="str" cm="1">
        <f t="array" ref="BD250">INDEX(VmSpecs[Server Role],AY250)</f>
        <v>FHIR-OAG N6</v>
      </c>
    </row>
    <row r="251" spans="1:56" hidden="1" x14ac:dyDescent="0.35">
      <c r="A251" t="s">
        <v>517</v>
      </c>
      <c r="B251" t="s">
        <v>4399</v>
      </c>
      <c r="C251" t="s">
        <v>63</v>
      </c>
      <c r="D251" t="s">
        <v>4400</v>
      </c>
      <c r="E251" t="s">
        <v>4463</v>
      </c>
      <c r="J251" t="s">
        <v>4076</v>
      </c>
      <c r="K251" t="s">
        <v>4476</v>
      </c>
      <c r="L251" t="s">
        <v>4404</v>
      </c>
      <c r="P251" t="s">
        <v>4340</v>
      </c>
      <c r="R251" t="s">
        <v>58</v>
      </c>
      <c r="S251">
        <v>12</v>
      </c>
      <c r="V251">
        <v>32768</v>
      </c>
      <c r="AA251" t="s">
        <v>4420</v>
      </c>
      <c r="AJ251" t="s">
        <v>4671</v>
      </c>
      <c r="AL251" t="s">
        <v>4411</v>
      </c>
      <c r="AN251" t="s">
        <v>4412</v>
      </c>
      <c r="AO251" t="s">
        <v>4413</v>
      </c>
      <c r="AQ251">
        <v>1</v>
      </c>
      <c r="AX251" s="98" t="s">
        <v>801</v>
      </c>
      <c r="AY251">
        <f>MATCH(A251,VmSpecs[Original Hostname (CMO)],0)</f>
        <v>205</v>
      </c>
      <c r="AZ251" t="str" cm="1">
        <f t="array" ref="AZ251">INDEX(VmSpecs[VM Name],AY251)</f>
        <v>vmpfbpf2fhi07</v>
      </c>
      <c r="BA251" t="str">
        <f t="shared" si="3"/>
        <v>ehgpfawsfhi07</v>
      </c>
      <c r="BB251" t="s">
        <v>4280</v>
      </c>
      <c r="BD251" t="str" cm="1">
        <f t="array" ref="BD251">INDEX(VmSpecs[Server Role],AY251)</f>
        <v>FHIR-OAG N7</v>
      </c>
    </row>
    <row r="252" spans="1:56" hidden="1" x14ac:dyDescent="0.35">
      <c r="A252" t="s">
        <v>519</v>
      </c>
      <c r="B252" t="s">
        <v>4399</v>
      </c>
      <c r="C252" t="s">
        <v>63</v>
      </c>
      <c r="D252" t="s">
        <v>4400</v>
      </c>
      <c r="E252" t="s">
        <v>4463</v>
      </c>
      <c r="J252" t="s">
        <v>4076</v>
      </c>
      <c r="K252" t="s">
        <v>4476</v>
      </c>
      <c r="L252" t="s">
        <v>4404</v>
      </c>
      <c r="P252" t="s">
        <v>4340</v>
      </c>
      <c r="R252" t="s">
        <v>58</v>
      </c>
      <c r="S252">
        <v>12</v>
      </c>
      <c r="V252">
        <v>32768</v>
      </c>
      <c r="AA252" t="s">
        <v>4420</v>
      </c>
      <c r="AJ252" t="s">
        <v>4672</v>
      </c>
      <c r="AL252" t="s">
        <v>4411</v>
      </c>
      <c r="AN252" t="s">
        <v>4412</v>
      </c>
      <c r="AO252" t="s">
        <v>4413</v>
      </c>
      <c r="AQ252">
        <v>1</v>
      </c>
      <c r="AX252" s="98" t="s">
        <v>801</v>
      </c>
      <c r="AY252">
        <f>MATCH(A252,VmSpecs[Original Hostname (CMO)],0)</f>
        <v>206</v>
      </c>
      <c r="AZ252" t="str" cm="1">
        <f t="array" ref="AZ252">INDEX(VmSpecs[VM Name],AY252)</f>
        <v>vmpfbpf2fhi08</v>
      </c>
      <c r="BA252" t="str">
        <f t="shared" si="3"/>
        <v>ehgpfawsfhi08</v>
      </c>
      <c r="BB252" t="s">
        <v>4280</v>
      </c>
      <c r="BD252" t="str" cm="1">
        <f t="array" ref="BD252">INDEX(VmSpecs[Server Role],AY252)</f>
        <v>FHIR-OAG N8</v>
      </c>
    </row>
    <row r="253" spans="1:56" x14ac:dyDescent="0.35">
      <c r="A253" t="s">
        <v>379</v>
      </c>
      <c r="B253" t="s">
        <v>4399</v>
      </c>
      <c r="C253" t="s">
        <v>63</v>
      </c>
      <c r="D253" t="s">
        <v>4400</v>
      </c>
      <c r="E253" t="s">
        <v>4401</v>
      </c>
      <c r="J253" t="s">
        <v>4440</v>
      </c>
      <c r="K253" t="s">
        <v>4441</v>
      </c>
      <c r="L253" t="s">
        <v>4404</v>
      </c>
      <c r="P253" t="s">
        <v>4340</v>
      </c>
      <c r="R253" t="s">
        <v>58</v>
      </c>
      <c r="S253">
        <v>2</v>
      </c>
      <c r="V253">
        <v>8192</v>
      </c>
      <c r="AJ253" t="s">
        <v>4673</v>
      </c>
      <c r="AL253" t="s">
        <v>4411</v>
      </c>
      <c r="AN253" t="s">
        <v>4412</v>
      </c>
      <c r="AQ253">
        <v>2</v>
      </c>
      <c r="AX253" s="98" t="s">
        <v>757</v>
      </c>
      <c r="AY253">
        <f>MATCH(A253,VmSpecs[Original Hostname (CMO)],0)</f>
        <v>138</v>
      </c>
      <c r="AZ253" t="str" cm="1">
        <f t="array" ref="AZ253">INDEX(VmSpecs[VM Name],AY253)</f>
        <v>vmpfbpf2oid19</v>
      </c>
      <c r="BA253" t="str">
        <f t="shared" si="3"/>
        <v>ehgpfaasoid19</v>
      </c>
      <c r="BB253" t="s">
        <v>4280</v>
      </c>
      <c r="BD253" t="str" cm="1">
        <f t="array" ref="BD253">INDEX(VmSpecs[Server Role],AY253)</f>
        <v>OID N19</v>
      </c>
    </row>
    <row r="254" spans="1:56" hidden="1" x14ac:dyDescent="0.35">
      <c r="A254" s="80" t="s">
        <v>4674</v>
      </c>
      <c r="B254" t="s">
        <v>4399</v>
      </c>
      <c r="C254" t="s">
        <v>63</v>
      </c>
      <c r="D254" t="s">
        <v>4400</v>
      </c>
      <c r="E254" t="s">
        <v>4463</v>
      </c>
      <c r="F254" t="s">
        <v>4561</v>
      </c>
      <c r="J254" t="s">
        <v>4588</v>
      </c>
      <c r="K254" t="s">
        <v>4589</v>
      </c>
      <c r="L254" t="s">
        <v>4404</v>
      </c>
      <c r="P254" t="s">
        <v>4340</v>
      </c>
      <c r="R254" t="s">
        <v>58</v>
      </c>
      <c r="S254">
        <v>8</v>
      </c>
      <c r="V254">
        <v>12288</v>
      </c>
      <c r="AA254" t="s">
        <v>4409</v>
      </c>
      <c r="AG254" t="s">
        <v>64</v>
      </c>
      <c r="AJ254" t="s">
        <v>4675</v>
      </c>
      <c r="AL254" t="s">
        <v>4411</v>
      </c>
      <c r="AN254" t="s">
        <v>4412</v>
      </c>
      <c r="AO254" t="s">
        <v>4413</v>
      </c>
      <c r="AQ254">
        <v>2</v>
      </c>
      <c r="AT254" s="80" t="s">
        <v>68</v>
      </c>
      <c r="AU254" s="80" t="s">
        <v>4565</v>
      </c>
      <c r="AX254" s="98" t="e">
        <v>#N/A</v>
      </c>
      <c r="AY254" t="e">
        <f>MATCH(A254,VmSpecs[Original Hostname (CMO)],0)</f>
        <v>#N/A</v>
      </c>
      <c r="AZ254" t="e" cm="1">
        <f t="array" ref="AZ254">INDEX(VmSpecs[VM Name],AY254)</f>
        <v>#N/A</v>
      </c>
      <c r="BA254" t="str">
        <f t="shared" si="3"/>
        <v>ehgpfaasobi02 - remove</v>
      </c>
      <c r="BB254" t="s">
        <v>4280</v>
      </c>
      <c r="BD254" t="e" cm="1">
        <f t="array" ref="BD254">INDEX(VmSpecs[Server Role],AY254)</f>
        <v>#N/A</v>
      </c>
    </row>
    <row r="255" spans="1:56" hidden="1" x14ac:dyDescent="0.35">
      <c r="A255" t="s">
        <v>323</v>
      </c>
      <c r="B255" t="s">
        <v>4399</v>
      </c>
      <c r="C255" t="s">
        <v>63</v>
      </c>
      <c r="D255" t="s">
        <v>4400</v>
      </c>
      <c r="E255" t="s">
        <v>4401</v>
      </c>
      <c r="J255" t="s">
        <v>4468</v>
      </c>
      <c r="K255" t="s">
        <v>4469</v>
      </c>
      <c r="L255" t="s">
        <v>4404</v>
      </c>
      <c r="P255" t="s">
        <v>4340</v>
      </c>
      <c r="R255" t="s">
        <v>58</v>
      </c>
      <c r="S255">
        <v>2</v>
      </c>
      <c r="V255">
        <v>16384</v>
      </c>
      <c r="AJ255" t="s">
        <v>4676</v>
      </c>
      <c r="AL255" t="s">
        <v>4411</v>
      </c>
      <c r="AN255" t="s">
        <v>4412</v>
      </c>
      <c r="AO255" t="s">
        <v>4413</v>
      </c>
      <c r="AQ255">
        <v>2</v>
      </c>
      <c r="AX255" s="98" t="s">
        <v>757</v>
      </c>
      <c r="AY255">
        <f>MATCH(A255,VmSpecs[Original Hostname (CMO)],0)</f>
        <v>110</v>
      </c>
      <c r="AZ255" t="str" cm="1">
        <f t="array" ref="AZ255">INDEX(VmSpecs[VM Name],AY255)</f>
        <v>vmpfbpf2oes10</v>
      </c>
      <c r="BA255" t="str">
        <f t="shared" si="3"/>
        <v>ehgpfaasoes10</v>
      </c>
      <c r="BB255" t="s">
        <v>4280</v>
      </c>
      <c r="BD255" t="str" cm="1">
        <f t="array" ref="BD255">INDEX(VmSpecs[Server Role],AY255)</f>
        <v>OES N10</v>
      </c>
    </row>
    <row r="256" spans="1:56" hidden="1" x14ac:dyDescent="0.35">
      <c r="A256" t="s">
        <v>401</v>
      </c>
      <c r="B256" t="s">
        <v>4399</v>
      </c>
      <c r="C256" t="s">
        <v>63</v>
      </c>
      <c r="D256" t="s">
        <v>4400</v>
      </c>
      <c r="E256" t="s">
        <v>4401</v>
      </c>
      <c r="J256" t="s">
        <v>4078</v>
      </c>
      <c r="K256" t="s">
        <v>4638</v>
      </c>
      <c r="L256" t="s">
        <v>4404</v>
      </c>
      <c r="P256" t="s">
        <v>4340</v>
      </c>
      <c r="R256" t="s">
        <v>58</v>
      </c>
      <c r="S256">
        <v>8</v>
      </c>
      <c r="V256">
        <v>24576</v>
      </c>
      <c r="AJ256" t="s">
        <v>4677</v>
      </c>
      <c r="AL256" t="s">
        <v>4411</v>
      </c>
      <c r="AN256" t="s">
        <v>4412</v>
      </c>
      <c r="AQ256">
        <v>2</v>
      </c>
      <c r="AX256" s="98" t="s">
        <v>801</v>
      </c>
      <c r="AY256">
        <f>MATCH(A256,VmSpecs[Original Hostname (CMO)],0)</f>
        <v>149</v>
      </c>
      <c r="AZ256" t="str" cm="1">
        <f t="array" ref="AZ256">INDEX(VmSpecs[VM Name],AY256)</f>
        <v>vmpfbpf2olg11</v>
      </c>
      <c r="BA256" t="str">
        <f t="shared" si="3"/>
        <v>ehgpfaasolg11</v>
      </c>
      <c r="BB256" t="s">
        <v>4280</v>
      </c>
      <c r="BD256" t="str" cm="1">
        <f t="array" ref="BD256">INDEX(VmSpecs[Server Role],AY256)</f>
        <v>OSB Log N11</v>
      </c>
    </row>
    <row r="257" spans="1:56" hidden="1" x14ac:dyDescent="0.35">
      <c r="A257" t="s">
        <v>4678</v>
      </c>
      <c r="B257" t="s">
        <v>4399</v>
      </c>
      <c r="C257" t="s">
        <v>63</v>
      </c>
      <c r="D257" t="s">
        <v>4400</v>
      </c>
      <c r="E257" t="s">
        <v>4463</v>
      </c>
      <c r="J257" t="s">
        <v>4679</v>
      </c>
      <c r="K257" t="s">
        <v>4680</v>
      </c>
      <c r="L257" t="s">
        <v>4404</v>
      </c>
      <c r="P257" t="s">
        <v>4340</v>
      </c>
      <c r="R257" t="s">
        <v>58</v>
      </c>
      <c r="S257">
        <v>2</v>
      </c>
      <c r="T257" t="s">
        <v>4405</v>
      </c>
      <c r="V257">
        <v>2048</v>
      </c>
      <c r="X257" t="s">
        <v>4406</v>
      </c>
      <c r="Y257" t="s">
        <v>4477</v>
      </c>
      <c r="Z257" t="s">
        <v>4408</v>
      </c>
      <c r="AA257" t="s">
        <v>4681</v>
      </c>
      <c r="AG257" t="s">
        <v>64</v>
      </c>
      <c r="AJ257" s="99" t="s">
        <v>4682</v>
      </c>
      <c r="AL257" t="s">
        <v>4411</v>
      </c>
      <c r="AN257" t="s">
        <v>4412</v>
      </c>
      <c r="AO257" t="s">
        <v>4413</v>
      </c>
      <c r="AQ257" t="s">
        <v>4683</v>
      </c>
      <c r="AS257">
        <v>148480</v>
      </c>
      <c r="AX257" s="98" t="s">
        <v>1067</v>
      </c>
      <c r="AY257" t="e">
        <f>MATCH(A257,VmSpecs[Original Hostname (CMO)],0)</f>
        <v>#N/A</v>
      </c>
      <c r="AZ257" t="e" cm="1">
        <f t="array" ref="AZ257">INDEX(VmSpecs[VM Name],AY257)</f>
        <v>#N/A</v>
      </c>
      <c r="BA257" t="str">
        <f t="shared" si="3"/>
        <v>ehgpfasvops01</v>
      </c>
      <c r="BB257" t="s">
        <v>4280</v>
      </c>
      <c r="BD257" t="e" cm="1">
        <f t="array" ref="BD257">INDEX(VmSpecs[Server Role],AY257)</f>
        <v>#N/A</v>
      </c>
    </row>
    <row r="258" spans="1:56" hidden="1" x14ac:dyDescent="0.35">
      <c r="A258" t="s">
        <v>443</v>
      </c>
      <c r="B258" t="s">
        <v>4399</v>
      </c>
      <c r="C258" t="s">
        <v>63</v>
      </c>
      <c r="D258" t="s">
        <v>4400</v>
      </c>
      <c r="E258" t="s">
        <v>4401</v>
      </c>
      <c r="J258" t="s">
        <v>4684</v>
      </c>
      <c r="K258" t="s">
        <v>4685</v>
      </c>
      <c r="L258" t="s">
        <v>4404</v>
      </c>
      <c r="P258" t="s">
        <v>4340</v>
      </c>
      <c r="R258" t="s">
        <v>58</v>
      </c>
      <c r="S258">
        <v>2</v>
      </c>
      <c r="T258" t="s">
        <v>4405</v>
      </c>
      <c r="V258">
        <v>8192</v>
      </c>
      <c r="X258" t="s">
        <v>4406</v>
      </c>
      <c r="Y258" t="s">
        <v>4407</v>
      </c>
      <c r="Z258" t="s">
        <v>4408</v>
      </c>
      <c r="AA258" t="s">
        <v>4409</v>
      </c>
      <c r="AG258" t="s">
        <v>64</v>
      </c>
      <c r="AJ258" t="s">
        <v>4686</v>
      </c>
      <c r="AL258" t="s">
        <v>4411</v>
      </c>
      <c r="AN258" t="s">
        <v>4412</v>
      </c>
      <c r="AO258" t="s">
        <v>4413</v>
      </c>
      <c r="AQ258">
        <v>2</v>
      </c>
      <c r="AS258">
        <v>71680</v>
      </c>
      <c r="AX258" s="98" t="s">
        <v>1067</v>
      </c>
      <c r="AY258">
        <f>MATCH(A258,VmSpecs[Original Hostname (CMO)],0)</f>
        <v>170</v>
      </c>
      <c r="AZ258" t="str" cm="1">
        <f t="array" ref="AZ258">INDEX(VmSpecs[VM Name],AY258)</f>
        <v>vmpfbpf2opt01</v>
      </c>
      <c r="BA258" t="str">
        <f t="shared" si="3"/>
        <v>ehgpfaasopt01</v>
      </c>
      <c r="BB258" t="s">
        <v>4280</v>
      </c>
      <c r="BD258" t="str" cm="1">
        <f t="array" ref="BD258">INDEX(VmSpecs[Server Role],AY258)</f>
        <v>NIO Operations Tool</v>
      </c>
    </row>
    <row r="259" spans="1:56" hidden="1" x14ac:dyDescent="0.35">
      <c r="A259" t="s">
        <v>448</v>
      </c>
      <c r="B259" t="s">
        <v>4399</v>
      </c>
      <c r="C259" t="s">
        <v>63</v>
      </c>
      <c r="D259" t="s">
        <v>4400</v>
      </c>
      <c r="E259" t="s">
        <v>4401</v>
      </c>
      <c r="J259" t="s">
        <v>4079</v>
      </c>
      <c r="K259" t="s">
        <v>4638</v>
      </c>
      <c r="L259" t="s">
        <v>4404</v>
      </c>
      <c r="P259" t="s">
        <v>4340</v>
      </c>
      <c r="R259" t="s">
        <v>58</v>
      </c>
      <c r="S259">
        <v>8</v>
      </c>
      <c r="T259" t="s">
        <v>4416</v>
      </c>
      <c r="V259">
        <v>24576</v>
      </c>
      <c r="X259" t="s">
        <v>4406</v>
      </c>
      <c r="Y259" t="s">
        <v>4407</v>
      </c>
      <c r="Z259" t="s">
        <v>4408</v>
      </c>
      <c r="AA259" t="s">
        <v>4409</v>
      </c>
      <c r="AG259" t="s">
        <v>64</v>
      </c>
      <c r="AJ259" t="s">
        <v>4687</v>
      </c>
      <c r="AL259" t="s">
        <v>4411</v>
      </c>
      <c r="AN259" t="s">
        <v>4412</v>
      </c>
      <c r="AO259" t="s">
        <v>4413</v>
      </c>
      <c r="AQ259">
        <v>2</v>
      </c>
      <c r="AS259">
        <v>107520</v>
      </c>
      <c r="AX259" s="98" t="s">
        <v>801</v>
      </c>
      <c r="AY259">
        <f>MATCH(A259,VmSpecs[Original Hostname (CMO)],0)</f>
        <v>172</v>
      </c>
      <c r="AZ259" t="str" cm="1">
        <f t="array" ref="AZ259">INDEX(VmSpecs[VM Name],AY259)</f>
        <v>vmpfbpf2osb02</v>
      </c>
      <c r="BA259" t="str">
        <f t="shared" ref="BA259:BA294" si="4">A259</f>
        <v>ehgpfaasosb02</v>
      </c>
      <c r="BB259" t="s">
        <v>4280</v>
      </c>
      <c r="BD259" t="str" cm="1">
        <f t="array" ref="BD259">INDEX(VmSpecs[Server Role],AY259)</f>
        <v>OSB Common Domain N2</v>
      </c>
    </row>
    <row r="260" spans="1:56" hidden="1" x14ac:dyDescent="0.35">
      <c r="A260" t="s">
        <v>450</v>
      </c>
      <c r="B260" t="s">
        <v>4399</v>
      </c>
      <c r="C260" t="s">
        <v>63</v>
      </c>
      <c r="D260" t="s">
        <v>4400</v>
      </c>
      <c r="E260" t="s">
        <v>4401</v>
      </c>
      <c r="J260" t="s">
        <v>4079</v>
      </c>
      <c r="K260" t="s">
        <v>4638</v>
      </c>
      <c r="L260" t="s">
        <v>4404</v>
      </c>
      <c r="P260" t="s">
        <v>4340</v>
      </c>
      <c r="R260" t="s">
        <v>58</v>
      </c>
      <c r="S260">
        <v>8</v>
      </c>
      <c r="T260" t="s">
        <v>4416</v>
      </c>
      <c r="V260">
        <v>24576</v>
      </c>
      <c r="X260" t="s">
        <v>4406</v>
      </c>
      <c r="Y260" t="s">
        <v>4407</v>
      </c>
      <c r="Z260" t="s">
        <v>4408</v>
      </c>
      <c r="AA260" t="s">
        <v>4409</v>
      </c>
      <c r="AG260" t="s">
        <v>64</v>
      </c>
      <c r="AJ260" t="s">
        <v>4688</v>
      </c>
      <c r="AL260" t="s">
        <v>4411</v>
      </c>
      <c r="AN260" t="s">
        <v>4412</v>
      </c>
      <c r="AO260" t="s">
        <v>4413</v>
      </c>
      <c r="AQ260">
        <v>2</v>
      </c>
      <c r="AS260">
        <v>107520</v>
      </c>
      <c r="AX260" s="98" t="s">
        <v>801</v>
      </c>
      <c r="AY260">
        <f>MATCH(A260,VmSpecs[Original Hostname (CMO)],0)</f>
        <v>173</v>
      </c>
      <c r="AZ260" t="str" cm="1">
        <f t="array" ref="AZ260">INDEX(VmSpecs[VM Name],AY260)</f>
        <v>vmpfbpf2osb03</v>
      </c>
      <c r="BA260" t="str">
        <f t="shared" si="4"/>
        <v>ehgpfaasosb03</v>
      </c>
      <c r="BB260" t="s">
        <v>4280</v>
      </c>
      <c r="BD260" t="str" cm="1">
        <f t="array" ref="BD260">INDEX(VmSpecs[Server Role],AY260)</f>
        <v>OSB Common Domain N3</v>
      </c>
    </row>
    <row r="261" spans="1:56" hidden="1" x14ac:dyDescent="0.35">
      <c r="A261" t="s">
        <v>452</v>
      </c>
      <c r="B261" t="s">
        <v>4399</v>
      </c>
      <c r="C261" t="s">
        <v>63</v>
      </c>
      <c r="D261" t="s">
        <v>4400</v>
      </c>
      <c r="E261" t="s">
        <v>4401</v>
      </c>
      <c r="J261" t="s">
        <v>4079</v>
      </c>
      <c r="K261" t="s">
        <v>4638</v>
      </c>
      <c r="L261" t="s">
        <v>4404</v>
      </c>
      <c r="P261" t="s">
        <v>4340</v>
      </c>
      <c r="R261" t="s">
        <v>58</v>
      </c>
      <c r="S261">
        <v>8</v>
      </c>
      <c r="T261" t="s">
        <v>4416</v>
      </c>
      <c r="V261">
        <v>24576</v>
      </c>
      <c r="X261" t="s">
        <v>4406</v>
      </c>
      <c r="Y261" t="s">
        <v>4407</v>
      </c>
      <c r="Z261" t="s">
        <v>4408</v>
      </c>
      <c r="AA261" t="s">
        <v>4409</v>
      </c>
      <c r="AG261" t="s">
        <v>64</v>
      </c>
      <c r="AJ261" t="s">
        <v>4689</v>
      </c>
      <c r="AL261" t="s">
        <v>4411</v>
      </c>
      <c r="AN261" t="s">
        <v>4412</v>
      </c>
      <c r="AO261" t="s">
        <v>4413</v>
      </c>
      <c r="AQ261">
        <v>2</v>
      </c>
      <c r="AS261">
        <v>107520</v>
      </c>
      <c r="AX261" s="98" t="s">
        <v>801</v>
      </c>
      <c r="AY261">
        <f>MATCH(A261,VmSpecs[Original Hostname (CMO)],0)</f>
        <v>174</v>
      </c>
      <c r="AZ261" t="str" cm="1">
        <f t="array" ref="AZ261">INDEX(VmSpecs[VM Name],AY261)</f>
        <v>vmpfbpf2osb04</v>
      </c>
      <c r="BA261" t="str">
        <f t="shared" si="4"/>
        <v>ehgpfaasosb04</v>
      </c>
      <c r="BB261" t="s">
        <v>4280</v>
      </c>
      <c r="BD261" t="str" cm="1">
        <f t="array" ref="BD261">INDEX(VmSpecs[Server Role],AY261)</f>
        <v>OSB Common Domain N4</v>
      </c>
    </row>
    <row r="262" spans="1:56" hidden="1" x14ac:dyDescent="0.35">
      <c r="A262" t="s">
        <v>454</v>
      </c>
      <c r="B262" t="s">
        <v>4399</v>
      </c>
      <c r="C262" t="s">
        <v>63</v>
      </c>
      <c r="D262" t="s">
        <v>4400</v>
      </c>
      <c r="E262" t="s">
        <v>4401</v>
      </c>
      <c r="J262" t="s">
        <v>4079</v>
      </c>
      <c r="K262" t="s">
        <v>4638</v>
      </c>
      <c r="L262" t="s">
        <v>4404</v>
      </c>
      <c r="P262" t="s">
        <v>4340</v>
      </c>
      <c r="R262" t="s">
        <v>58</v>
      </c>
      <c r="S262">
        <v>8</v>
      </c>
      <c r="T262" t="s">
        <v>4416</v>
      </c>
      <c r="V262">
        <v>24576</v>
      </c>
      <c r="X262" t="s">
        <v>4406</v>
      </c>
      <c r="Y262" t="s">
        <v>4407</v>
      </c>
      <c r="Z262" t="s">
        <v>4408</v>
      </c>
      <c r="AA262" t="s">
        <v>4409</v>
      </c>
      <c r="AG262" t="s">
        <v>64</v>
      </c>
      <c r="AJ262" t="s">
        <v>4690</v>
      </c>
      <c r="AL262" t="s">
        <v>4411</v>
      </c>
      <c r="AN262" t="s">
        <v>4412</v>
      </c>
      <c r="AO262" t="s">
        <v>4413</v>
      </c>
      <c r="AQ262">
        <v>2</v>
      </c>
      <c r="AS262">
        <v>107520</v>
      </c>
      <c r="AX262" s="98" t="s">
        <v>801</v>
      </c>
      <c r="AY262">
        <f>MATCH(A262,VmSpecs[Original Hostname (CMO)],0)</f>
        <v>175</v>
      </c>
      <c r="AZ262" t="str" cm="1">
        <f t="array" ref="AZ262">INDEX(VmSpecs[VM Name],AY262)</f>
        <v>vmpfbpf2osb05</v>
      </c>
      <c r="BA262" t="str">
        <f t="shared" si="4"/>
        <v>ehgpfaasosb05</v>
      </c>
      <c r="BB262" t="s">
        <v>4280</v>
      </c>
      <c r="BD262" t="str" cm="1">
        <f t="array" ref="BD262">INDEX(VmSpecs[Server Role],AY262)</f>
        <v>OSB Common Domain N5</v>
      </c>
    </row>
    <row r="263" spans="1:56" hidden="1" x14ac:dyDescent="0.35">
      <c r="A263" t="s">
        <v>456</v>
      </c>
      <c r="B263" t="s">
        <v>4399</v>
      </c>
      <c r="C263" t="s">
        <v>63</v>
      </c>
      <c r="D263" t="s">
        <v>4400</v>
      </c>
      <c r="E263" t="s">
        <v>4401</v>
      </c>
      <c r="J263" t="s">
        <v>4079</v>
      </c>
      <c r="K263" t="s">
        <v>4638</v>
      </c>
      <c r="L263" t="s">
        <v>4404</v>
      </c>
      <c r="P263" t="s">
        <v>4340</v>
      </c>
      <c r="R263" t="s">
        <v>58</v>
      </c>
      <c r="S263">
        <v>8</v>
      </c>
      <c r="T263" t="s">
        <v>4416</v>
      </c>
      <c r="V263">
        <v>24576</v>
      </c>
      <c r="X263" t="s">
        <v>4406</v>
      </c>
      <c r="Y263" t="s">
        <v>4407</v>
      </c>
      <c r="Z263" t="s">
        <v>4408</v>
      </c>
      <c r="AA263" t="s">
        <v>4409</v>
      </c>
      <c r="AG263" t="s">
        <v>64</v>
      </c>
      <c r="AJ263" t="s">
        <v>4691</v>
      </c>
      <c r="AL263" t="s">
        <v>4411</v>
      </c>
      <c r="AN263" t="s">
        <v>4412</v>
      </c>
      <c r="AO263" t="s">
        <v>4413</v>
      </c>
      <c r="AQ263">
        <v>2</v>
      </c>
      <c r="AS263">
        <v>107520</v>
      </c>
      <c r="AX263" s="98" t="s">
        <v>801</v>
      </c>
      <c r="AY263">
        <f>MATCH(A263,VmSpecs[Original Hostname (CMO)],0)</f>
        <v>176</v>
      </c>
      <c r="AZ263" t="str" cm="1">
        <f t="array" ref="AZ263">INDEX(VmSpecs[VM Name],AY263)</f>
        <v>vmpfbpf2osb06</v>
      </c>
      <c r="BA263" t="str">
        <f t="shared" si="4"/>
        <v>ehgpfaasosb06</v>
      </c>
      <c r="BB263" t="s">
        <v>4280</v>
      </c>
      <c r="BD263" t="str" cm="1">
        <f t="array" ref="BD263">INDEX(VmSpecs[Server Role],AY263)</f>
        <v>OSB Common Domain N6</v>
      </c>
    </row>
    <row r="264" spans="1:56" hidden="1" x14ac:dyDescent="0.35">
      <c r="A264" t="s">
        <v>458</v>
      </c>
      <c r="B264" t="s">
        <v>4399</v>
      </c>
      <c r="C264" t="s">
        <v>63</v>
      </c>
      <c r="D264" t="s">
        <v>4400</v>
      </c>
      <c r="E264" t="s">
        <v>4401</v>
      </c>
      <c r="J264" t="s">
        <v>4079</v>
      </c>
      <c r="K264" t="s">
        <v>4638</v>
      </c>
      <c r="L264" t="s">
        <v>4404</v>
      </c>
      <c r="P264" t="s">
        <v>4340</v>
      </c>
      <c r="R264" t="s">
        <v>58</v>
      </c>
      <c r="S264">
        <v>8</v>
      </c>
      <c r="T264" t="s">
        <v>4416</v>
      </c>
      <c r="V264">
        <v>32768</v>
      </c>
      <c r="X264" t="s">
        <v>4406</v>
      </c>
      <c r="Y264" t="s">
        <v>4407</v>
      </c>
      <c r="Z264" t="s">
        <v>4408</v>
      </c>
      <c r="AA264" t="s">
        <v>4409</v>
      </c>
      <c r="AG264" t="s">
        <v>64</v>
      </c>
      <c r="AJ264" t="s">
        <v>4692</v>
      </c>
      <c r="AL264" t="s">
        <v>4411</v>
      </c>
      <c r="AN264" t="s">
        <v>4412</v>
      </c>
      <c r="AO264" t="s">
        <v>4413</v>
      </c>
      <c r="AQ264">
        <v>2</v>
      </c>
      <c r="AS264">
        <v>107520</v>
      </c>
      <c r="AX264" s="98" t="s">
        <v>801</v>
      </c>
      <c r="AY264">
        <f>MATCH(A264,VmSpecs[Original Hostname (CMO)],0)</f>
        <v>177</v>
      </c>
      <c r="AZ264" t="str" cm="1">
        <f t="array" ref="AZ264">INDEX(VmSpecs[VM Name],AY264)</f>
        <v>vmpfbpf2osb07</v>
      </c>
      <c r="BA264" t="str">
        <f t="shared" si="4"/>
        <v>ehgpfaasosb07</v>
      </c>
      <c r="BB264" t="s">
        <v>4280</v>
      </c>
      <c r="BD264" t="str" cm="1">
        <f t="array" ref="BD264">INDEX(VmSpecs[Server Role],AY264)</f>
        <v>OSB Common Domain N7</v>
      </c>
    </row>
    <row r="265" spans="1:56" hidden="1" x14ac:dyDescent="0.35">
      <c r="A265" t="s">
        <v>460</v>
      </c>
      <c r="B265" t="s">
        <v>4399</v>
      </c>
      <c r="C265" t="s">
        <v>63</v>
      </c>
      <c r="D265" t="s">
        <v>4400</v>
      </c>
      <c r="E265" t="s">
        <v>4401</v>
      </c>
      <c r="J265" t="s">
        <v>4079</v>
      </c>
      <c r="K265" t="s">
        <v>4638</v>
      </c>
      <c r="L265" t="s">
        <v>4404</v>
      </c>
      <c r="P265" t="s">
        <v>4340</v>
      </c>
      <c r="R265" t="s">
        <v>58</v>
      </c>
      <c r="S265">
        <v>8</v>
      </c>
      <c r="T265" t="s">
        <v>4416</v>
      </c>
      <c r="V265">
        <v>32768</v>
      </c>
      <c r="X265" t="s">
        <v>4406</v>
      </c>
      <c r="Y265" t="s">
        <v>4407</v>
      </c>
      <c r="Z265" t="s">
        <v>4408</v>
      </c>
      <c r="AA265" t="s">
        <v>4409</v>
      </c>
      <c r="AG265" t="s">
        <v>64</v>
      </c>
      <c r="AJ265" t="s">
        <v>4693</v>
      </c>
      <c r="AL265" t="s">
        <v>4411</v>
      </c>
      <c r="AN265" t="s">
        <v>4412</v>
      </c>
      <c r="AO265" t="s">
        <v>4413</v>
      </c>
      <c r="AQ265">
        <v>2</v>
      </c>
      <c r="AS265">
        <v>107520</v>
      </c>
      <c r="AX265" s="98" t="s">
        <v>801</v>
      </c>
      <c r="AY265">
        <f>MATCH(A265,VmSpecs[Original Hostname (CMO)],0)</f>
        <v>178</v>
      </c>
      <c r="AZ265" t="str" cm="1">
        <f t="array" ref="AZ265">INDEX(VmSpecs[VM Name],AY265)</f>
        <v>vmpfbpf2osb08</v>
      </c>
      <c r="BA265" t="str">
        <f t="shared" si="4"/>
        <v>ehgpfaasosb08</v>
      </c>
      <c r="BB265" t="s">
        <v>4280</v>
      </c>
      <c r="BD265" t="str" cm="1">
        <f t="array" ref="BD265">INDEX(VmSpecs[Server Role],AY265)</f>
        <v>OSB Common Domain N8</v>
      </c>
    </row>
    <row r="266" spans="1:56" hidden="1" x14ac:dyDescent="0.35">
      <c r="A266" t="s">
        <v>446</v>
      </c>
      <c r="B266" t="s">
        <v>4399</v>
      </c>
      <c r="C266" t="s">
        <v>63</v>
      </c>
      <c r="D266" t="s">
        <v>4400</v>
      </c>
      <c r="E266" t="s">
        <v>4401</v>
      </c>
      <c r="J266" t="s">
        <v>4079</v>
      </c>
      <c r="K266" t="s">
        <v>4638</v>
      </c>
      <c r="L266" t="s">
        <v>4404</v>
      </c>
      <c r="P266" t="s">
        <v>4340</v>
      </c>
      <c r="R266" t="s">
        <v>58</v>
      </c>
      <c r="S266">
        <v>8</v>
      </c>
      <c r="T266" t="s">
        <v>4416</v>
      </c>
      <c r="V266">
        <v>32768</v>
      </c>
      <c r="X266" t="s">
        <v>4406</v>
      </c>
      <c r="Y266" t="s">
        <v>4407</v>
      </c>
      <c r="Z266" t="s">
        <v>4408</v>
      </c>
      <c r="AA266" t="s">
        <v>4409</v>
      </c>
      <c r="AG266" t="s">
        <v>64</v>
      </c>
      <c r="AJ266" t="s">
        <v>4694</v>
      </c>
      <c r="AL266" t="s">
        <v>4411</v>
      </c>
      <c r="AN266" t="s">
        <v>4412</v>
      </c>
      <c r="AO266" t="s">
        <v>4413</v>
      </c>
      <c r="AQ266">
        <v>2</v>
      </c>
      <c r="AS266">
        <v>107520</v>
      </c>
      <c r="AX266" s="98" t="s">
        <v>801</v>
      </c>
      <c r="AY266">
        <f>MATCH(A266,VmSpecs[Original Hostname (CMO)],0)</f>
        <v>171</v>
      </c>
      <c r="AZ266" t="str" cm="1">
        <f t="array" ref="AZ266">INDEX(VmSpecs[VM Name],AY266)</f>
        <v>vmpfbpf2osb01</v>
      </c>
      <c r="BA266" t="str">
        <f t="shared" si="4"/>
        <v>ehgpfaasosb01</v>
      </c>
      <c r="BB266" t="s">
        <v>4280</v>
      </c>
      <c r="BD266" t="str" cm="1">
        <f t="array" ref="BD266">INDEX(VmSpecs[Server Role],AY266)</f>
        <v>OSB Common Domain N1</v>
      </c>
    </row>
    <row r="267" spans="1:56" hidden="1" x14ac:dyDescent="0.35">
      <c r="A267" t="s">
        <v>462</v>
      </c>
      <c r="B267" t="s">
        <v>4399</v>
      </c>
      <c r="C267" t="s">
        <v>63</v>
      </c>
      <c r="D267" t="s">
        <v>4400</v>
      </c>
      <c r="E267" t="s">
        <v>4401</v>
      </c>
      <c r="J267" t="s">
        <v>4079</v>
      </c>
      <c r="K267" t="s">
        <v>4638</v>
      </c>
      <c r="L267" t="s">
        <v>4404</v>
      </c>
      <c r="P267" t="s">
        <v>4340</v>
      </c>
      <c r="R267" t="s">
        <v>58</v>
      </c>
      <c r="S267">
        <v>8</v>
      </c>
      <c r="V267">
        <v>24576</v>
      </c>
      <c r="AA267" t="s">
        <v>4409</v>
      </c>
      <c r="AJ267" t="s">
        <v>4695</v>
      </c>
      <c r="AL267" t="s">
        <v>4411</v>
      </c>
      <c r="AN267" t="s">
        <v>4412</v>
      </c>
      <c r="AO267" t="s">
        <v>4413</v>
      </c>
      <c r="AQ267">
        <v>2</v>
      </c>
      <c r="AX267" s="98" t="s">
        <v>801</v>
      </c>
      <c r="AY267">
        <f>MATCH(A267,VmSpecs[Original Hostname (CMO)],0)</f>
        <v>179</v>
      </c>
      <c r="AZ267" t="str" cm="1">
        <f t="array" ref="AZ267">INDEX(VmSpecs[VM Name],AY267)</f>
        <v>vmpfbpf2osb09</v>
      </c>
      <c r="BA267" t="str">
        <f t="shared" si="4"/>
        <v>ehgpfaasosb09</v>
      </c>
      <c r="BB267" t="s">
        <v>4280</v>
      </c>
      <c r="BD267" t="str" cm="1">
        <f t="array" ref="BD267">INDEX(VmSpecs[Server Role],AY267)</f>
        <v>OSB Common Domain N9</v>
      </c>
    </row>
    <row r="268" spans="1:56" hidden="1" x14ac:dyDescent="0.35">
      <c r="A268" t="s">
        <v>464</v>
      </c>
      <c r="B268" t="s">
        <v>4399</v>
      </c>
      <c r="C268" t="s">
        <v>63</v>
      </c>
      <c r="D268" t="s">
        <v>4400</v>
      </c>
      <c r="E268" t="s">
        <v>4401</v>
      </c>
      <c r="J268" t="s">
        <v>4079</v>
      </c>
      <c r="K268" t="s">
        <v>4638</v>
      </c>
      <c r="L268" t="s">
        <v>4404</v>
      </c>
      <c r="P268" t="s">
        <v>4340</v>
      </c>
      <c r="R268" t="s">
        <v>58</v>
      </c>
      <c r="S268">
        <v>8</v>
      </c>
      <c r="V268">
        <v>24576</v>
      </c>
      <c r="AA268" t="s">
        <v>4409</v>
      </c>
      <c r="AJ268" t="s">
        <v>4696</v>
      </c>
      <c r="AL268" t="s">
        <v>4411</v>
      </c>
      <c r="AN268" t="s">
        <v>4412</v>
      </c>
      <c r="AO268" t="s">
        <v>4413</v>
      </c>
      <c r="AQ268">
        <v>2</v>
      </c>
      <c r="AX268" s="98" t="s">
        <v>801</v>
      </c>
      <c r="AY268">
        <f>MATCH(A268,VmSpecs[Original Hostname (CMO)],0)</f>
        <v>180</v>
      </c>
      <c r="AZ268" t="str" cm="1">
        <f t="array" ref="AZ268">INDEX(VmSpecs[VM Name],AY268)</f>
        <v>vmpfbpf2osb10</v>
      </c>
      <c r="BA268" t="str">
        <f t="shared" si="4"/>
        <v>ehgpfaasosb10</v>
      </c>
      <c r="BB268" t="s">
        <v>4280</v>
      </c>
      <c r="BD268" t="str" cm="1">
        <f t="array" ref="BD268">INDEX(VmSpecs[Server Role],AY268)</f>
        <v>OSB Common Domain N10</v>
      </c>
    </row>
    <row r="269" spans="1:56" hidden="1" x14ac:dyDescent="0.35">
      <c r="A269" t="s">
        <v>676</v>
      </c>
      <c r="B269" t="s">
        <v>4399</v>
      </c>
      <c r="C269" t="s">
        <v>63</v>
      </c>
      <c r="D269" t="s">
        <v>4400</v>
      </c>
      <c r="E269" t="s">
        <v>4401</v>
      </c>
      <c r="F269" t="s">
        <v>4697</v>
      </c>
      <c r="J269" t="s">
        <v>4082</v>
      </c>
      <c r="K269" t="s">
        <v>4419</v>
      </c>
      <c r="L269" t="s">
        <v>4404</v>
      </c>
      <c r="P269" t="s">
        <v>4340</v>
      </c>
      <c r="S269">
        <v>8</v>
      </c>
      <c r="T269" t="s">
        <v>4405</v>
      </c>
      <c r="V269">
        <v>16384</v>
      </c>
      <c r="Y269" t="s">
        <v>4407</v>
      </c>
      <c r="Z269" t="s">
        <v>4408</v>
      </c>
      <c r="AJ269" t="s">
        <v>4698</v>
      </c>
      <c r="AL269" t="s">
        <v>4411</v>
      </c>
      <c r="AN269" t="s">
        <v>4412</v>
      </c>
      <c r="AQ269">
        <v>1</v>
      </c>
      <c r="AX269" s="98" t="s">
        <v>757</v>
      </c>
      <c r="AY269">
        <f>MATCH(A269,VmSpecs[Original Hostname (CMO)],0)</f>
        <v>282</v>
      </c>
      <c r="AZ269" t="str" cm="1">
        <f t="array" ref="AZ269">INDEX(VmSpecs[VM Name],AY269)</f>
        <v>vmpfbpf2rho01</v>
      </c>
      <c r="BA269" t="str">
        <f t="shared" si="4"/>
        <v>ehgpfawsrho01</v>
      </c>
      <c r="BB269" t="s">
        <v>4280</v>
      </c>
      <c r="BD269" t="str" cm="1">
        <f t="array" ref="BD269">INDEX(VmSpecs[Server Role],AY269)</f>
        <v>OHS-DCR OSB</v>
      </c>
    </row>
    <row r="270" spans="1:56" hidden="1" x14ac:dyDescent="0.35">
      <c r="A270" t="s">
        <v>678</v>
      </c>
      <c r="B270" t="s">
        <v>4399</v>
      </c>
      <c r="C270" t="s">
        <v>63</v>
      </c>
      <c r="D270" t="s">
        <v>4400</v>
      </c>
      <c r="E270" t="s">
        <v>4401</v>
      </c>
      <c r="F270" t="s">
        <v>4697</v>
      </c>
      <c r="J270" t="s">
        <v>4082</v>
      </c>
      <c r="K270" t="s">
        <v>4419</v>
      </c>
      <c r="L270" t="s">
        <v>4404</v>
      </c>
      <c r="P270" t="s">
        <v>4340</v>
      </c>
      <c r="S270">
        <v>8</v>
      </c>
      <c r="T270" t="s">
        <v>4405</v>
      </c>
      <c r="V270">
        <v>16384</v>
      </c>
      <c r="Y270" t="s">
        <v>4407</v>
      </c>
      <c r="Z270" t="s">
        <v>4408</v>
      </c>
      <c r="AJ270" t="s">
        <v>4698</v>
      </c>
      <c r="AL270" t="s">
        <v>4411</v>
      </c>
      <c r="AN270" t="s">
        <v>4412</v>
      </c>
      <c r="AQ270">
        <v>1</v>
      </c>
      <c r="AX270" s="98" t="s">
        <v>757</v>
      </c>
      <c r="AY270">
        <f>MATCH(A270,VmSpecs[Original Hostname (CMO)],0)</f>
        <v>283</v>
      </c>
      <c r="AZ270" t="str" cm="1">
        <f t="array" ref="AZ270">INDEX(VmSpecs[VM Name],AY270)</f>
        <v>vmpfbpf2rho02</v>
      </c>
      <c r="BA270" t="str">
        <f t="shared" si="4"/>
        <v>ehgpfawsrho02</v>
      </c>
      <c r="BB270" t="s">
        <v>4280</v>
      </c>
      <c r="BD270" t="str" cm="1">
        <f t="array" ref="BD270">INDEX(VmSpecs[Server Role],AY270)</f>
        <v>OHS-DCR OSB</v>
      </c>
    </row>
    <row r="271" spans="1:56" hidden="1" x14ac:dyDescent="0.35">
      <c r="A271" t="s">
        <v>680</v>
      </c>
      <c r="B271" t="s">
        <v>4399</v>
      </c>
      <c r="C271" t="s">
        <v>63</v>
      </c>
      <c r="D271" t="s">
        <v>4400</v>
      </c>
      <c r="E271" t="s">
        <v>4401</v>
      </c>
      <c r="F271" t="s">
        <v>4697</v>
      </c>
      <c r="J271" t="s">
        <v>4082</v>
      </c>
      <c r="K271" t="s">
        <v>4419</v>
      </c>
      <c r="L271" t="s">
        <v>4404</v>
      </c>
      <c r="P271" t="s">
        <v>4340</v>
      </c>
      <c r="S271">
        <v>8</v>
      </c>
      <c r="T271" t="s">
        <v>4405</v>
      </c>
      <c r="V271">
        <v>16384</v>
      </c>
      <c r="Y271" t="s">
        <v>4407</v>
      </c>
      <c r="Z271" t="s">
        <v>4408</v>
      </c>
      <c r="AJ271" t="s">
        <v>4698</v>
      </c>
      <c r="AL271" t="s">
        <v>4411</v>
      </c>
      <c r="AN271" t="s">
        <v>4412</v>
      </c>
      <c r="AQ271">
        <v>1</v>
      </c>
      <c r="AX271" s="98" t="s">
        <v>757</v>
      </c>
      <c r="AY271">
        <f>MATCH(A271,VmSpecs[Original Hostname (CMO)],0)</f>
        <v>284</v>
      </c>
      <c r="AZ271" t="str" cm="1">
        <f t="array" ref="AZ271">INDEX(VmSpecs[VM Name],AY271)</f>
        <v>vmpfbpf2rho03</v>
      </c>
      <c r="BA271" t="str">
        <f t="shared" si="4"/>
        <v>ehgpfawsrho03</v>
      </c>
      <c r="BB271" t="s">
        <v>4280</v>
      </c>
      <c r="BD271" t="str" cm="1">
        <f t="array" ref="BD271">INDEX(VmSpecs[Server Role],AY271)</f>
        <v>OHS-DCR OSB</v>
      </c>
    </row>
    <row r="272" spans="1:56" hidden="1" x14ac:dyDescent="0.35">
      <c r="A272" t="s">
        <v>466</v>
      </c>
      <c r="B272" t="s">
        <v>4399</v>
      </c>
      <c r="C272" t="s">
        <v>63</v>
      </c>
      <c r="D272" t="s">
        <v>4400</v>
      </c>
      <c r="E272" t="s">
        <v>4401</v>
      </c>
      <c r="J272" t="s">
        <v>4699</v>
      </c>
      <c r="K272" t="s">
        <v>4700</v>
      </c>
      <c r="L272" t="s">
        <v>4404</v>
      </c>
      <c r="P272" t="s">
        <v>4340</v>
      </c>
      <c r="R272" t="s">
        <v>58</v>
      </c>
      <c r="S272">
        <v>4</v>
      </c>
      <c r="T272" t="s">
        <v>4405</v>
      </c>
      <c r="V272">
        <v>16384</v>
      </c>
      <c r="X272" t="s">
        <v>4406</v>
      </c>
      <c r="Y272" t="s">
        <v>4407</v>
      </c>
      <c r="Z272" t="s">
        <v>4408</v>
      </c>
      <c r="AA272" t="s">
        <v>4409</v>
      </c>
      <c r="AG272" t="s">
        <v>64</v>
      </c>
      <c r="AJ272" t="s">
        <v>4701</v>
      </c>
      <c r="AL272" t="s">
        <v>4411</v>
      </c>
      <c r="AN272" t="s">
        <v>4412</v>
      </c>
      <c r="AO272" t="s">
        <v>4413</v>
      </c>
      <c r="AQ272">
        <v>2</v>
      </c>
      <c r="AS272">
        <v>56320</v>
      </c>
      <c r="AX272" s="98" t="s">
        <v>757</v>
      </c>
      <c r="AY272">
        <f>MATCH(A272,VmSpecs[Original Hostname (CMO)],0)</f>
        <v>181</v>
      </c>
      <c r="AZ272" t="str" cm="1">
        <f t="array" ref="AZ272">INDEX(VmSpecs[VM Name],AY272)</f>
        <v>vmpfbpf2sol01</v>
      </c>
      <c r="BA272" t="str">
        <f t="shared" si="4"/>
        <v>ehgpfaassol01</v>
      </c>
      <c r="BB272" t="s">
        <v>4280</v>
      </c>
      <c r="BD272" t="str" cm="1">
        <f t="array" ref="BD272">INDEX(VmSpecs[Server Role],AY272)</f>
        <v>SOLR</v>
      </c>
    </row>
    <row r="273" spans="1:56" hidden="1" x14ac:dyDescent="0.35">
      <c r="A273" t="s">
        <v>469</v>
      </c>
      <c r="B273" t="s">
        <v>4399</v>
      </c>
      <c r="C273" t="s">
        <v>63</v>
      </c>
      <c r="D273" t="s">
        <v>4400</v>
      </c>
      <c r="E273" t="s">
        <v>4401</v>
      </c>
      <c r="J273" t="s">
        <v>4699</v>
      </c>
      <c r="K273" t="s">
        <v>4700</v>
      </c>
      <c r="L273" t="s">
        <v>4404</v>
      </c>
      <c r="P273" t="s">
        <v>4340</v>
      </c>
      <c r="R273" t="s">
        <v>58</v>
      </c>
      <c r="S273">
        <v>4</v>
      </c>
      <c r="T273" t="s">
        <v>4405</v>
      </c>
      <c r="V273">
        <v>16384</v>
      </c>
      <c r="X273" t="s">
        <v>4406</v>
      </c>
      <c r="Y273" t="s">
        <v>4407</v>
      </c>
      <c r="Z273" t="s">
        <v>4408</v>
      </c>
      <c r="AA273" t="s">
        <v>4409</v>
      </c>
      <c r="AG273" t="s">
        <v>64</v>
      </c>
      <c r="AJ273" t="s">
        <v>4701</v>
      </c>
      <c r="AL273" t="s">
        <v>4411</v>
      </c>
      <c r="AN273" t="s">
        <v>4412</v>
      </c>
      <c r="AO273" t="s">
        <v>4413</v>
      </c>
      <c r="AQ273">
        <v>2</v>
      </c>
      <c r="AS273">
        <v>56320</v>
      </c>
      <c r="AX273" s="98" t="s">
        <v>757</v>
      </c>
      <c r="AY273">
        <f>MATCH(A273,VmSpecs[Original Hostname (CMO)],0)</f>
        <v>182</v>
      </c>
      <c r="AZ273" t="str" cm="1">
        <f t="array" ref="AZ273">INDEX(VmSpecs[VM Name],AY273)</f>
        <v>vmpfbpf2sol02</v>
      </c>
      <c r="BA273" t="str">
        <f t="shared" si="4"/>
        <v>ehgpfaassol02</v>
      </c>
      <c r="BB273" t="s">
        <v>4280</v>
      </c>
      <c r="BD273" t="str" cm="1">
        <f t="array" ref="BD273">INDEX(VmSpecs[Server Role],AY273)</f>
        <v>SOLR</v>
      </c>
    </row>
    <row r="274" spans="1:56" hidden="1" x14ac:dyDescent="0.35">
      <c r="A274" t="s">
        <v>471</v>
      </c>
      <c r="B274" t="s">
        <v>4399</v>
      </c>
      <c r="C274" t="s">
        <v>63</v>
      </c>
      <c r="D274" t="s">
        <v>4400</v>
      </c>
      <c r="E274" t="s">
        <v>4401</v>
      </c>
      <c r="J274" t="s">
        <v>4702</v>
      </c>
      <c r="K274" t="s">
        <v>4703</v>
      </c>
      <c r="L274" t="s">
        <v>4404</v>
      </c>
      <c r="P274" t="s">
        <v>4340</v>
      </c>
      <c r="R274" t="s">
        <v>58</v>
      </c>
      <c r="S274">
        <v>6</v>
      </c>
      <c r="T274" t="s">
        <v>4416</v>
      </c>
      <c r="V274">
        <v>32768</v>
      </c>
      <c r="X274" t="s">
        <v>4406</v>
      </c>
      <c r="Y274" t="s">
        <v>4407</v>
      </c>
      <c r="Z274" t="s">
        <v>4408</v>
      </c>
      <c r="AA274" t="s">
        <v>4409</v>
      </c>
      <c r="AG274" t="s">
        <v>64</v>
      </c>
      <c r="AJ274" t="s">
        <v>4704</v>
      </c>
      <c r="AL274" t="s">
        <v>4411</v>
      </c>
      <c r="AN274" t="s">
        <v>4412</v>
      </c>
      <c r="AO274" t="s">
        <v>4413</v>
      </c>
      <c r="AQ274">
        <v>2</v>
      </c>
      <c r="AS274">
        <v>66560</v>
      </c>
      <c r="AX274" s="98" t="s">
        <v>801</v>
      </c>
      <c r="AY274">
        <f>MATCH(A274,VmSpecs[Original Hostname (CMO)],0)</f>
        <v>183</v>
      </c>
      <c r="AZ274" t="str" cm="1">
        <f t="array" ref="AZ274">INDEX(VmSpecs[VM Name],AY274)</f>
        <v>vmpfbpf2wbc01</v>
      </c>
      <c r="BA274" t="str">
        <f t="shared" si="4"/>
        <v>ehgpfaaswbc01</v>
      </c>
      <c r="BB274" t="s">
        <v>4280</v>
      </c>
      <c r="BD274" t="str" cm="1">
        <f t="array" ref="BD274">INDEX(VmSpecs[Server Role],AY274)</f>
        <v>WBC N1 / TMPL N4</v>
      </c>
    </row>
    <row r="275" spans="1:56" hidden="1" x14ac:dyDescent="0.35">
      <c r="A275" t="s">
        <v>473</v>
      </c>
      <c r="B275" t="s">
        <v>4399</v>
      </c>
      <c r="C275" t="s">
        <v>63</v>
      </c>
      <c r="D275" t="s">
        <v>4400</v>
      </c>
      <c r="E275" t="s">
        <v>4401</v>
      </c>
      <c r="J275" t="s">
        <v>4702</v>
      </c>
      <c r="K275" t="s">
        <v>4703</v>
      </c>
      <c r="L275" t="s">
        <v>4404</v>
      </c>
      <c r="P275" t="s">
        <v>4340</v>
      </c>
      <c r="R275" t="s">
        <v>58</v>
      </c>
      <c r="S275">
        <v>6</v>
      </c>
      <c r="T275" t="s">
        <v>4416</v>
      </c>
      <c r="V275">
        <v>32768</v>
      </c>
      <c r="X275" t="s">
        <v>4406</v>
      </c>
      <c r="Y275" t="s">
        <v>4407</v>
      </c>
      <c r="Z275" t="s">
        <v>4408</v>
      </c>
      <c r="AA275" t="s">
        <v>4409</v>
      </c>
      <c r="AG275" t="s">
        <v>64</v>
      </c>
      <c r="AJ275" t="s">
        <v>4705</v>
      </c>
      <c r="AL275" t="s">
        <v>4411</v>
      </c>
      <c r="AN275" t="s">
        <v>4412</v>
      </c>
      <c r="AO275" t="s">
        <v>4413</v>
      </c>
      <c r="AQ275">
        <v>2</v>
      </c>
      <c r="AS275">
        <v>66560</v>
      </c>
      <c r="AX275" s="98" t="s">
        <v>801</v>
      </c>
      <c r="AY275">
        <f>MATCH(A275,VmSpecs[Original Hostname (CMO)],0)</f>
        <v>184</v>
      </c>
      <c r="AZ275" t="str" cm="1">
        <f t="array" ref="AZ275">INDEX(VmSpecs[VM Name],AY275)</f>
        <v>vmpfbpf2wbc02</v>
      </c>
      <c r="BA275" t="str">
        <f t="shared" si="4"/>
        <v>ehgpfaaswbc02</v>
      </c>
      <c r="BB275" t="s">
        <v>4280</v>
      </c>
      <c r="BD275" t="str" cm="1">
        <f t="array" ref="BD275">INDEX(VmSpecs[Server Role],AY275)</f>
        <v>WBC N2 / TMPL N3</v>
      </c>
    </row>
    <row r="276" spans="1:56" hidden="1" x14ac:dyDescent="0.35">
      <c r="A276" t="s">
        <v>475</v>
      </c>
      <c r="B276" t="s">
        <v>4399</v>
      </c>
      <c r="C276" t="s">
        <v>63</v>
      </c>
      <c r="D276" t="s">
        <v>4400</v>
      </c>
      <c r="E276" t="s">
        <v>4401</v>
      </c>
      <c r="J276" t="s">
        <v>4702</v>
      </c>
      <c r="K276" t="s">
        <v>4703</v>
      </c>
      <c r="L276" t="s">
        <v>4404</v>
      </c>
      <c r="P276" t="s">
        <v>4340</v>
      </c>
      <c r="R276" t="s">
        <v>58</v>
      </c>
      <c r="S276">
        <v>6</v>
      </c>
      <c r="T276" t="s">
        <v>4416</v>
      </c>
      <c r="V276">
        <v>32768</v>
      </c>
      <c r="X276" t="s">
        <v>4406</v>
      </c>
      <c r="Y276" t="s">
        <v>4407</v>
      </c>
      <c r="Z276" t="s">
        <v>4408</v>
      </c>
      <c r="AA276" t="s">
        <v>4409</v>
      </c>
      <c r="AG276" t="s">
        <v>64</v>
      </c>
      <c r="AJ276" t="s">
        <v>4706</v>
      </c>
      <c r="AL276" t="s">
        <v>4411</v>
      </c>
      <c r="AN276" t="s">
        <v>4412</v>
      </c>
      <c r="AO276" t="s">
        <v>4413</v>
      </c>
      <c r="AQ276">
        <v>2</v>
      </c>
      <c r="AS276">
        <v>66560</v>
      </c>
      <c r="AX276" s="98" t="s">
        <v>801</v>
      </c>
      <c r="AY276">
        <f>MATCH(A276,VmSpecs[Original Hostname (CMO)],0)</f>
        <v>185</v>
      </c>
      <c r="AZ276" t="str" cm="1">
        <f t="array" ref="AZ276">INDEX(VmSpecs[VM Name],AY276)</f>
        <v>vmpfbpf2wbc03</v>
      </c>
      <c r="BA276" t="str">
        <f t="shared" si="4"/>
        <v>ehgpfaaswbc03</v>
      </c>
      <c r="BB276" t="s">
        <v>4280</v>
      </c>
      <c r="BD276" t="str" cm="1">
        <f t="array" ref="BD276">INDEX(VmSpecs[Server Role],AY276)</f>
        <v>WBC N3 / TMPL N2</v>
      </c>
    </row>
    <row r="277" spans="1:56" hidden="1" x14ac:dyDescent="0.35">
      <c r="A277" t="s">
        <v>477</v>
      </c>
      <c r="B277" t="s">
        <v>4399</v>
      </c>
      <c r="C277" t="s">
        <v>63</v>
      </c>
      <c r="D277" t="s">
        <v>4400</v>
      </c>
      <c r="E277" t="s">
        <v>4401</v>
      </c>
      <c r="J277" t="s">
        <v>4702</v>
      </c>
      <c r="K277" t="s">
        <v>4703</v>
      </c>
      <c r="L277" t="s">
        <v>4404</v>
      </c>
      <c r="P277" t="s">
        <v>4340</v>
      </c>
      <c r="R277" t="s">
        <v>58</v>
      </c>
      <c r="S277">
        <v>6</v>
      </c>
      <c r="T277" t="s">
        <v>4416</v>
      </c>
      <c r="V277">
        <v>32768</v>
      </c>
      <c r="X277" t="s">
        <v>4406</v>
      </c>
      <c r="Y277" t="s">
        <v>4407</v>
      </c>
      <c r="Z277" t="s">
        <v>4408</v>
      </c>
      <c r="AA277" t="s">
        <v>4409</v>
      </c>
      <c r="AG277" t="s">
        <v>64</v>
      </c>
      <c r="AJ277" t="s">
        <v>4707</v>
      </c>
      <c r="AL277" t="s">
        <v>4411</v>
      </c>
      <c r="AN277" t="s">
        <v>4412</v>
      </c>
      <c r="AO277" t="s">
        <v>4413</v>
      </c>
      <c r="AQ277">
        <v>2</v>
      </c>
      <c r="AS277">
        <v>66560</v>
      </c>
      <c r="AX277" s="98" t="s">
        <v>801</v>
      </c>
      <c r="AY277">
        <f>MATCH(A277,VmSpecs[Original Hostname (CMO)],0)</f>
        <v>186</v>
      </c>
      <c r="AZ277" t="str" cm="1">
        <f t="array" ref="AZ277">INDEX(VmSpecs[VM Name],AY277)</f>
        <v>vmpfbpf2wbc04</v>
      </c>
      <c r="BA277" t="str">
        <f t="shared" si="4"/>
        <v>ehgpfaaswbc04</v>
      </c>
      <c r="BB277" t="s">
        <v>4280</v>
      </c>
      <c r="BD277" t="str" cm="1">
        <f t="array" ref="BD277">INDEX(VmSpecs[Server Role],AY277)</f>
        <v>WBC N4 / TMPL N1</v>
      </c>
    </row>
    <row r="278" spans="1:56" hidden="1" x14ac:dyDescent="0.35">
      <c r="A278" t="s">
        <v>479</v>
      </c>
      <c r="B278" t="s">
        <v>4399</v>
      </c>
      <c r="C278" t="s">
        <v>63</v>
      </c>
      <c r="D278" t="s">
        <v>4400</v>
      </c>
      <c r="E278" t="s">
        <v>4401</v>
      </c>
      <c r="J278" t="s">
        <v>4702</v>
      </c>
      <c r="K278" t="s">
        <v>4703</v>
      </c>
      <c r="L278" t="s">
        <v>4404</v>
      </c>
      <c r="P278" t="s">
        <v>4340</v>
      </c>
      <c r="R278" t="s">
        <v>58</v>
      </c>
      <c r="S278">
        <v>6</v>
      </c>
      <c r="T278" t="s">
        <v>4416</v>
      </c>
      <c r="V278">
        <v>32768</v>
      </c>
      <c r="X278" t="s">
        <v>4406</v>
      </c>
      <c r="Y278" t="s">
        <v>4407</v>
      </c>
      <c r="Z278" t="s">
        <v>4408</v>
      </c>
      <c r="AA278" t="s">
        <v>4409</v>
      </c>
      <c r="AG278" t="s">
        <v>64</v>
      </c>
      <c r="AJ278" t="s">
        <v>4708</v>
      </c>
      <c r="AL278" t="s">
        <v>4411</v>
      </c>
      <c r="AN278" t="s">
        <v>4412</v>
      </c>
      <c r="AO278" t="s">
        <v>4413</v>
      </c>
      <c r="AQ278">
        <v>2</v>
      </c>
      <c r="AS278">
        <v>66560</v>
      </c>
      <c r="AX278" s="98" t="s">
        <v>801</v>
      </c>
      <c r="AY278">
        <f>MATCH(A278,VmSpecs[Original Hostname (CMO)],0)</f>
        <v>187</v>
      </c>
      <c r="AZ278" t="str" cm="1">
        <f t="array" ref="AZ278">INDEX(VmSpecs[VM Name],AY278)</f>
        <v>vmpfbpf2wbc05</v>
      </c>
      <c r="BA278" t="str">
        <f t="shared" si="4"/>
        <v>ehgpfaaswbc05</v>
      </c>
      <c r="BB278" t="s">
        <v>4280</v>
      </c>
      <c r="BD278" t="str" cm="1">
        <f t="array" ref="BD278">INDEX(VmSpecs[Server Role],AY278)</f>
        <v>WBC / TMPL</v>
      </c>
    </row>
    <row r="279" spans="1:56" hidden="1" x14ac:dyDescent="0.35">
      <c r="A279" t="s">
        <v>481</v>
      </c>
      <c r="B279" t="s">
        <v>4399</v>
      </c>
      <c r="C279" t="s">
        <v>63</v>
      </c>
      <c r="D279" t="s">
        <v>4400</v>
      </c>
      <c r="E279" t="s">
        <v>4401</v>
      </c>
      <c r="J279" t="s">
        <v>4702</v>
      </c>
      <c r="K279" t="s">
        <v>4703</v>
      </c>
      <c r="L279" t="s">
        <v>4404</v>
      </c>
      <c r="P279" t="s">
        <v>4340</v>
      </c>
      <c r="R279" t="s">
        <v>58</v>
      </c>
      <c r="S279">
        <v>6</v>
      </c>
      <c r="T279" t="s">
        <v>4416</v>
      </c>
      <c r="V279">
        <v>32768</v>
      </c>
      <c r="X279" t="s">
        <v>4406</v>
      </c>
      <c r="Y279" t="s">
        <v>4407</v>
      </c>
      <c r="Z279" t="s">
        <v>4408</v>
      </c>
      <c r="AA279" t="s">
        <v>4409</v>
      </c>
      <c r="AG279" t="s">
        <v>64</v>
      </c>
      <c r="AJ279" t="s">
        <v>4708</v>
      </c>
      <c r="AL279" t="s">
        <v>4411</v>
      </c>
      <c r="AN279" t="s">
        <v>4412</v>
      </c>
      <c r="AO279" t="s">
        <v>4413</v>
      </c>
      <c r="AQ279">
        <v>2</v>
      </c>
      <c r="AS279">
        <v>66560</v>
      </c>
      <c r="AX279" s="98" t="s">
        <v>801</v>
      </c>
      <c r="AY279">
        <f>MATCH(A279,VmSpecs[Original Hostname (CMO)],0)</f>
        <v>188</v>
      </c>
      <c r="AZ279" t="str" cm="1">
        <f t="array" ref="AZ279">INDEX(VmSpecs[VM Name],AY279)</f>
        <v>vmpfbpf2wbc06</v>
      </c>
      <c r="BA279" t="str">
        <f t="shared" si="4"/>
        <v>ehgpfaaswbc06</v>
      </c>
      <c r="BB279" t="s">
        <v>4280</v>
      </c>
      <c r="BD279" t="str" cm="1">
        <f t="array" ref="BD279">INDEX(VmSpecs[Server Role],AY279)</f>
        <v>WBC / TMPL</v>
      </c>
    </row>
    <row r="280" spans="1:56" hidden="1" x14ac:dyDescent="0.35">
      <c r="A280" t="s">
        <v>483</v>
      </c>
      <c r="B280" t="s">
        <v>4399</v>
      </c>
      <c r="C280" t="s">
        <v>63</v>
      </c>
      <c r="D280" t="s">
        <v>4400</v>
      </c>
      <c r="E280" t="s">
        <v>4401</v>
      </c>
      <c r="J280" t="s">
        <v>4702</v>
      </c>
      <c r="K280" t="s">
        <v>4703</v>
      </c>
      <c r="L280" t="s">
        <v>4404</v>
      </c>
      <c r="P280" t="s">
        <v>4340</v>
      </c>
      <c r="R280" t="s">
        <v>58</v>
      </c>
      <c r="S280">
        <v>6</v>
      </c>
      <c r="T280" t="s">
        <v>4416</v>
      </c>
      <c r="V280">
        <v>32768</v>
      </c>
      <c r="X280" t="s">
        <v>4406</v>
      </c>
      <c r="Y280" t="s">
        <v>4407</v>
      </c>
      <c r="Z280" t="s">
        <v>4408</v>
      </c>
      <c r="AA280" t="s">
        <v>4409</v>
      </c>
      <c r="AG280" t="s">
        <v>64</v>
      </c>
      <c r="AJ280" t="s">
        <v>4708</v>
      </c>
      <c r="AL280" t="s">
        <v>4411</v>
      </c>
      <c r="AN280" t="s">
        <v>4412</v>
      </c>
      <c r="AO280" t="s">
        <v>4413</v>
      </c>
      <c r="AQ280">
        <v>2</v>
      </c>
      <c r="AS280">
        <v>66560</v>
      </c>
      <c r="AX280" s="98" t="s">
        <v>801</v>
      </c>
      <c r="AY280">
        <f>MATCH(A280,VmSpecs[Original Hostname (CMO)],0)</f>
        <v>189</v>
      </c>
      <c r="AZ280" t="str" cm="1">
        <f t="array" ref="AZ280">INDEX(VmSpecs[VM Name],AY280)</f>
        <v>vmpfbpf2wbc07</v>
      </c>
      <c r="BA280" t="str">
        <f t="shared" si="4"/>
        <v>ehgpfaaswbc07</v>
      </c>
      <c r="BB280" t="s">
        <v>4280</v>
      </c>
      <c r="BD280" t="str" cm="1">
        <f t="array" ref="BD280">INDEX(VmSpecs[Server Role],AY280)</f>
        <v>WBC / TMPL</v>
      </c>
    </row>
    <row r="281" spans="1:56" hidden="1" x14ac:dyDescent="0.35">
      <c r="A281" t="s">
        <v>485</v>
      </c>
      <c r="B281" t="s">
        <v>4399</v>
      </c>
      <c r="C281" t="s">
        <v>63</v>
      </c>
      <c r="D281" t="s">
        <v>4400</v>
      </c>
      <c r="E281" t="s">
        <v>4401</v>
      </c>
      <c r="J281" t="s">
        <v>4702</v>
      </c>
      <c r="K281" t="s">
        <v>4703</v>
      </c>
      <c r="L281" t="s">
        <v>4404</v>
      </c>
      <c r="P281" t="s">
        <v>4340</v>
      </c>
      <c r="R281" t="s">
        <v>58</v>
      </c>
      <c r="S281">
        <v>6</v>
      </c>
      <c r="T281" t="s">
        <v>4416</v>
      </c>
      <c r="V281">
        <v>32768</v>
      </c>
      <c r="X281" t="s">
        <v>4406</v>
      </c>
      <c r="Y281" t="s">
        <v>4407</v>
      </c>
      <c r="Z281" t="s">
        <v>4408</v>
      </c>
      <c r="AA281" t="s">
        <v>4409</v>
      </c>
      <c r="AG281" t="s">
        <v>64</v>
      </c>
      <c r="AJ281" t="s">
        <v>4708</v>
      </c>
      <c r="AL281" t="s">
        <v>4411</v>
      </c>
      <c r="AN281" t="s">
        <v>4412</v>
      </c>
      <c r="AO281" t="s">
        <v>4413</v>
      </c>
      <c r="AQ281">
        <v>2</v>
      </c>
      <c r="AS281">
        <v>66560</v>
      </c>
      <c r="AX281" s="98" t="s">
        <v>801</v>
      </c>
      <c r="AY281">
        <f>MATCH(A281,VmSpecs[Original Hostname (CMO)],0)</f>
        <v>190</v>
      </c>
      <c r="AZ281" t="str" cm="1">
        <f t="array" ref="AZ281">INDEX(VmSpecs[VM Name],AY281)</f>
        <v>vmpfbpf2wbc08</v>
      </c>
      <c r="BA281" t="str">
        <f t="shared" si="4"/>
        <v>ehgpfaaswbc08</v>
      </c>
      <c r="BB281" t="s">
        <v>4280</v>
      </c>
      <c r="BD281" t="str" cm="1">
        <f t="array" ref="BD281">INDEX(VmSpecs[Server Role],AY281)</f>
        <v>WBC / TMPL</v>
      </c>
    </row>
    <row r="282" spans="1:56" hidden="1" x14ac:dyDescent="0.35">
      <c r="A282" t="s">
        <v>682</v>
      </c>
      <c r="B282" t="s">
        <v>4399</v>
      </c>
      <c r="C282" t="s">
        <v>63</v>
      </c>
      <c r="D282" t="s">
        <v>4400</v>
      </c>
      <c r="E282" t="s">
        <v>4401</v>
      </c>
      <c r="F282" t="s">
        <v>4697</v>
      </c>
      <c r="J282" t="s">
        <v>4083</v>
      </c>
      <c r="K282" t="s">
        <v>4419</v>
      </c>
      <c r="L282" t="s">
        <v>4404</v>
      </c>
      <c r="P282" t="s">
        <v>4340</v>
      </c>
      <c r="S282">
        <v>8</v>
      </c>
      <c r="T282" t="s">
        <v>4405</v>
      </c>
      <c r="V282">
        <v>16384</v>
      </c>
      <c r="Y282" t="s">
        <v>4407</v>
      </c>
      <c r="Z282" t="s">
        <v>4408</v>
      </c>
      <c r="AJ282" t="s">
        <v>4709</v>
      </c>
      <c r="AL282" t="s">
        <v>4411</v>
      </c>
      <c r="AN282" t="s">
        <v>4412</v>
      </c>
      <c r="AQ282">
        <v>1</v>
      </c>
      <c r="AX282" s="98" t="s">
        <v>757</v>
      </c>
      <c r="AY282">
        <f>MATCH(A282,VmSpecs[Original Hostname (CMO)],0)</f>
        <v>285</v>
      </c>
      <c r="AZ282" t="str" cm="1">
        <f t="array" ref="AZ282">INDEX(VmSpecs[VM Name],AY282)</f>
        <v>vmpfbpf2xho01</v>
      </c>
      <c r="BA282" t="str">
        <f t="shared" si="4"/>
        <v>ehgpfawsxho01</v>
      </c>
      <c r="BB282" t="s">
        <v>4280</v>
      </c>
      <c r="BD282" t="str" cm="1">
        <f t="array" ref="BD282">INDEX(VmSpecs[Server Role],AY282)</f>
        <v>OHS-DCX OSB</v>
      </c>
    </row>
    <row r="283" spans="1:56" hidden="1" x14ac:dyDescent="0.35">
      <c r="A283" t="s">
        <v>684</v>
      </c>
      <c r="B283" t="s">
        <v>4399</v>
      </c>
      <c r="C283" t="s">
        <v>63</v>
      </c>
      <c r="D283" t="s">
        <v>4400</v>
      </c>
      <c r="E283" t="s">
        <v>4401</v>
      </c>
      <c r="F283" t="s">
        <v>4697</v>
      </c>
      <c r="J283" t="s">
        <v>4083</v>
      </c>
      <c r="K283" t="s">
        <v>4419</v>
      </c>
      <c r="L283" t="s">
        <v>4404</v>
      </c>
      <c r="P283" t="s">
        <v>4340</v>
      </c>
      <c r="S283">
        <v>8</v>
      </c>
      <c r="T283" t="s">
        <v>4405</v>
      </c>
      <c r="V283">
        <v>16384</v>
      </c>
      <c r="Y283" t="s">
        <v>4407</v>
      </c>
      <c r="Z283" t="s">
        <v>4408</v>
      </c>
      <c r="AJ283" t="s">
        <v>4709</v>
      </c>
      <c r="AL283" t="s">
        <v>4411</v>
      </c>
      <c r="AN283" t="s">
        <v>4412</v>
      </c>
      <c r="AQ283">
        <v>1</v>
      </c>
      <c r="AX283" s="98" t="s">
        <v>757</v>
      </c>
      <c r="AY283">
        <f>MATCH(A283,VmSpecs[Original Hostname (CMO)],0)</f>
        <v>286</v>
      </c>
      <c r="AZ283" t="str" cm="1">
        <f t="array" ref="AZ283">INDEX(VmSpecs[VM Name],AY283)</f>
        <v>vmpfbpf2xho02</v>
      </c>
      <c r="BA283" t="str">
        <f t="shared" si="4"/>
        <v>ehgpfawsxho02</v>
      </c>
      <c r="BB283" t="s">
        <v>4280</v>
      </c>
      <c r="BD283" t="str" cm="1">
        <f t="array" ref="BD283">INDEX(VmSpecs[Server Role],AY283)</f>
        <v>OHS-DCX OSB</v>
      </c>
    </row>
    <row r="284" spans="1:56" hidden="1" x14ac:dyDescent="0.35">
      <c r="A284" t="s">
        <v>686</v>
      </c>
      <c r="B284" t="s">
        <v>4399</v>
      </c>
      <c r="C284" t="s">
        <v>63</v>
      </c>
      <c r="D284" t="s">
        <v>4400</v>
      </c>
      <c r="E284" t="s">
        <v>4401</v>
      </c>
      <c r="F284" t="s">
        <v>4697</v>
      </c>
      <c r="J284" t="s">
        <v>4083</v>
      </c>
      <c r="K284" t="s">
        <v>4419</v>
      </c>
      <c r="L284" t="s">
        <v>4404</v>
      </c>
      <c r="P284" t="s">
        <v>4340</v>
      </c>
      <c r="S284">
        <v>8</v>
      </c>
      <c r="T284" t="s">
        <v>4405</v>
      </c>
      <c r="V284">
        <v>16384</v>
      </c>
      <c r="Y284" t="s">
        <v>4407</v>
      </c>
      <c r="Z284" t="s">
        <v>4408</v>
      </c>
      <c r="AJ284" t="s">
        <v>4709</v>
      </c>
      <c r="AL284" t="s">
        <v>4411</v>
      </c>
      <c r="AN284" t="s">
        <v>4412</v>
      </c>
      <c r="AQ284">
        <v>1</v>
      </c>
      <c r="AX284" s="98" t="s">
        <v>757</v>
      </c>
      <c r="AY284">
        <f>MATCH(A284,VmSpecs[Original Hostname (CMO)],0)</f>
        <v>287</v>
      </c>
      <c r="AZ284" t="str" cm="1">
        <f t="array" ref="AZ284">INDEX(VmSpecs[VM Name],AY284)</f>
        <v>vmpfbpf2xho03</v>
      </c>
      <c r="BA284" t="str">
        <f t="shared" si="4"/>
        <v>ehgpfawsxho03</v>
      </c>
      <c r="BB284" t="s">
        <v>4280</v>
      </c>
      <c r="BD284" t="str" cm="1">
        <f t="array" ref="BD284">INDEX(VmSpecs[Server Role],AY284)</f>
        <v>OHS-DCX OSB</v>
      </c>
    </row>
    <row r="285" spans="1:56" hidden="1" x14ac:dyDescent="0.35">
      <c r="A285" t="s">
        <v>688</v>
      </c>
      <c r="B285" t="s">
        <v>4399</v>
      </c>
      <c r="C285" t="s">
        <v>63</v>
      </c>
      <c r="D285" t="s">
        <v>4400</v>
      </c>
      <c r="E285" t="s">
        <v>4401</v>
      </c>
      <c r="F285" t="s">
        <v>4697</v>
      </c>
      <c r="J285" t="s">
        <v>4083</v>
      </c>
      <c r="K285" t="s">
        <v>4419</v>
      </c>
      <c r="L285" t="s">
        <v>4404</v>
      </c>
      <c r="P285" t="s">
        <v>4340</v>
      </c>
      <c r="S285">
        <v>8</v>
      </c>
      <c r="T285" t="s">
        <v>4405</v>
      </c>
      <c r="V285">
        <v>16384</v>
      </c>
      <c r="Y285" t="s">
        <v>4407</v>
      </c>
      <c r="Z285" t="s">
        <v>4408</v>
      </c>
      <c r="AJ285" t="s">
        <v>4709</v>
      </c>
      <c r="AL285" t="s">
        <v>4411</v>
      </c>
      <c r="AN285" t="s">
        <v>4412</v>
      </c>
      <c r="AQ285">
        <v>1</v>
      </c>
      <c r="AX285" s="98" t="s">
        <v>757</v>
      </c>
      <c r="AY285">
        <f>MATCH(A285,VmSpecs[Original Hostname (CMO)],0)</f>
        <v>288</v>
      </c>
      <c r="AZ285" t="str" cm="1">
        <f t="array" ref="AZ285">INDEX(VmSpecs[VM Name],AY285)</f>
        <v>vmpfbpf2xho04</v>
      </c>
      <c r="BA285" t="str">
        <f t="shared" si="4"/>
        <v>ehgpfawsxho04</v>
      </c>
      <c r="BB285" t="s">
        <v>4280</v>
      </c>
      <c r="BD285" t="str" cm="1">
        <f t="array" ref="BD285">INDEX(VmSpecs[Server Role],AY285)</f>
        <v>OHS-DCX OSB</v>
      </c>
    </row>
    <row r="286" spans="1:56" s="109" customFormat="1" hidden="1" x14ac:dyDescent="0.35">
      <c r="A286" s="111" t="s">
        <v>567</v>
      </c>
      <c r="B286" s="111" t="s">
        <v>4399</v>
      </c>
      <c r="C286" s="111" t="s">
        <v>521</v>
      </c>
      <c r="D286" s="111" t="s">
        <v>4531</v>
      </c>
      <c r="E286" s="111" t="s">
        <v>522</v>
      </c>
      <c r="F286" s="107"/>
      <c r="G286" s="111"/>
      <c r="H286" s="111"/>
      <c r="I286" s="111"/>
      <c r="J286" s="111" t="s">
        <v>4532</v>
      </c>
      <c r="K286" s="111" t="s">
        <v>4533</v>
      </c>
      <c r="L286" s="111" t="s">
        <v>4404</v>
      </c>
      <c r="M286" s="111"/>
      <c r="N286" s="111"/>
      <c r="O286" s="111"/>
      <c r="P286" s="112"/>
      <c r="Q286" s="112"/>
      <c r="R286" s="111" t="s">
        <v>58</v>
      </c>
      <c r="S286" s="111">
        <v>16</v>
      </c>
      <c r="T286" s="111"/>
      <c r="U286" s="111">
        <v>16384</v>
      </c>
      <c r="V286" s="113"/>
      <c r="W286" s="111"/>
      <c r="X286" s="111"/>
      <c r="Y286" s="111"/>
      <c r="Z286" s="111"/>
      <c r="AA286" s="112"/>
      <c r="AB286" s="108" t="s">
        <v>4340</v>
      </c>
      <c r="AC286" s="108" t="s">
        <v>64</v>
      </c>
      <c r="AD286" s="111"/>
      <c r="AE286" s="108"/>
      <c r="AF286" s="111"/>
      <c r="AG286" s="111"/>
      <c r="AH286" s="111"/>
      <c r="AI286" s="112"/>
      <c r="AJ286" s="111" t="s">
        <v>4710</v>
      </c>
      <c r="AK286" s="111"/>
      <c r="AL286" s="111" t="s">
        <v>4711</v>
      </c>
      <c r="AM286" s="111"/>
      <c r="AN286" s="111"/>
      <c r="AO286" s="111"/>
      <c r="AP286" s="111" t="s">
        <v>4712</v>
      </c>
      <c r="AQ286" s="111"/>
      <c r="AR286" s="111"/>
      <c r="AS286" s="111"/>
      <c r="AT286" s="111"/>
      <c r="AU286" s="111"/>
      <c r="AV286" s="111"/>
      <c r="AW286" s="111"/>
      <c r="AX286" s="98" t="s">
        <v>757</v>
      </c>
      <c r="AY286">
        <f>MATCH(A286,VmSpecs[Original Hostname (CMO)],0)</f>
        <v>229</v>
      </c>
      <c r="AZ286" t="str" cm="1">
        <f t="array" ref="AZ286">INDEX(VmSpecs[VM Name],AY286)</f>
        <v>vmpfbpf2inj23</v>
      </c>
      <c r="BA286" t="str">
        <f t="shared" si="4"/>
        <v>newpfawsinj23</v>
      </c>
      <c r="BB286" t="s">
        <v>4280</v>
      </c>
      <c r="BC286" s="114"/>
      <c r="BD286" t="str" cm="1">
        <f t="array" ref="BD286">INDEX(VmSpecs[Server Role],AY286)</f>
        <v>PerfTest23</v>
      </c>
    </row>
    <row r="287" spans="1:56" s="109" customFormat="1" hidden="1" x14ac:dyDescent="0.35">
      <c r="A287" s="111" t="s">
        <v>570</v>
      </c>
      <c r="B287" s="111" t="s">
        <v>4399</v>
      </c>
      <c r="C287" s="111" t="s">
        <v>521</v>
      </c>
      <c r="D287" s="111" t="s">
        <v>4531</v>
      </c>
      <c r="E287" s="111" t="s">
        <v>522</v>
      </c>
      <c r="F287" s="107"/>
      <c r="G287" s="111"/>
      <c r="H287" s="111"/>
      <c r="I287" s="111"/>
      <c r="J287" s="111" t="s">
        <v>4532</v>
      </c>
      <c r="K287" s="111" t="s">
        <v>4533</v>
      </c>
      <c r="L287" s="111" t="s">
        <v>4404</v>
      </c>
      <c r="M287" s="111"/>
      <c r="N287" s="111"/>
      <c r="O287" s="111"/>
      <c r="P287" s="112"/>
      <c r="Q287" s="112"/>
      <c r="R287" s="111" t="s">
        <v>58</v>
      </c>
      <c r="S287" s="111">
        <v>16</v>
      </c>
      <c r="T287" s="111"/>
      <c r="U287" s="111">
        <v>16384</v>
      </c>
      <c r="V287" s="113"/>
      <c r="W287" s="111"/>
      <c r="X287" s="111"/>
      <c r="Y287" s="111"/>
      <c r="Z287" s="111"/>
      <c r="AA287" s="112"/>
      <c r="AB287" s="108" t="s">
        <v>4340</v>
      </c>
      <c r="AC287" s="108" t="s">
        <v>64</v>
      </c>
      <c r="AD287" s="111"/>
      <c r="AE287" s="108"/>
      <c r="AF287" s="111"/>
      <c r="AG287" s="111"/>
      <c r="AH287" s="111"/>
      <c r="AI287" s="112"/>
      <c r="AJ287" s="111" t="s">
        <v>4713</v>
      </c>
      <c r="AK287" s="111"/>
      <c r="AL287" s="111" t="s">
        <v>4711</v>
      </c>
      <c r="AM287" s="111"/>
      <c r="AN287" s="111"/>
      <c r="AO287" s="111"/>
      <c r="AP287" s="111" t="s">
        <v>4712</v>
      </c>
      <c r="AQ287" s="111"/>
      <c r="AR287" s="111"/>
      <c r="AS287" s="111"/>
      <c r="AT287" s="111"/>
      <c r="AU287" s="111"/>
      <c r="AV287" s="111"/>
      <c r="AW287" s="111"/>
      <c r="AX287" s="98" t="s">
        <v>757</v>
      </c>
      <c r="AY287">
        <f>MATCH(A287,VmSpecs[Original Hostname (CMO)],0)</f>
        <v>230</v>
      </c>
      <c r="AZ287" t="str" cm="1">
        <f t="array" ref="AZ287">INDEX(VmSpecs[VM Name],AY287)</f>
        <v>vmpfbpf2inj24</v>
      </c>
      <c r="BA287" t="str">
        <f t="shared" si="4"/>
        <v>newpfawsinj24</v>
      </c>
      <c r="BB287" t="s">
        <v>4280</v>
      </c>
      <c r="BC287" s="114"/>
      <c r="BD287" t="str" cm="1">
        <f t="array" ref="BD287">INDEX(VmSpecs[Server Role],AY287)</f>
        <v>PerfTest24</v>
      </c>
    </row>
    <row r="288" spans="1:56" s="109" customFormat="1" hidden="1" x14ac:dyDescent="0.35">
      <c r="A288" s="111" t="s">
        <v>572</v>
      </c>
      <c r="B288" s="111" t="s">
        <v>4399</v>
      </c>
      <c r="C288" s="111" t="s">
        <v>521</v>
      </c>
      <c r="D288" s="111" t="s">
        <v>4531</v>
      </c>
      <c r="E288" s="111" t="s">
        <v>522</v>
      </c>
      <c r="F288" s="107"/>
      <c r="G288" s="111"/>
      <c r="H288" s="111"/>
      <c r="I288" s="111"/>
      <c r="J288" s="111" t="s">
        <v>4532</v>
      </c>
      <c r="K288" s="111" t="s">
        <v>4533</v>
      </c>
      <c r="L288" s="111" t="s">
        <v>4404</v>
      </c>
      <c r="M288" s="111"/>
      <c r="N288" s="111"/>
      <c r="O288" s="111"/>
      <c r="P288" s="112"/>
      <c r="Q288" s="112"/>
      <c r="R288" s="111" t="s">
        <v>58</v>
      </c>
      <c r="S288" s="111">
        <v>16</v>
      </c>
      <c r="T288" s="111"/>
      <c r="U288" s="111">
        <v>16384</v>
      </c>
      <c r="V288" s="113"/>
      <c r="W288" s="111"/>
      <c r="X288" s="111"/>
      <c r="Y288" s="111"/>
      <c r="Z288" s="111"/>
      <c r="AA288" s="112"/>
      <c r="AB288" s="108" t="s">
        <v>4340</v>
      </c>
      <c r="AC288" s="108" t="s">
        <v>64</v>
      </c>
      <c r="AD288" s="111"/>
      <c r="AE288" s="108"/>
      <c r="AF288" s="111"/>
      <c r="AG288" s="111"/>
      <c r="AH288" s="111"/>
      <c r="AI288" s="112"/>
      <c r="AJ288" s="111" t="s">
        <v>4714</v>
      </c>
      <c r="AK288" s="111"/>
      <c r="AL288" s="111" t="s">
        <v>4711</v>
      </c>
      <c r="AM288" s="111"/>
      <c r="AN288" s="111"/>
      <c r="AO288" s="111"/>
      <c r="AP288" s="111" t="s">
        <v>4712</v>
      </c>
      <c r="AQ288" s="111"/>
      <c r="AR288" s="111"/>
      <c r="AS288" s="111"/>
      <c r="AT288" s="111"/>
      <c r="AU288" s="111"/>
      <c r="AV288" s="111"/>
      <c r="AW288" s="111"/>
      <c r="AX288" s="98" t="s">
        <v>757</v>
      </c>
      <c r="AY288">
        <f>MATCH(A288,VmSpecs[Original Hostname (CMO)],0)</f>
        <v>231</v>
      </c>
      <c r="AZ288" t="str" cm="1">
        <f t="array" ref="AZ288">INDEX(VmSpecs[VM Name],AY288)</f>
        <v>vmpfbpf2inj25</v>
      </c>
      <c r="BA288" t="str">
        <f t="shared" si="4"/>
        <v>newpfawsinj25</v>
      </c>
      <c r="BB288" t="s">
        <v>4280</v>
      </c>
      <c r="BC288" s="114"/>
      <c r="BD288" t="str" cm="1">
        <f t="array" ref="BD288">INDEX(VmSpecs[Server Role],AY288)</f>
        <v>PerfTest25</v>
      </c>
    </row>
    <row r="289" spans="1:56" s="109" customFormat="1" hidden="1" x14ac:dyDescent="0.35">
      <c r="A289" s="111" t="s">
        <v>574</v>
      </c>
      <c r="B289" s="111" t="s">
        <v>4399</v>
      </c>
      <c r="C289" s="111" t="s">
        <v>521</v>
      </c>
      <c r="D289" s="111" t="s">
        <v>4531</v>
      </c>
      <c r="E289" s="111" t="s">
        <v>522</v>
      </c>
      <c r="F289" s="107"/>
      <c r="G289" s="111"/>
      <c r="H289" s="111"/>
      <c r="I289" s="111"/>
      <c r="J289" s="111" t="s">
        <v>4532</v>
      </c>
      <c r="K289" s="111" t="s">
        <v>4533</v>
      </c>
      <c r="L289" s="111" t="s">
        <v>4404</v>
      </c>
      <c r="M289" s="111"/>
      <c r="N289" s="111"/>
      <c r="O289" s="111"/>
      <c r="P289" s="112"/>
      <c r="Q289" s="112"/>
      <c r="R289" s="111" t="s">
        <v>58</v>
      </c>
      <c r="S289" s="111">
        <v>16</v>
      </c>
      <c r="T289" s="111"/>
      <c r="U289" s="111">
        <v>16384</v>
      </c>
      <c r="V289" s="113"/>
      <c r="W289" s="111"/>
      <c r="X289" s="111"/>
      <c r="Y289" s="111"/>
      <c r="Z289" s="111"/>
      <c r="AA289" s="112"/>
      <c r="AB289" s="108" t="s">
        <v>4340</v>
      </c>
      <c r="AC289" s="108" t="s">
        <v>64</v>
      </c>
      <c r="AD289" s="111"/>
      <c r="AE289" s="108"/>
      <c r="AF289" s="111"/>
      <c r="AG289" s="111"/>
      <c r="AH289" s="111"/>
      <c r="AI289" s="112"/>
      <c r="AJ289" s="111" t="s">
        <v>4715</v>
      </c>
      <c r="AK289" s="111"/>
      <c r="AL289" s="111" t="s">
        <v>4711</v>
      </c>
      <c r="AM289" s="111"/>
      <c r="AN289" s="111"/>
      <c r="AO289" s="111"/>
      <c r="AP289" s="111" t="s">
        <v>4712</v>
      </c>
      <c r="AQ289" s="111"/>
      <c r="AR289" s="111"/>
      <c r="AS289" s="111"/>
      <c r="AT289" s="111"/>
      <c r="AU289" s="111"/>
      <c r="AV289" s="111"/>
      <c r="AW289" s="111"/>
      <c r="AX289" s="98" t="s">
        <v>757</v>
      </c>
      <c r="AY289">
        <f>MATCH(A289,VmSpecs[Original Hostname (CMO)],0)</f>
        <v>232</v>
      </c>
      <c r="AZ289" t="str" cm="1">
        <f t="array" ref="AZ289">INDEX(VmSpecs[VM Name],AY289)</f>
        <v>vmpfbpf2inj26</v>
      </c>
      <c r="BA289" t="str">
        <f t="shared" si="4"/>
        <v>newpfawsinj26</v>
      </c>
      <c r="BB289" t="s">
        <v>4280</v>
      </c>
      <c r="BC289" s="114"/>
      <c r="BD289" t="str" cm="1">
        <f t="array" ref="BD289">INDEX(VmSpecs[Server Role],AY289)</f>
        <v>PerfTest26</v>
      </c>
    </row>
    <row r="290" spans="1:56" s="109" customFormat="1" hidden="1" x14ac:dyDescent="0.35">
      <c r="A290" s="111" t="s">
        <v>576</v>
      </c>
      <c r="B290" s="111" t="s">
        <v>4399</v>
      </c>
      <c r="C290" s="111" t="s">
        <v>521</v>
      </c>
      <c r="D290" s="111" t="s">
        <v>4531</v>
      </c>
      <c r="E290" s="111" t="s">
        <v>522</v>
      </c>
      <c r="F290" s="107"/>
      <c r="G290" s="111"/>
      <c r="H290" s="111"/>
      <c r="I290" s="111"/>
      <c r="J290" s="111" t="s">
        <v>4532</v>
      </c>
      <c r="K290" s="111" t="s">
        <v>4533</v>
      </c>
      <c r="L290" s="111" t="s">
        <v>4404</v>
      </c>
      <c r="M290" s="111"/>
      <c r="N290" s="111"/>
      <c r="O290" s="111"/>
      <c r="P290" s="112"/>
      <c r="Q290" s="112"/>
      <c r="R290" s="111" t="s">
        <v>58</v>
      </c>
      <c r="S290" s="111">
        <v>16</v>
      </c>
      <c r="T290" s="111"/>
      <c r="U290" s="111">
        <v>16384</v>
      </c>
      <c r="V290" s="113"/>
      <c r="W290" s="111"/>
      <c r="X290" s="111"/>
      <c r="Y290" s="111"/>
      <c r="Z290" s="111"/>
      <c r="AA290" s="112"/>
      <c r="AB290" s="108" t="s">
        <v>4340</v>
      </c>
      <c r="AC290" s="108" t="s">
        <v>64</v>
      </c>
      <c r="AD290" s="111"/>
      <c r="AE290" s="108"/>
      <c r="AF290" s="111"/>
      <c r="AG290" s="111"/>
      <c r="AH290" s="111"/>
      <c r="AI290" s="112"/>
      <c r="AJ290" s="111" t="s">
        <v>4716</v>
      </c>
      <c r="AK290" s="111"/>
      <c r="AL290" s="111" t="s">
        <v>4711</v>
      </c>
      <c r="AM290" s="111"/>
      <c r="AN290" s="111"/>
      <c r="AO290" s="111"/>
      <c r="AP290" s="111" t="s">
        <v>4712</v>
      </c>
      <c r="AQ290" s="111"/>
      <c r="AR290" s="111"/>
      <c r="AS290" s="111"/>
      <c r="AT290" s="111"/>
      <c r="AU290" s="111"/>
      <c r="AV290" s="111"/>
      <c r="AW290" s="111"/>
      <c r="AX290" s="98" t="s">
        <v>757</v>
      </c>
      <c r="AY290">
        <f>MATCH(A290,VmSpecs[Original Hostname (CMO)],0)</f>
        <v>233</v>
      </c>
      <c r="AZ290" t="str" cm="1">
        <f t="array" ref="AZ290">INDEX(VmSpecs[VM Name],AY290)</f>
        <v>vmpfbpf2inj27</v>
      </c>
      <c r="BA290" t="str">
        <f t="shared" si="4"/>
        <v>newpfawsinj27</v>
      </c>
      <c r="BB290" t="s">
        <v>4280</v>
      </c>
      <c r="BC290" s="114"/>
      <c r="BD290" t="str" cm="1">
        <f t="array" ref="BD290">INDEX(VmSpecs[Server Role],AY290)</f>
        <v>PerfTest27</v>
      </c>
    </row>
    <row r="291" spans="1:56" s="109" customFormat="1" hidden="1" x14ac:dyDescent="0.35">
      <c r="A291" s="111" t="s">
        <v>578</v>
      </c>
      <c r="B291" s="111" t="s">
        <v>4399</v>
      </c>
      <c r="C291" s="111" t="s">
        <v>521</v>
      </c>
      <c r="D291" s="111" t="s">
        <v>4531</v>
      </c>
      <c r="E291" s="111" t="s">
        <v>522</v>
      </c>
      <c r="F291" s="107"/>
      <c r="G291" s="111"/>
      <c r="H291" s="111"/>
      <c r="I291" s="111"/>
      <c r="J291" s="111" t="s">
        <v>4532</v>
      </c>
      <c r="K291" s="111" t="s">
        <v>4533</v>
      </c>
      <c r="L291" s="111" t="s">
        <v>4404</v>
      </c>
      <c r="M291" s="111"/>
      <c r="N291" s="111"/>
      <c r="O291" s="111"/>
      <c r="P291" s="112"/>
      <c r="Q291" s="112"/>
      <c r="R291" s="111" t="s">
        <v>58</v>
      </c>
      <c r="S291" s="111">
        <v>16</v>
      </c>
      <c r="T291" s="111"/>
      <c r="U291" s="111">
        <v>16384</v>
      </c>
      <c r="V291" s="113"/>
      <c r="W291" s="111"/>
      <c r="X291" s="111"/>
      <c r="Y291" s="111"/>
      <c r="Z291" s="111"/>
      <c r="AA291" s="112"/>
      <c r="AB291" s="108" t="s">
        <v>4340</v>
      </c>
      <c r="AC291" s="108" t="s">
        <v>64</v>
      </c>
      <c r="AD291" s="111"/>
      <c r="AE291" s="108"/>
      <c r="AF291" s="111"/>
      <c r="AG291" s="111"/>
      <c r="AH291" s="111"/>
      <c r="AI291" s="112"/>
      <c r="AJ291" s="111" t="s">
        <v>4717</v>
      </c>
      <c r="AK291" s="111"/>
      <c r="AL291" s="111" t="s">
        <v>4711</v>
      </c>
      <c r="AM291" s="111"/>
      <c r="AN291" s="111"/>
      <c r="AO291" s="111"/>
      <c r="AP291" s="111" t="s">
        <v>4712</v>
      </c>
      <c r="AQ291" s="111"/>
      <c r="AR291" s="111"/>
      <c r="AS291" s="111"/>
      <c r="AT291" s="111"/>
      <c r="AU291" s="111"/>
      <c r="AV291" s="111"/>
      <c r="AW291" s="111"/>
      <c r="AX291" s="98" t="s">
        <v>757</v>
      </c>
      <c r="AY291">
        <f>MATCH(A291,VmSpecs[Original Hostname (CMO)],0)</f>
        <v>234</v>
      </c>
      <c r="AZ291" t="str" cm="1">
        <f t="array" ref="AZ291">INDEX(VmSpecs[VM Name],AY291)</f>
        <v>vmpfbpf2inj28</v>
      </c>
      <c r="BA291" t="str">
        <f t="shared" si="4"/>
        <v>newpfawsinj28</v>
      </c>
      <c r="BB291" t="s">
        <v>4280</v>
      </c>
      <c r="BC291" s="114"/>
      <c r="BD291" t="str" cm="1">
        <f t="array" ref="BD291">INDEX(VmSpecs[Server Role],AY291)</f>
        <v>PerfTest28</v>
      </c>
    </row>
    <row r="292" spans="1:56" s="109" customFormat="1" hidden="1" x14ac:dyDescent="0.35">
      <c r="A292" s="111" t="s">
        <v>580</v>
      </c>
      <c r="B292" s="111" t="s">
        <v>4399</v>
      </c>
      <c r="C292" s="111" t="s">
        <v>521</v>
      </c>
      <c r="D292" s="111" t="s">
        <v>4531</v>
      </c>
      <c r="E292" s="111" t="s">
        <v>522</v>
      </c>
      <c r="F292" s="107"/>
      <c r="G292" s="111"/>
      <c r="H292" s="111"/>
      <c r="I292" s="111"/>
      <c r="J292" s="111" t="s">
        <v>4532</v>
      </c>
      <c r="K292" s="111" t="s">
        <v>4533</v>
      </c>
      <c r="L292" s="111" t="s">
        <v>4404</v>
      </c>
      <c r="M292" s="111"/>
      <c r="N292" s="111"/>
      <c r="O292" s="111"/>
      <c r="P292" s="112"/>
      <c r="Q292" s="112"/>
      <c r="R292" s="111" t="s">
        <v>58</v>
      </c>
      <c r="S292" s="111">
        <v>16</v>
      </c>
      <c r="T292" s="111"/>
      <c r="U292" s="111">
        <v>16384</v>
      </c>
      <c r="V292" s="113"/>
      <c r="W292" s="111"/>
      <c r="X292" s="111"/>
      <c r="Y292" s="111"/>
      <c r="Z292" s="111"/>
      <c r="AA292" s="112"/>
      <c r="AB292" s="108" t="s">
        <v>4340</v>
      </c>
      <c r="AC292" s="108" t="s">
        <v>64</v>
      </c>
      <c r="AD292" s="111"/>
      <c r="AE292" s="108"/>
      <c r="AF292" s="111"/>
      <c r="AG292" s="111"/>
      <c r="AH292" s="111"/>
      <c r="AI292" s="112"/>
      <c r="AJ292" s="111" t="s">
        <v>4718</v>
      </c>
      <c r="AK292" s="111"/>
      <c r="AL292" s="111" t="s">
        <v>4711</v>
      </c>
      <c r="AM292" s="111"/>
      <c r="AN292" s="111"/>
      <c r="AO292" s="111"/>
      <c r="AP292" s="111" t="s">
        <v>4712</v>
      </c>
      <c r="AQ292" s="111"/>
      <c r="AR292" s="111"/>
      <c r="AS292" s="111"/>
      <c r="AT292" s="111"/>
      <c r="AU292" s="111"/>
      <c r="AV292" s="111"/>
      <c r="AW292" s="111"/>
      <c r="AX292" s="98" t="s">
        <v>757</v>
      </c>
      <c r="AY292">
        <f>MATCH(A292,VmSpecs[Original Hostname (CMO)],0)</f>
        <v>235</v>
      </c>
      <c r="AZ292" t="str" cm="1">
        <f t="array" ref="AZ292">INDEX(VmSpecs[VM Name],AY292)</f>
        <v>vmpfbpf2inj29</v>
      </c>
      <c r="BA292" t="str">
        <f t="shared" si="4"/>
        <v>newpfawsinj29</v>
      </c>
      <c r="BB292" t="s">
        <v>4280</v>
      </c>
      <c r="BC292" s="114"/>
      <c r="BD292" t="str" cm="1">
        <f t="array" ref="BD292">INDEX(VmSpecs[Server Role],AY292)</f>
        <v>PerfTest29</v>
      </c>
    </row>
    <row r="293" spans="1:56" s="109" customFormat="1" hidden="1" x14ac:dyDescent="0.35">
      <c r="A293" s="111" t="s">
        <v>582</v>
      </c>
      <c r="B293" s="111" t="s">
        <v>4399</v>
      </c>
      <c r="C293" s="111" t="s">
        <v>521</v>
      </c>
      <c r="D293" s="111" t="s">
        <v>4531</v>
      </c>
      <c r="E293" s="111" t="s">
        <v>522</v>
      </c>
      <c r="F293" s="107"/>
      <c r="G293" s="111"/>
      <c r="H293" s="111"/>
      <c r="I293" s="111"/>
      <c r="J293" s="111" t="s">
        <v>4532</v>
      </c>
      <c r="K293" s="111" t="s">
        <v>4533</v>
      </c>
      <c r="L293" s="111" t="s">
        <v>4404</v>
      </c>
      <c r="M293" s="111"/>
      <c r="N293" s="111"/>
      <c r="O293" s="111"/>
      <c r="P293" s="112"/>
      <c r="Q293" s="112"/>
      <c r="R293" s="111" t="s">
        <v>58</v>
      </c>
      <c r="S293" s="111">
        <v>16</v>
      </c>
      <c r="T293" s="111"/>
      <c r="U293" s="111">
        <v>16384</v>
      </c>
      <c r="V293" s="113"/>
      <c r="W293" s="111"/>
      <c r="X293" s="111"/>
      <c r="Y293" s="111"/>
      <c r="Z293" s="111"/>
      <c r="AA293" s="112"/>
      <c r="AB293" s="108" t="s">
        <v>4340</v>
      </c>
      <c r="AC293" s="108" t="s">
        <v>64</v>
      </c>
      <c r="AD293" s="111"/>
      <c r="AE293" s="108"/>
      <c r="AF293" s="111"/>
      <c r="AG293" s="111"/>
      <c r="AH293" s="111"/>
      <c r="AI293" s="112"/>
      <c r="AJ293" s="111" t="s">
        <v>4719</v>
      </c>
      <c r="AK293" s="111"/>
      <c r="AL293" s="111" t="s">
        <v>4711</v>
      </c>
      <c r="AM293" s="111"/>
      <c r="AN293" s="111"/>
      <c r="AO293" s="111"/>
      <c r="AP293" s="111" t="s">
        <v>4712</v>
      </c>
      <c r="AQ293" s="111"/>
      <c r="AR293" s="111"/>
      <c r="AS293" s="111"/>
      <c r="AT293" s="111"/>
      <c r="AU293" s="111"/>
      <c r="AV293" s="111"/>
      <c r="AW293" s="111"/>
      <c r="AX293" s="98" t="s">
        <v>757</v>
      </c>
      <c r="AY293">
        <f>MATCH(A293,VmSpecs[Original Hostname (CMO)],0)</f>
        <v>236</v>
      </c>
      <c r="AZ293" t="str" cm="1">
        <f t="array" ref="AZ293">INDEX(VmSpecs[VM Name],AY293)</f>
        <v>vmpfbpf2inj30</v>
      </c>
      <c r="BA293" t="str">
        <f t="shared" si="4"/>
        <v>newpfawsinj30</v>
      </c>
      <c r="BB293" t="s">
        <v>4280</v>
      </c>
      <c r="BC293" s="114"/>
      <c r="BD293" t="str" cm="1">
        <f t="array" ref="BD293">INDEX(VmSpecs[Server Role],AY293)</f>
        <v>PerfTest30</v>
      </c>
    </row>
    <row r="294" spans="1:56" hidden="1" x14ac:dyDescent="0.35">
      <c r="A294" t="s">
        <v>488</v>
      </c>
      <c r="C294" t="s">
        <v>63</v>
      </c>
      <c r="D294" t="s">
        <v>4400</v>
      </c>
      <c r="E294" t="s">
        <v>4401</v>
      </c>
      <c r="J294" t="s">
        <v>4556</v>
      </c>
      <c r="K294" t="s">
        <v>4557</v>
      </c>
      <c r="L294" t="s">
        <v>4404</v>
      </c>
      <c r="M294" t="e">
        <v>#N/A</v>
      </c>
      <c r="P294" t="s">
        <v>58</v>
      </c>
      <c r="S294">
        <v>2</v>
      </c>
      <c r="U294">
        <v>4096</v>
      </c>
      <c r="AJ294" t="s">
        <v>4720</v>
      </c>
      <c r="AL294" t="s">
        <v>4711</v>
      </c>
      <c r="AP294" t="s">
        <v>4721</v>
      </c>
      <c r="AQ294">
        <v>3</v>
      </c>
      <c r="AX294" t="s">
        <v>1067</v>
      </c>
      <c r="AY294">
        <f>MATCH(A294,VmSpecs[Original Hostname (CMO)],0)</f>
        <v>191</v>
      </c>
      <c r="AZ294" t="str" cm="1">
        <f t="array" ref="AZ294">INDEX(VmSpecs[VM Name],AY294)</f>
        <v>vmpfbpf2nes03</v>
      </c>
      <c r="BA294" t="str">
        <f t="shared" si="4"/>
        <v>newpfadbnes01</v>
      </c>
      <c r="BB294" t="s">
        <v>4280</v>
      </c>
      <c r="BD294" t="str" cm="1">
        <f t="array" ref="BD294">INDEX(VmSpecs[Server Role],AY294)</f>
        <v>DB Nessus Scanner</v>
      </c>
    </row>
  </sheetData>
  <autoFilter ref="A1:M294" xr:uid="{135F3B7D-0E74-4091-B9F8-4B8A184D6853}">
    <filterColumn colId="9">
      <filters>
        <filter val="oid"/>
      </filters>
    </filterColumn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1D89-6ACA-499F-8978-F13B77DB5DBB}">
  <sheetPr codeName="Sheet18"/>
  <dimension ref="A1:AC95"/>
  <sheetViews>
    <sheetView workbookViewId="0">
      <selection activeCell="J23" sqref="J23"/>
    </sheetView>
  </sheetViews>
  <sheetFormatPr defaultRowHeight="14.5" x14ac:dyDescent="0.35"/>
  <cols>
    <col min="1" max="1" width="18.26953125" customWidth="1"/>
    <col min="2" max="2" width="22.7265625" customWidth="1"/>
    <col min="3" max="3" width="15.7265625" bestFit="1" customWidth="1"/>
    <col min="14" max="14" width="14.81640625" bestFit="1" customWidth="1"/>
    <col min="15" max="15" width="24.81640625" bestFit="1" customWidth="1"/>
    <col min="16" max="16" width="16.1796875" bestFit="1" customWidth="1"/>
    <col min="18" max="19" width="15.7265625" bestFit="1" customWidth="1"/>
    <col min="20" max="20" width="16.1796875" bestFit="1" customWidth="1"/>
    <col min="26" max="26" width="14" bestFit="1" customWidth="1"/>
  </cols>
  <sheetData>
    <row r="1" spans="1:29" ht="15" thickBot="1" x14ac:dyDescent="0.4">
      <c r="A1" s="12"/>
      <c r="B1" s="12"/>
      <c r="C1" s="117"/>
      <c r="O1" s="118"/>
      <c r="P1" s="119"/>
      <c r="Q1" s="119"/>
      <c r="R1" s="119"/>
      <c r="S1" s="119"/>
      <c r="T1" s="119"/>
      <c r="Y1" s="120"/>
      <c r="Z1" s="120"/>
      <c r="AA1" s="120"/>
      <c r="AB1" s="120"/>
      <c r="AC1" s="120"/>
    </row>
    <row r="2" spans="1:29" ht="15" thickBot="1" x14ac:dyDescent="0.4">
      <c r="A2" s="115"/>
      <c r="B2" s="115"/>
      <c r="O2" s="125"/>
      <c r="P2" s="118"/>
      <c r="Q2" s="119"/>
      <c r="R2" s="119"/>
      <c r="S2" s="119"/>
      <c r="T2" s="119"/>
      <c r="Y2" s="121"/>
      <c r="Z2" s="115"/>
      <c r="AA2" s="115"/>
      <c r="AB2" s="115"/>
      <c r="AC2" s="122"/>
    </row>
    <row r="3" spans="1:29" ht="15" thickBot="1" x14ac:dyDescent="0.4">
      <c r="A3" s="115"/>
      <c r="B3" s="115"/>
      <c r="O3" s="118"/>
      <c r="P3" s="119"/>
      <c r="Q3" s="119"/>
      <c r="R3" s="119"/>
      <c r="S3" s="119"/>
      <c r="T3" s="119"/>
      <c r="Y3" s="121"/>
      <c r="Z3" s="115"/>
      <c r="AA3" s="115"/>
      <c r="AB3" s="115"/>
      <c r="AC3" s="122"/>
    </row>
    <row r="4" spans="1:29" ht="15" thickBot="1" x14ac:dyDescent="0.4">
      <c r="A4" s="115"/>
      <c r="B4" s="115"/>
      <c r="O4" s="119"/>
      <c r="P4" s="119"/>
      <c r="Q4" s="119"/>
      <c r="R4" s="119"/>
      <c r="S4" s="119"/>
      <c r="T4" s="119"/>
      <c r="Y4" s="121"/>
      <c r="Z4" s="115"/>
      <c r="AA4" s="115"/>
      <c r="AB4" s="115"/>
      <c r="AC4" s="122"/>
    </row>
    <row r="5" spans="1:29" ht="15" thickBot="1" x14ac:dyDescent="0.4">
      <c r="A5" s="115"/>
      <c r="B5" s="115"/>
      <c r="O5" s="118"/>
      <c r="P5" s="119"/>
      <c r="Q5" s="119"/>
      <c r="R5" s="119"/>
      <c r="S5" s="118"/>
      <c r="T5" s="119"/>
      <c r="Y5" s="121"/>
      <c r="Z5" s="115"/>
      <c r="AA5" s="115"/>
      <c r="AB5" s="115"/>
      <c r="AC5" s="122"/>
    </row>
    <row r="6" spans="1:29" ht="15" thickBot="1" x14ac:dyDescent="0.4">
      <c r="A6" s="115"/>
      <c r="B6" s="115"/>
      <c r="O6" s="118"/>
      <c r="P6" s="118"/>
      <c r="Q6" s="119"/>
      <c r="R6" s="124"/>
      <c r="S6" s="118"/>
      <c r="T6" s="118"/>
      <c r="Y6" s="121"/>
      <c r="Z6" s="115"/>
      <c r="AA6" s="115"/>
      <c r="AB6" s="115"/>
      <c r="AC6" s="122"/>
    </row>
    <row r="7" spans="1:29" ht="15" thickBot="1" x14ac:dyDescent="0.4">
      <c r="A7" s="115"/>
      <c r="B7" s="115"/>
      <c r="O7" s="118"/>
      <c r="P7" s="118"/>
      <c r="Q7" s="119"/>
      <c r="R7" s="124"/>
      <c r="S7" s="118"/>
      <c r="T7" s="118"/>
      <c r="Y7" s="121"/>
      <c r="Z7" s="115"/>
      <c r="AA7" s="115"/>
      <c r="AB7" s="115"/>
      <c r="AC7" s="122"/>
    </row>
    <row r="8" spans="1:29" ht="15" thickBot="1" x14ac:dyDescent="0.4">
      <c r="A8" s="115"/>
      <c r="B8" s="115"/>
      <c r="O8" s="118"/>
      <c r="P8" s="118"/>
      <c r="Q8" s="119"/>
      <c r="R8" s="124"/>
      <c r="S8" s="118"/>
      <c r="T8" s="118"/>
      <c r="Y8" s="121"/>
      <c r="Z8" s="115"/>
      <c r="AA8" s="115"/>
      <c r="AB8" s="115"/>
      <c r="AC8" s="122"/>
    </row>
    <row r="9" spans="1:29" ht="15" thickBot="1" x14ac:dyDescent="0.4">
      <c r="A9" s="115"/>
      <c r="B9" s="115"/>
      <c r="O9" s="118"/>
      <c r="P9" s="118"/>
      <c r="Q9" s="119"/>
      <c r="R9" s="124"/>
      <c r="S9" s="118"/>
      <c r="T9" s="118"/>
      <c r="Y9" s="121"/>
      <c r="Z9" s="115"/>
      <c r="AA9" s="115"/>
      <c r="AB9" s="115"/>
      <c r="AC9" s="122"/>
    </row>
    <row r="10" spans="1:29" ht="15" thickBot="1" x14ac:dyDescent="0.4">
      <c r="A10" s="115"/>
      <c r="B10" s="115"/>
      <c r="O10" s="118"/>
      <c r="P10" s="118"/>
      <c r="Q10" s="119"/>
      <c r="R10" s="124"/>
      <c r="S10" s="118"/>
      <c r="T10" s="118"/>
      <c r="Y10" s="121"/>
      <c r="Z10" s="115"/>
      <c r="AA10" s="115"/>
      <c r="AB10" s="115"/>
      <c r="AC10" s="122"/>
    </row>
    <row r="11" spans="1:29" ht="15" thickBot="1" x14ac:dyDescent="0.4">
      <c r="A11" s="115"/>
      <c r="B11" s="115"/>
      <c r="O11" s="118"/>
      <c r="P11" s="118"/>
      <c r="Q11" s="119"/>
      <c r="R11" s="124"/>
      <c r="S11" s="118"/>
      <c r="T11" s="118"/>
      <c r="Y11" s="121"/>
      <c r="Z11" s="115"/>
      <c r="AA11" s="115"/>
      <c r="AB11" s="115"/>
      <c r="AC11" s="122"/>
    </row>
    <row r="12" spans="1:29" ht="15" thickBot="1" x14ac:dyDescent="0.4">
      <c r="A12" s="115"/>
      <c r="B12" s="115"/>
      <c r="O12" s="118"/>
      <c r="P12" s="118"/>
      <c r="Q12" s="119"/>
      <c r="R12" s="124"/>
      <c r="S12" s="118"/>
      <c r="T12" s="118"/>
      <c r="Y12" s="121"/>
      <c r="Z12" s="115"/>
      <c r="AA12" s="115"/>
      <c r="AB12" s="115"/>
      <c r="AC12" s="122"/>
    </row>
    <row r="13" spans="1:29" ht="15" thickBot="1" x14ac:dyDescent="0.4">
      <c r="A13" s="115"/>
      <c r="B13" s="115"/>
      <c r="O13" s="118"/>
      <c r="P13" s="118"/>
      <c r="Q13" s="119"/>
      <c r="R13" s="119"/>
      <c r="S13" s="119"/>
      <c r="T13" s="119"/>
      <c r="Y13" s="121"/>
      <c r="Z13" s="115"/>
      <c r="AA13" s="115"/>
      <c r="AB13" s="115"/>
      <c r="AC13" s="122"/>
    </row>
    <row r="14" spans="1:29" ht="15" thickBot="1" x14ac:dyDescent="0.4">
      <c r="A14" s="115"/>
      <c r="B14" s="115"/>
      <c r="O14" s="118"/>
      <c r="P14" s="118"/>
      <c r="Q14" s="119"/>
      <c r="R14" s="119"/>
      <c r="S14" s="119"/>
      <c r="T14" s="119"/>
      <c r="Y14" s="121"/>
      <c r="Z14" s="115"/>
      <c r="AA14" s="115"/>
      <c r="AB14" s="115"/>
      <c r="AC14" s="122"/>
    </row>
    <row r="15" spans="1:29" ht="15" thickBot="1" x14ac:dyDescent="0.4">
      <c r="A15" s="115"/>
      <c r="B15" s="115"/>
      <c r="O15" s="125"/>
      <c r="P15" s="118"/>
      <c r="Q15" s="119"/>
      <c r="R15" s="119"/>
      <c r="S15" s="119"/>
      <c r="T15" s="119"/>
      <c r="Y15" s="121"/>
      <c r="Z15" s="115"/>
      <c r="AA15" s="115"/>
      <c r="AB15" s="115"/>
      <c r="AC15" s="122"/>
    </row>
    <row r="16" spans="1:29" ht="15" thickBot="1" x14ac:dyDescent="0.4">
      <c r="A16" s="115"/>
      <c r="B16" s="115"/>
      <c r="O16" s="119"/>
      <c r="P16" s="119"/>
      <c r="Q16" s="119"/>
      <c r="R16" s="119"/>
      <c r="S16" s="119"/>
      <c r="T16" s="119"/>
      <c r="Y16" s="121"/>
      <c r="Z16" s="115"/>
      <c r="AA16" s="115"/>
      <c r="AB16" s="115"/>
      <c r="AC16" s="122"/>
    </row>
    <row r="17" spans="1:29" ht="15" thickBot="1" x14ac:dyDescent="0.4">
      <c r="A17" s="115"/>
      <c r="B17" s="115"/>
      <c r="O17" s="118"/>
      <c r="P17" s="119"/>
      <c r="Q17" s="119"/>
      <c r="R17" s="119"/>
      <c r="S17" s="118"/>
      <c r="T17" s="119"/>
      <c r="Y17" s="121"/>
      <c r="Z17" s="115"/>
      <c r="AA17" s="115"/>
      <c r="AB17" s="115"/>
      <c r="AC17" s="122"/>
    </row>
    <row r="18" spans="1:29" ht="15" thickBot="1" x14ac:dyDescent="0.4">
      <c r="A18" s="115"/>
      <c r="B18" s="115"/>
      <c r="O18" s="125"/>
      <c r="P18" s="118"/>
      <c r="Q18" s="119"/>
      <c r="S18" s="125"/>
      <c r="T18" s="118"/>
      <c r="Y18" s="121"/>
      <c r="Z18" s="115"/>
      <c r="AA18" s="115"/>
      <c r="AB18" s="115"/>
      <c r="AC18" s="122"/>
    </row>
    <row r="19" spans="1:29" ht="15" thickBot="1" x14ac:dyDescent="0.4">
      <c r="A19" s="115"/>
      <c r="B19" s="115"/>
      <c r="O19" s="119"/>
      <c r="P19" s="119"/>
      <c r="Q19" s="119"/>
      <c r="S19" s="125"/>
      <c r="T19" s="118"/>
      <c r="Y19" s="121"/>
      <c r="Z19" s="115"/>
      <c r="AA19" s="115"/>
      <c r="AB19" s="115"/>
      <c r="AC19" s="122"/>
    </row>
    <row r="20" spans="1:29" ht="15" thickBot="1" x14ac:dyDescent="0.4">
      <c r="A20" s="115"/>
      <c r="B20" s="115"/>
      <c r="O20" s="118"/>
      <c r="P20" s="119"/>
      <c r="Q20" s="119"/>
      <c r="R20" s="119"/>
      <c r="S20" s="119"/>
      <c r="T20" s="119"/>
      <c r="Y20" s="121"/>
      <c r="Z20" s="115"/>
      <c r="AA20" s="115"/>
      <c r="AB20" s="115"/>
      <c r="AC20" s="122"/>
    </row>
    <row r="21" spans="1:29" ht="15" thickBot="1" x14ac:dyDescent="0.4">
      <c r="A21" s="115"/>
      <c r="B21" s="115"/>
      <c r="O21" s="118"/>
      <c r="P21" s="118"/>
      <c r="Q21" s="119"/>
      <c r="R21" s="119"/>
      <c r="S21" s="119"/>
      <c r="T21" s="119"/>
      <c r="Y21" s="121"/>
      <c r="Z21" s="115"/>
      <c r="AA21" s="115"/>
      <c r="AB21" s="115"/>
      <c r="AC21" s="122"/>
    </row>
    <row r="22" spans="1:29" ht="15" thickBot="1" x14ac:dyDescent="0.4">
      <c r="A22" s="115"/>
      <c r="B22" s="115"/>
      <c r="O22" s="119"/>
      <c r="P22" s="119"/>
      <c r="Q22" s="119"/>
      <c r="R22" s="119"/>
      <c r="S22" s="119"/>
      <c r="T22" s="119"/>
      <c r="Y22" s="121"/>
      <c r="Z22" s="115"/>
      <c r="AA22" s="115"/>
      <c r="AB22" s="115"/>
      <c r="AC22" s="122"/>
    </row>
    <row r="23" spans="1:29" x14ac:dyDescent="0.35">
      <c r="A23" s="115"/>
      <c r="B23" s="115"/>
      <c r="Y23" s="121"/>
      <c r="Z23" s="115"/>
      <c r="AA23" s="115"/>
      <c r="AB23" s="115"/>
      <c r="AC23" s="122"/>
    </row>
    <row r="24" spans="1:29" x14ac:dyDescent="0.35">
      <c r="A24" s="115"/>
      <c r="B24" s="115"/>
      <c r="Y24" s="121"/>
      <c r="Z24" s="115"/>
      <c r="AA24" s="115"/>
      <c r="AB24" s="115"/>
      <c r="AC24" s="122"/>
    </row>
    <row r="25" spans="1:29" x14ac:dyDescent="0.35">
      <c r="A25" s="115"/>
      <c r="B25" s="115"/>
      <c r="Y25" s="121"/>
      <c r="Z25" s="115"/>
      <c r="AA25" s="115"/>
      <c r="AB25" s="115"/>
      <c r="AC25" s="122"/>
    </row>
    <row r="26" spans="1:29" x14ac:dyDescent="0.35">
      <c r="A26" s="115"/>
      <c r="B26" s="115"/>
      <c r="Y26" s="121"/>
      <c r="Z26" s="115"/>
      <c r="AA26" s="115"/>
      <c r="AB26" s="115"/>
      <c r="AC26" s="122"/>
    </row>
    <row r="27" spans="1:29" x14ac:dyDescent="0.35">
      <c r="A27" s="115"/>
      <c r="B27" s="115"/>
      <c r="Y27" s="121"/>
      <c r="Z27" s="115"/>
      <c r="AA27" s="115"/>
      <c r="AB27" s="115"/>
      <c r="AC27" s="122"/>
    </row>
    <row r="28" spans="1:29" x14ac:dyDescent="0.35">
      <c r="A28" s="115"/>
      <c r="B28" s="115"/>
      <c r="Y28" s="121"/>
      <c r="Z28" s="115"/>
      <c r="AA28" s="115"/>
      <c r="AB28" s="115"/>
      <c r="AC28" s="122"/>
    </row>
    <row r="29" spans="1:29" x14ac:dyDescent="0.35">
      <c r="A29" s="115"/>
      <c r="B29" s="115"/>
      <c r="Y29" s="121"/>
      <c r="Z29" s="115"/>
      <c r="AA29" s="115"/>
      <c r="AB29" s="115"/>
      <c r="AC29" s="122"/>
    </row>
    <row r="30" spans="1:29" x14ac:dyDescent="0.35">
      <c r="A30" s="115"/>
      <c r="B30" s="115"/>
      <c r="Y30" s="121"/>
      <c r="Z30" s="115"/>
      <c r="AA30" s="115"/>
      <c r="AB30" s="115"/>
      <c r="AC30" s="122"/>
    </row>
    <row r="31" spans="1:29" x14ac:dyDescent="0.35">
      <c r="A31" s="115"/>
      <c r="B31" s="115"/>
      <c r="Y31" s="121"/>
      <c r="Z31" s="115"/>
      <c r="AA31" s="115"/>
      <c r="AB31" s="115"/>
      <c r="AC31" s="122"/>
    </row>
    <row r="32" spans="1:29" x14ac:dyDescent="0.35">
      <c r="A32" s="115"/>
      <c r="B32" s="115"/>
      <c r="Y32" s="121"/>
      <c r="Z32" s="115"/>
      <c r="AA32" s="115"/>
      <c r="AB32" s="115"/>
      <c r="AC32" s="123"/>
    </row>
    <row r="33" spans="1:29" x14ac:dyDescent="0.35">
      <c r="A33" s="115"/>
      <c r="B33" s="115"/>
      <c r="Y33" s="121"/>
      <c r="Z33" s="115"/>
      <c r="AA33" s="115"/>
      <c r="AB33" s="115"/>
      <c r="AC33" s="123"/>
    </row>
    <row r="34" spans="1:29" x14ac:dyDescent="0.35">
      <c r="A34" s="115"/>
      <c r="B34" s="115"/>
      <c r="Y34" s="121"/>
      <c r="Z34" s="115"/>
      <c r="AA34" s="115"/>
      <c r="AB34" s="115"/>
      <c r="AC34" s="122"/>
    </row>
    <row r="35" spans="1:29" x14ac:dyDescent="0.35">
      <c r="A35" s="115"/>
      <c r="B35" s="115"/>
      <c r="Y35" s="121"/>
      <c r="Z35" s="115"/>
      <c r="AA35" s="115"/>
      <c r="AB35" s="115"/>
      <c r="AC35" s="122"/>
    </row>
    <row r="36" spans="1:29" x14ac:dyDescent="0.35">
      <c r="A36" s="115"/>
      <c r="B36" s="115"/>
      <c r="Y36" s="121"/>
      <c r="Z36" s="115"/>
      <c r="AA36" s="115"/>
      <c r="AB36" s="115"/>
      <c r="AC36" s="122"/>
    </row>
    <row r="37" spans="1:29" x14ac:dyDescent="0.35">
      <c r="A37" s="115"/>
      <c r="B37" s="115"/>
      <c r="Y37" s="121"/>
      <c r="Z37" s="115"/>
      <c r="AA37" s="115"/>
      <c r="AB37" s="115"/>
      <c r="AC37" s="122"/>
    </row>
    <row r="38" spans="1:29" x14ac:dyDescent="0.35">
      <c r="A38" s="115"/>
      <c r="B38" s="115"/>
      <c r="Y38" s="121"/>
      <c r="Z38" s="115"/>
      <c r="AA38" s="115"/>
      <c r="AB38" s="115"/>
      <c r="AC38" s="122"/>
    </row>
    <row r="39" spans="1:29" x14ac:dyDescent="0.35">
      <c r="A39" s="115"/>
      <c r="B39" s="115"/>
      <c r="Y39" s="121"/>
      <c r="Z39" s="115"/>
      <c r="AA39" s="115"/>
      <c r="AB39" s="115"/>
      <c r="AC39" s="122"/>
    </row>
    <row r="40" spans="1:29" x14ac:dyDescent="0.35">
      <c r="A40" s="115"/>
      <c r="B40" s="115"/>
      <c r="Y40" s="121"/>
      <c r="Z40" s="115"/>
      <c r="AA40" s="115"/>
      <c r="AB40" s="115"/>
      <c r="AC40" s="122"/>
    </row>
    <row r="41" spans="1:29" x14ac:dyDescent="0.35">
      <c r="A41" s="115"/>
      <c r="B41" s="115"/>
      <c r="Y41" s="121"/>
      <c r="Z41" s="115"/>
      <c r="AA41" s="115"/>
      <c r="AB41" s="115"/>
      <c r="AC41" s="122"/>
    </row>
    <row r="42" spans="1:29" x14ac:dyDescent="0.35">
      <c r="A42" s="115"/>
      <c r="B42" s="115"/>
      <c r="Y42" s="121"/>
      <c r="Z42" s="115"/>
      <c r="AA42" s="115"/>
      <c r="AB42" s="115"/>
      <c r="AC42" s="122"/>
    </row>
    <row r="43" spans="1:29" x14ac:dyDescent="0.35">
      <c r="A43" s="115"/>
      <c r="B43" s="115"/>
      <c r="Y43" s="121"/>
      <c r="Z43" s="115"/>
      <c r="AA43" s="115"/>
      <c r="AB43" s="115"/>
      <c r="AC43" s="122"/>
    </row>
    <row r="44" spans="1:29" x14ac:dyDescent="0.35">
      <c r="A44" s="115"/>
      <c r="B44" s="115"/>
      <c r="Y44" s="121"/>
      <c r="Z44" s="115"/>
      <c r="AA44" s="115"/>
      <c r="AB44" s="115"/>
      <c r="AC44" s="122"/>
    </row>
    <row r="45" spans="1:29" x14ac:dyDescent="0.35">
      <c r="A45" s="115"/>
      <c r="B45" s="115"/>
      <c r="Y45" s="121"/>
      <c r="Z45" s="115"/>
      <c r="AA45" s="115"/>
      <c r="AB45" s="115"/>
      <c r="AC45" s="122"/>
    </row>
    <row r="46" spans="1:29" x14ac:dyDescent="0.35">
      <c r="A46" s="115"/>
      <c r="B46" s="115"/>
      <c r="Y46" s="121"/>
      <c r="Z46" s="115"/>
      <c r="AA46" s="115"/>
      <c r="AB46" s="115"/>
      <c r="AC46" s="122"/>
    </row>
    <row r="47" spans="1:29" x14ac:dyDescent="0.35">
      <c r="A47" s="115"/>
      <c r="B47" s="115"/>
      <c r="Y47" s="121"/>
      <c r="Z47" s="115"/>
      <c r="AA47" s="115"/>
      <c r="AB47" s="115"/>
      <c r="AC47" s="122"/>
    </row>
    <row r="48" spans="1:29" x14ac:dyDescent="0.35">
      <c r="A48" s="115"/>
      <c r="B48" s="115"/>
      <c r="Y48" s="121"/>
      <c r="Z48" s="115"/>
      <c r="AA48" s="115"/>
      <c r="AB48" s="115"/>
      <c r="AC48" s="122"/>
    </row>
    <row r="49" spans="1:29" x14ac:dyDescent="0.35">
      <c r="A49" s="115"/>
      <c r="B49" s="115"/>
      <c r="Y49" s="121"/>
      <c r="Z49" s="115"/>
      <c r="AA49" s="115"/>
      <c r="AB49" s="115"/>
      <c r="AC49" s="122"/>
    </row>
    <row r="50" spans="1:29" x14ac:dyDescent="0.35">
      <c r="A50" s="115"/>
      <c r="B50" s="115"/>
      <c r="Y50" s="121"/>
      <c r="Z50" s="115"/>
      <c r="AA50" s="115"/>
      <c r="AB50" s="115"/>
      <c r="AC50" s="122"/>
    </row>
    <row r="51" spans="1:29" x14ac:dyDescent="0.35">
      <c r="A51" s="115"/>
      <c r="B51" s="115"/>
      <c r="Y51" s="121"/>
      <c r="Z51" s="115"/>
      <c r="AA51" s="115"/>
      <c r="AB51" s="115"/>
      <c r="AC51" s="122"/>
    </row>
    <row r="52" spans="1:29" x14ac:dyDescent="0.35">
      <c r="A52" s="115"/>
      <c r="B52" s="115"/>
      <c r="Y52" s="121"/>
      <c r="Z52" s="115"/>
      <c r="AA52" s="115"/>
      <c r="AB52" s="115"/>
      <c r="AC52" s="122"/>
    </row>
    <row r="53" spans="1:29" x14ac:dyDescent="0.35">
      <c r="A53" s="115"/>
      <c r="B53" s="115"/>
      <c r="Y53" s="121"/>
      <c r="Z53" s="115"/>
      <c r="AA53" s="115"/>
      <c r="AB53" s="115"/>
      <c r="AC53" s="122"/>
    </row>
    <row r="54" spans="1:29" x14ac:dyDescent="0.35">
      <c r="A54" s="115"/>
      <c r="B54" s="115"/>
      <c r="Y54" s="121"/>
      <c r="Z54" s="115"/>
      <c r="AA54" s="115"/>
      <c r="AB54" s="115"/>
      <c r="AC54" s="122"/>
    </row>
    <row r="55" spans="1:29" x14ac:dyDescent="0.35">
      <c r="A55" s="115"/>
      <c r="B55" s="115"/>
      <c r="Y55" s="121"/>
      <c r="Z55" s="115"/>
      <c r="AA55" s="115"/>
      <c r="AB55" s="115"/>
      <c r="AC55" s="122"/>
    </row>
    <row r="56" spans="1:29" x14ac:dyDescent="0.35">
      <c r="A56" s="115"/>
      <c r="B56" s="115"/>
      <c r="Y56" s="121"/>
      <c r="Z56" s="115"/>
      <c r="AA56" s="115"/>
      <c r="AB56" s="115"/>
      <c r="AC56" s="122"/>
    </row>
    <row r="57" spans="1:29" x14ac:dyDescent="0.35">
      <c r="A57" s="115"/>
      <c r="B57" s="115"/>
      <c r="Y57" s="121"/>
      <c r="Z57" s="115"/>
      <c r="AA57" s="115"/>
      <c r="AB57" s="115"/>
      <c r="AC57" s="122"/>
    </row>
    <row r="58" spans="1:29" x14ac:dyDescent="0.35">
      <c r="A58" s="115"/>
      <c r="B58" s="115"/>
      <c r="Y58" s="121"/>
      <c r="Z58" s="115"/>
      <c r="AA58" s="115"/>
      <c r="AB58" s="115"/>
      <c r="AC58" s="122"/>
    </row>
    <row r="59" spans="1:29" x14ac:dyDescent="0.35">
      <c r="A59" s="115"/>
      <c r="B59" s="115"/>
      <c r="Y59" s="121"/>
      <c r="Z59" s="115"/>
      <c r="AA59" s="115"/>
      <c r="AB59" s="115"/>
      <c r="AC59" s="122"/>
    </row>
    <row r="60" spans="1:29" x14ac:dyDescent="0.35">
      <c r="A60" s="115"/>
      <c r="B60" s="115"/>
      <c r="Y60" s="121"/>
      <c r="Z60" s="115"/>
      <c r="AA60" s="115"/>
      <c r="AB60" s="115"/>
      <c r="AC60" s="122"/>
    </row>
    <row r="61" spans="1:29" x14ac:dyDescent="0.35">
      <c r="A61" s="115"/>
      <c r="B61" s="115"/>
      <c r="Y61" s="121"/>
      <c r="Z61" s="115"/>
      <c r="AA61" s="115"/>
      <c r="AB61" s="115"/>
      <c r="AC61" s="122"/>
    </row>
    <row r="62" spans="1:29" x14ac:dyDescent="0.35">
      <c r="A62" s="115"/>
      <c r="B62" s="115"/>
      <c r="Y62" s="121"/>
      <c r="Z62" s="115"/>
      <c r="AA62" s="115"/>
      <c r="AB62" s="115"/>
      <c r="AC62" s="122"/>
    </row>
    <row r="63" spans="1:29" x14ac:dyDescent="0.35">
      <c r="A63" s="115"/>
      <c r="B63" s="115"/>
      <c r="Y63" s="121"/>
      <c r="Z63" s="115"/>
      <c r="AA63" s="115"/>
      <c r="AB63" s="115"/>
      <c r="AC63" s="122"/>
    </row>
    <row r="64" spans="1:29" x14ac:dyDescent="0.35">
      <c r="A64" s="115"/>
      <c r="B64" s="115"/>
      <c r="Y64" s="121"/>
      <c r="Z64" s="115"/>
      <c r="AA64" s="115"/>
      <c r="AB64" s="115"/>
      <c r="AC64" s="122"/>
    </row>
    <row r="65" spans="1:29" x14ac:dyDescent="0.35">
      <c r="A65" s="115"/>
      <c r="B65" s="115"/>
      <c r="Y65" s="121"/>
      <c r="Z65" s="115"/>
      <c r="AA65" s="115"/>
      <c r="AB65" s="115"/>
      <c r="AC65" s="122"/>
    </row>
    <row r="66" spans="1:29" x14ac:dyDescent="0.35">
      <c r="A66" s="115"/>
      <c r="B66" s="115"/>
      <c r="Y66" s="121"/>
      <c r="Z66" s="115"/>
      <c r="AA66" s="115"/>
      <c r="AB66" s="115"/>
      <c r="AC66" s="122"/>
    </row>
    <row r="67" spans="1:29" x14ac:dyDescent="0.35">
      <c r="A67" s="115"/>
      <c r="B67" s="115"/>
      <c r="Y67" s="121"/>
      <c r="Z67" s="115"/>
      <c r="AA67" s="115"/>
      <c r="AB67" s="115"/>
      <c r="AC67" s="122"/>
    </row>
    <row r="68" spans="1:29" x14ac:dyDescent="0.35">
      <c r="A68" s="115"/>
      <c r="B68" s="115"/>
      <c r="Y68" s="121"/>
      <c r="Z68" s="115"/>
      <c r="AA68" s="115"/>
      <c r="AB68" s="115"/>
      <c r="AC68" s="122"/>
    </row>
    <row r="69" spans="1:29" x14ac:dyDescent="0.35">
      <c r="A69" s="115"/>
      <c r="B69" s="115"/>
      <c r="Y69" s="121"/>
      <c r="Z69" s="115"/>
      <c r="AA69" s="115"/>
      <c r="AB69" s="115"/>
      <c r="AC69" s="122"/>
    </row>
    <row r="70" spans="1:29" x14ac:dyDescent="0.35">
      <c r="A70" s="115"/>
      <c r="B70" s="115"/>
      <c r="Y70" s="121"/>
      <c r="Z70" s="115"/>
      <c r="AA70" s="115"/>
      <c r="AB70" s="115"/>
      <c r="AC70" s="122"/>
    </row>
    <row r="71" spans="1:29" x14ac:dyDescent="0.35">
      <c r="A71" s="115"/>
      <c r="B71" s="115"/>
      <c r="Y71" s="121"/>
      <c r="Z71" s="115"/>
      <c r="AA71" s="115"/>
      <c r="AB71" s="115"/>
      <c r="AC71" s="122"/>
    </row>
    <row r="72" spans="1:29" x14ac:dyDescent="0.35">
      <c r="A72" s="115"/>
      <c r="B72" s="115"/>
      <c r="Y72" s="121"/>
      <c r="Z72" s="115"/>
      <c r="AA72" s="115"/>
      <c r="AB72" s="115"/>
      <c r="AC72" s="122"/>
    </row>
    <row r="73" spans="1:29" x14ac:dyDescent="0.35">
      <c r="A73" s="115"/>
      <c r="B73" s="115"/>
      <c r="Y73" s="121"/>
      <c r="Z73" s="115"/>
      <c r="AA73" s="115"/>
      <c r="AB73" s="115"/>
      <c r="AC73" s="122"/>
    </row>
    <row r="74" spans="1:29" x14ac:dyDescent="0.35">
      <c r="A74" s="115"/>
      <c r="B74" s="115"/>
      <c r="Y74" s="121"/>
      <c r="Z74" s="115"/>
      <c r="AA74" s="115"/>
      <c r="AB74" s="115"/>
      <c r="AC74" s="122"/>
    </row>
    <row r="75" spans="1:29" x14ac:dyDescent="0.35">
      <c r="A75" s="115"/>
      <c r="B75" s="115"/>
      <c r="Y75" s="121"/>
      <c r="Z75" s="115"/>
      <c r="AA75" s="115"/>
      <c r="AB75" s="115"/>
      <c r="AC75" s="122"/>
    </row>
    <row r="76" spans="1:29" x14ac:dyDescent="0.35">
      <c r="A76" s="115"/>
      <c r="B76" s="115"/>
      <c r="Y76" s="121"/>
      <c r="Z76" s="115"/>
      <c r="AA76" s="115"/>
      <c r="AB76" s="115"/>
      <c r="AC76" s="122"/>
    </row>
    <row r="77" spans="1:29" x14ac:dyDescent="0.35">
      <c r="A77" s="115"/>
      <c r="B77" s="115"/>
      <c r="Y77" s="121"/>
      <c r="Z77" s="115"/>
      <c r="AA77" s="115"/>
      <c r="AB77" s="115"/>
      <c r="AC77" s="122"/>
    </row>
    <row r="78" spans="1:29" x14ac:dyDescent="0.35">
      <c r="A78" s="115"/>
      <c r="B78" s="115"/>
      <c r="Y78" s="121"/>
      <c r="Z78" s="115"/>
      <c r="AA78" s="115"/>
      <c r="AB78" s="115"/>
      <c r="AC78" s="122"/>
    </row>
    <row r="79" spans="1:29" x14ac:dyDescent="0.35">
      <c r="A79" s="115"/>
      <c r="B79" s="115"/>
      <c r="Y79" s="121"/>
      <c r="Z79" s="115"/>
      <c r="AA79" s="115"/>
      <c r="AB79" s="115"/>
      <c r="AC79" s="122"/>
    </row>
    <row r="80" spans="1:29" x14ac:dyDescent="0.35">
      <c r="A80" s="115"/>
      <c r="B80" s="115"/>
      <c r="Y80" s="121"/>
      <c r="Z80" s="115"/>
      <c r="AA80" s="115"/>
      <c r="AB80" s="115"/>
      <c r="AC80" s="123"/>
    </row>
    <row r="81" spans="1:29" x14ac:dyDescent="0.35">
      <c r="A81" s="115"/>
      <c r="B81" s="115"/>
      <c r="Y81" s="121"/>
      <c r="Z81" s="115"/>
      <c r="AA81" s="115"/>
      <c r="AB81" s="115"/>
      <c r="AC81" s="122"/>
    </row>
    <row r="82" spans="1:29" x14ac:dyDescent="0.35">
      <c r="A82" s="115"/>
      <c r="B82" s="115"/>
      <c r="Y82" s="121"/>
      <c r="Z82" s="115"/>
      <c r="AA82" s="115"/>
      <c r="AB82" s="115"/>
      <c r="AC82" s="122"/>
    </row>
    <row r="83" spans="1:29" x14ac:dyDescent="0.35">
      <c r="A83" s="115"/>
      <c r="B83" s="115"/>
      <c r="Y83" s="121"/>
      <c r="Z83" s="115"/>
      <c r="AA83" s="115"/>
      <c r="AB83" s="115"/>
      <c r="AC83" s="122"/>
    </row>
    <row r="84" spans="1:29" x14ac:dyDescent="0.35">
      <c r="A84" s="115"/>
      <c r="B84" s="115"/>
      <c r="Y84" s="121"/>
      <c r="Z84" s="115"/>
      <c r="AA84" s="115"/>
      <c r="AB84" s="115"/>
      <c r="AC84" s="122"/>
    </row>
    <row r="85" spans="1:29" x14ac:dyDescent="0.35">
      <c r="A85" s="115"/>
      <c r="B85" s="115"/>
      <c r="Y85" s="121"/>
      <c r="Z85" s="115"/>
      <c r="AA85" s="115"/>
      <c r="AB85" s="115"/>
      <c r="AC85" s="122"/>
    </row>
    <row r="86" spans="1:29" x14ac:dyDescent="0.35">
      <c r="A86" s="116"/>
      <c r="B86" s="115"/>
      <c r="Y86" s="121"/>
      <c r="Z86" s="115"/>
      <c r="AA86" s="115"/>
      <c r="AB86" s="115"/>
      <c r="AC86" s="122"/>
    </row>
    <row r="87" spans="1:29" x14ac:dyDescent="0.35">
      <c r="Y87" s="121"/>
      <c r="Z87" s="123"/>
      <c r="AA87" s="123"/>
      <c r="AB87" s="123"/>
      <c r="AC87" s="123"/>
    </row>
    <row r="88" spans="1:29" x14ac:dyDescent="0.35">
      <c r="Y88" s="121"/>
      <c r="Z88" s="123"/>
      <c r="AA88" s="123"/>
      <c r="AB88" s="123"/>
      <c r="AC88" s="123"/>
    </row>
    <row r="89" spans="1:29" x14ac:dyDescent="0.35">
      <c r="Y89" s="121"/>
      <c r="Z89" s="123"/>
      <c r="AA89" s="123"/>
      <c r="AB89" s="123"/>
      <c r="AC89" s="123"/>
    </row>
    <row r="90" spans="1:29" x14ac:dyDescent="0.35">
      <c r="Y90" s="121"/>
      <c r="Z90" s="123"/>
      <c r="AA90" s="123"/>
      <c r="AB90" s="123"/>
      <c r="AC90" s="123"/>
    </row>
    <row r="91" spans="1:29" x14ac:dyDescent="0.35">
      <c r="Y91" s="121"/>
      <c r="Z91" s="123"/>
      <c r="AA91" s="123"/>
      <c r="AB91" s="123"/>
      <c r="AC91" s="123"/>
    </row>
    <row r="92" spans="1:29" x14ac:dyDescent="0.35">
      <c r="Y92" s="121"/>
      <c r="Z92" s="123"/>
      <c r="AA92" s="123"/>
      <c r="AB92" s="123"/>
      <c r="AC92" s="123"/>
    </row>
    <row r="93" spans="1:29" x14ac:dyDescent="0.35">
      <c r="Y93" s="121"/>
      <c r="Z93" s="123"/>
      <c r="AA93" s="123"/>
      <c r="AB93" s="123"/>
      <c r="AC93" s="123"/>
    </row>
    <row r="94" spans="1:29" x14ac:dyDescent="0.35">
      <c r="Y94" s="121"/>
      <c r="Z94" s="123"/>
      <c r="AA94" s="123"/>
      <c r="AB94" s="123"/>
      <c r="AC94" s="123"/>
    </row>
    <row r="95" spans="1:29" x14ac:dyDescent="0.35">
      <c r="Y95" s="121"/>
      <c r="Z95" s="123"/>
      <c r="AA95" s="123"/>
      <c r="AB95" s="123"/>
      <c r="AC95" s="122"/>
    </row>
  </sheetData>
  <conditionalFormatting sqref="AC95 AC2:AC8 AC12:AC86">
    <cfRule type="duplicateValues" dxfId="0" priority="1"/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7aaf006-4be8-47e2-b0b8-dab40f6eb78f">
      <UserInfo>
        <DisplayName>Pramod Kanneganti</DisplayName>
        <AccountId>304</AccountId>
        <AccountType/>
      </UserInfo>
    </SharedWithUsers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EC2E189BBD6F40B316ABD9C34FA4BC" ma:contentTypeVersion="8" ma:contentTypeDescription="Create a new document." ma:contentTypeScope="" ma:versionID="bebac419db3eec6b261861e183eb5a78">
  <xsd:schema xmlns:xsd="http://www.w3.org/2001/XMLSchema" xmlns:xs="http://www.w3.org/2001/XMLSchema" xmlns:p="http://schemas.microsoft.com/office/2006/metadata/properties" xmlns:ns2="a1d3111a-5ef7-490d-8531-cebde0747680" xmlns:ns3="27aaf006-4be8-47e2-b0b8-dab40f6eb78f" targetNamespace="http://schemas.microsoft.com/office/2006/metadata/properties" ma:root="true" ma:fieldsID="3d5dd8e0347a1e164dbf1bbf1afbe3dd" ns2:_="" ns3:_="">
    <xsd:import namespace="a1d3111a-5ef7-490d-8531-cebde0747680"/>
    <xsd:import namespace="27aaf006-4be8-47e2-b0b8-dab40f6eb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3111a-5ef7-490d-8531-cebde07476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af006-4be8-47e2-b0b8-dab40f6eb78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96837E-FD17-4024-AB2F-FC47FEE00A25}">
  <ds:schemaRefs>
    <ds:schemaRef ds:uri="http://schemas.microsoft.com/office/2006/metadata/properties"/>
    <ds:schemaRef ds:uri="http://schemas.microsoft.com/office/infopath/2007/PartnerControls"/>
    <ds:schemaRef ds:uri="27aaf006-4be8-47e2-b0b8-dab40f6eb78f"/>
  </ds:schemaRefs>
</ds:datastoreItem>
</file>

<file path=customXml/itemProps2.xml><?xml version="1.0" encoding="utf-8"?>
<ds:datastoreItem xmlns:ds="http://schemas.openxmlformats.org/officeDocument/2006/customXml" ds:itemID="{CD38805D-5160-4D50-AAB2-D3BA2D84562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448AA06-04C7-4D92-83D4-258EB169B15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5D46D9B-AC9C-424D-8F20-0ED3102E0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d3111a-5ef7-490d-8531-cebde0747680"/>
    <ds:schemaRef ds:uri="27aaf006-4be8-47e2-b0b8-dab40f6eb7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4</vt:i4>
      </vt:variant>
    </vt:vector>
  </HeadingPairs>
  <TitlesOfParts>
    <vt:vector size="22" baseType="lpstr">
      <vt:lpstr>LAW</vt:lpstr>
      <vt:lpstr>VM Specs</vt:lpstr>
      <vt:lpstr>As Built</vt:lpstr>
      <vt:lpstr>Quotas</vt:lpstr>
      <vt:lpstr>FG Specs</vt:lpstr>
      <vt:lpstr>StorageAccounts</vt:lpstr>
      <vt:lpstr>NfsExports</vt:lpstr>
      <vt:lpstr>NfsExportsServices</vt:lpstr>
      <vt:lpstr>NfsExportsVNets</vt:lpstr>
      <vt:lpstr>NfsExportsSubnets</vt:lpstr>
      <vt:lpstr>Key Vault</vt:lpstr>
      <vt:lpstr>NSG</vt:lpstr>
      <vt:lpstr>DefaultTagReference</vt:lpstr>
      <vt:lpstr>NetworkReference</vt:lpstr>
      <vt:lpstr>Data</vt:lpstr>
      <vt:lpstr>Naming</vt:lpstr>
      <vt:lpstr>SSOT Data</vt:lpstr>
      <vt:lpstr>Removed</vt:lpstr>
      <vt:lpstr>DiskTypes</vt:lpstr>
      <vt:lpstr>Region</vt:lpstr>
      <vt:lpstr>SNETs</vt:lpstr>
      <vt:lpstr>Yes_No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Waghmare, Ramesh</dc:creator>
  <cp:keywords/>
  <dc:description/>
  <cp:lastModifiedBy>Herath Mudiyanselage, Pamitha M</cp:lastModifiedBy>
  <cp:revision/>
  <dcterms:created xsi:type="dcterms:W3CDTF">2015-06-05T18:17:20Z</dcterms:created>
  <dcterms:modified xsi:type="dcterms:W3CDTF">2022-09-09T06:59:10Z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0x0101003BEC2E189BBD6F40B316ABD9C34FA4BC</vt:lpwstr>
  </property>
  <property fmtid="{D5CDD505-2E9C-101B-9397-08002B2CF9AE}" pid="3" name="MediaServiceImageTags">
    <vt:lpwstr/>
  </property>
</Properties>
</file>