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ternship IIM Ahmedabad\"/>
    </mc:Choice>
  </mc:AlternateContent>
  <xr:revisionPtr revIDLastSave="0" documentId="13_ncr:1_{C2C174FA-C29C-4F66-941C-DDFABCC38008}" xr6:coauthVersionLast="47" xr6:coauthVersionMax="47" xr10:uidLastSave="{00000000-0000-0000-0000-000000000000}"/>
  <bookViews>
    <workbookView xWindow="-108" yWindow="-108" windowWidth="23256" windowHeight="12456" xr2:uid="{F276804B-8B0E-4A93-844A-09DF13066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D58" i="1"/>
  <c r="X58" i="1" s="1"/>
  <c r="D57" i="1"/>
  <c r="D56" i="1"/>
  <c r="X56" i="1" s="1"/>
  <c r="D55" i="1"/>
  <c r="D54" i="1"/>
  <c r="X54" i="1" s="1"/>
  <c r="D53" i="1"/>
  <c r="X53" i="1" s="1"/>
  <c r="D52" i="1"/>
  <c r="X52" i="1" s="1"/>
  <c r="D51" i="1"/>
  <c r="X51" i="1" s="1"/>
  <c r="D50" i="1"/>
  <c r="X50" i="1" s="1"/>
  <c r="D49" i="1"/>
  <c r="AL58" i="1"/>
  <c r="AE58" i="1"/>
  <c r="Z58" i="1"/>
  <c r="Q58" i="1"/>
  <c r="F58" i="1"/>
  <c r="AL57" i="1"/>
  <c r="AK57" i="1"/>
  <c r="AE57" i="1"/>
  <c r="AD57" i="1"/>
  <c r="Z57" i="1"/>
  <c r="Q57" i="1"/>
  <c r="AL56" i="1"/>
  <c r="AE56" i="1"/>
  <c r="AD56" i="1"/>
  <c r="Z56" i="1"/>
  <c r="Q56" i="1"/>
  <c r="AL55" i="1"/>
  <c r="AE55" i="1"/>
  <c r="AD55" i="1"/>
  <c r="Z55" i="1"/>
  <c r="Q55" i="1"/>
  <c r="AL54" i="1"/>
  <c r="AK54" i="1"/>
  <c r="AH54" i="1"/>
  <c r="AE54" i="1"/>
  <c r="AD54" i="1"/>
  <c r="Z54" i="1"/>
  <c r="Q54" i="1"/>
  <c r="AL53" i="1"/>
  <c r="AH53" i="1"/>
  <c r="AE53" i="1"/>
  <c r="AD53" i="1"/>
  <c r="Z53" i="1"/>
  <c r="Q53" i="1"/>
  <c r="AT52" i="1"/>
  <c r="AQ53" i="1" s="1"/>
  <c r="AL52" i="1"/>
  <c r="AE52" i="1"/>
  <c r="AD52" i="1"/>
  <c r="Z52" i="1"/>
  <c r="Q52" i="1"/>
  <c r="P52" i="1"/>
  <c r="O52" i="1"/>
  <c r="AJ52" i="1" s="1"/>
  <c r="AL51" i="1"/>
  <c r="AK51" i="1"/>
  <c r="AE51" i="1"/>
  <c r="Q51" i="1"/>
  <c r="P51" i="1"/>
  <c r="AL50" i="1"/>
  <c r="AE50" i="1"/>
  <c r="Q50" i="1"/>
  <c r="P50" i="1"/>
  <c r="AL49" i="1"/>
  <c r="AE49" i="1"/>
  <c r="Q49" i="1"/>
  <c r="P49" i="1"/>
  <c r="AL14" i="1"/>
  <c r="AL15" i="1"/>
  <c r="AL16" i="1"/>
  <c r="AL17" i="1"/>
  <c r="AL18" i="1"/>
  <c r="AL19" i="1"/>
  <c r="AL20" i="1"/>
  <c r="AL21" i="1"/>
  <c r="AL22" i="1"/>
  <c r="AL13" i="1"/>
  <c r="AL31" i="1"/>
  <c r="AL32" i="1"/>
  <c r="AL33" i="1"/>
  <c r="AL34" i="1"/>
  <c r="AL38" i="1"/>
  <c r="AL39" i="1"/>
  <c r="AL40" i="1"/>
  <c r="AL36" i="1"/>
  <c r="AL37" i="1"/>
  <c r="AL35" i="1"/>
  <c r="AT34" i="1"/>
  <c r="AQ35" i="1" s="1"/>
  <c r="E40" i="1"/>
  <c r="E39" i="1"/>
  <c r="E38" i="1"/>
  <c r="E37" i="1"/>
  <c r="E36" i="1"/>
  <c r="E35" i="1"/>
  <c r="E34" i="1"/>
  <c r="E33" i="1"/>
  <c r="E32" i="1"/>
  <c r="E31" i="1"/>
  <c r="D40" i="1"/>
  <c r="D39" i="1"/>
  <c r="D38" i="1"/>
  <c r="D37" i="1"/>
  <c r="D36" i="1"/>
  <c r="D35" i="1"/>
  <c r="D34" i="1"/>
  <c r="D33" i="1"/>
  <c r="D32" i="1"/>
  <c r="X32" i="1" s="1"/>
  <c r="D31" i="1"/>
  <c r="AE40" i="1"/>
  <c r="Z40" i="1"/>
  <c r="Q40" i="1"/>
  <c r="F40" i="1"/>
  <c r="AK39" i="1"/>
  <c r="AE39" i="1"/>
  <c r="AD39" i="1"/>
  <c r="Z39" i="1"/>
  <c r="Q39" i="1"/>
  <c r="AE38" i="1"/>
  <c r="AD38" i="1"/>
  <c r="Z38" i="1"/>
  <c r="Q38" i="1"/>
  <c r="AE37" i="1"/>
  <c r="AD37" i="1"/>
  <c r="Z37" i="1"/>
  <c r="Q37" i="1"/>
  <c r="AK36" i="1"/>
  <c r="AH36" i="1"/>
  <c r="AE36" i="1"/>
  <c r="AD36" i="1"/>
  <c r="Z36" i="1"/>
  <c r="Q36" i="1"/>
  <c r="AH35" i="1"/>
  <c r="AE35" i="1"/>
  <c r="AD35" i="1"/>
  <c r="Z35" i="1"/>
  <c r="Q35" i="1"/>
  <c r="AE34" i="1"/>
  <c r="AD34" i="1"/>
  <c r="Z34" i="1"/>
  <c r="Q34" i="1"/>
  <c r="P34" i="1"/>
  <c r="O34" i="1"/>
  <c r="AJ34" i="1" s="1"/>
  <c r="AK33" i="1"/>
  <c r="AE33" i="1"/>
  <c r="Q33" i="1"/>
  <c r="P33" i="1"/>
  <c r="AE32" i="1"/>
  <c r="Q32" i="1"/>
  <c r="P32" i="1"/>
  <c r="AE31" i="1"/>
  <c r="Q31" i="1"/>
  <c r="P31" i="1"/>
  <c r="AT16" i="1"/>
  <c r="AQ17" i="1" s="1"/>
  <c r="AT17" i="1" s="1"/>
  <c r="AQ18" i="1" s="1"/>
  <c r="P18" i="1" s="1"/>
  <c r="Z17" i="1"/>
  <c r="Z18" i="1"/>
  <c r="Z19" i="1"/>
  <c r="Z20" i="1"/>
  <c r="Z21" i="1"/>
  <c r="Z22" i="1"/>
  <c r="Z16" i="1"/>
  <c r="Q14" i="1"/>
  <c r="Q15" i="1"/>
  <c r="Q16" i="1"/>
  <c r="Q17" i="1"/>
  <c r="Q18" i="1"/>
  <c r="Q19" i="1"/>
  <c r="Q20" i="1"/>
  <c r="Q21" i="1"/>
  <c r="Q22" i="1"/>
  <c r="Q13" i="1"/>
  <c r="F22" i="1"/>
  <c r="O16" i="1"/>
  <c r="AJ16" i="1" s="1"/>
  <c r="AD17" i="1"/>
  <c r="AD18" i="1"/>
  <c r="AD19" i="1"/>
  <c r="AD20" i="1"/>
  <c r="AD21" i="1"/>
  <c r="AD16" i="1"/>
  <c r="AK21" i="1"/>
  <c r="AK18" i="1"/>
  <c r="AK15" i="1"/>
  <c r="AH18" i="1"/>
  <c r="AH17" i="1"/>
  <c r="AE14" i="1"/>
  <c r="AE15" i="1"/>
  <c r="AE16" i="1"/>
  <c r="AE17" i="1"/>
  <c r="AE18" i="1"/>
  <c r="AE19" i="1"/>
  <c r="AE20" i="1"/>
  <c r="AE21" i="1"/>
  <c r="AE22" i="1"/>
  <c r="AE13" i="1"/>
  <c r="P17" i="1"/>
  <c r="P16" i="1"/>
  <c r="P15" i="1"/>
  <c r="P14" i="1"/>
  <c r="P13" i="1"/>
  <c r="E22" i="1"/>
  <c r="E21" i="1"/>
  <c r="E20" i="1"/>
  <c r="E19" i="1"/>
  <c r="E18" i="1"/>
  <c r="E17" i="1"/>
  <c r="E16" i="1"/>
  <c r="E15" i="1"/>
  <c r="E14" i="1"/>
  <c r="E13" i="1"/>
  <c r="D22" i="1"/>
  <c r="X22" i="1" s="1"/>
  <c r="D21" i="1"/>
  <c r="X21" i="1" s="1"/>
  <c r="D20" i="1"/>
  <c r="X20" i="1" s="1"/>
  <c r="D19" i="1"/>
  <c r="X19" i="1" s="1"/>
  <c r="D18" i="1"/>
  <c r="X18" i="1" s="1"/>
  <c r="D17" i="1"/>
  <c r="X17" i="1" s="1"/>
  <c r="D16" i="1"/>
  <c r="X16" i="1" s="1"/>
  <c r="D15" i="1"/>
  <c r="D14" i="1"/>
  <c r="X14" i="1" s="1"/>
  <c r="D13" i="1"/>
  <c r="Y56" i="1" l="1"/>
  <c r="AA56" i="1" s="1"/>
  <c r="Y54" i="1"/>
  <c r="AA54" i="1" s="1"/>
  <c r="I56" i="1"/>
  <c r="F55" i="1" s="1"/>
  <c r="G55" i="1" s="1"/>
  <c r="M55" i="1" s="1"/>
  <c r="AG55" i="1" s="1"/>
  <c r="Y36" i="1"/>
  <c r="I35" i="1"/>
  <c r="F34" i="1" s="1"/>
  <c r="G34" i="1" s="1"/>
  <c r="I39" i="1"/>
  <c r="F38" i="1" s="1"/>
  <c r="G38" i="1" s="1"/>
  <c r="Y39" i="1"/>
  <c r="P53" i="1"/>
  <c r="AT53" i="1"/>
  <c r="AQ54" i="1" s="1"/>
  <c r="AT54" i="1" s="1"/>
  <c r="AQ55" i="1" s="1"/>
  <c r="AI55" i="1" s="1"/>
  <c r="AI53" i="1"/>
  <c r="Y57" i="1"/>
  <c r="Y53" i="1"/>
  <c r="AA53" i="1" s="1"/>
  <c r="Y52" i="1"/>
  <c r="AA52" i="1" s="1"/>
  <c r="AT55" i="1"/>
  <c r="AQ56" i="1" s="1"/>
  <c r="I53" i="1"/>
  <c r="I55" i="1"/>
  <c r="I57" i="1"/>
  <c r="F56" i="1" s="1"/>
  <c r="G56" i="1" s="1"/>
  <c r="G58" i="1"/>
  <c r="Y58" i="1"/>
  <c r="AA58" i="1" s="1"/>
  <c r="I49" i="1"/>
  <c r="X49" i="1"/>
  <c r="I50" i="1"/>
  <c r="X55" i="1"/>
  <c r="X57" i="1"/>
  <c r="I58" i="1"/>
  <c r="F57" i="1" s="1"/>
  <c r="G57" i="1" s="1"/>
  <c r="I51" i="1"/>
  <c r="I52" i="1"/>
  <c r="I54" i="1"/>
  <c r="Y55" i="1"/>
  <c r="AT35" i="1"/>
  <c r="AQ36" i="1" s="1"/>
  <c r="AI36" i="1" s="1"/>
  <c r="P35" i="1"/>
  <c r="AI35" i="1"/>
  <c r="I37" i="1"/>
  <c r="F36" i="1" s="1"/>
  <c r="G36" i="1" s="1"/>
  <c r="Y38" i="1"/>
  <c r="Y40" i="1"/>
  <c r="I34" i="1"/>
  <c r="F33" i="1" s="1"/>
  <c r="G33" i="1" s="1"/>
  <c r="I40" i="1"/>
  <c r="F39" i="1" s="1"/>
  <c r="G39" i="1" s="1"/>
  <c r="X40" i="1"/>
  <c r="Y34" i="1"/>
  <c r="Y37" i="1"/>
  <c r="X34" i="1"/>
  <c r="Y35" i="1"/>
  <c r="X39" i="1"/>
  <c r="I33" i="1"/>
  <c r="X33" i="1"/>
  <c r="I32" i="1"/>
  <c r="X35" i="1"/>
  <c r="X37" i="1"/>
  <c r="G40" i="1"/>
  <c r="I31" i="1"/>
  <c r="I36" i="1"/>
  <c r="I38" i="1"/>
  <c r="F37" i="1" s="1"/>
  <c r="G37" i="1" s="1"/>
  <c r="X31" i="1"/>
  <c r="X36" i="1"/>
  <c r="X38" i="1"/>
  <c r="AT18" i="1"/>
  <c r="AQ19" i="1" s="1"/>
  <c r="AT19" i="1" s="1"/>
  <c r="AI18" i="1"/>
  <c r="I21" i="1"/>
  <c r="F20" i="1" s="1"/>
  <c r="G20" i="1" s="1"/>
  <c r="I13" i="1"/>
  <c r="Y16" i="1"/>
  <c r="AA16" i="1" s="1"/>
  <c r="X13" i="1"/>
  <c r="G22" i="1"/>
  <c r="I17" i="1"/>
  <c r="F16" i="1" s="1"/>
  <c r="G16" i="1" s="1"/>
  <c r="I20" i="1"/>
  <c r="F19" i="1" s="1"/>
  <c r="G19" i="1" s="1"/>
  <c r="I16" i="1"/>
  <c r="F15" i="1" s="1"/>
  <c r="G15" i="1" s="1"/>
  <c r="I19" i="1"/>
  <c r="F18" i="1" s="1"/>
  <c r="G18" i="1" s="1"/>
  <c r="I15" i="1"/>
  <c r="F14" i="1" s="1"/>
  <c r="G14" i="1" s="1"/>
  <c r="Y22" i="1"/>
  <c r="AA22" i="1" s="1"/>
  <c r="I22" i="1"/>
  <c r="F21" i="1" s="1"/>
  <c r="G21" i="1" s="1"/>
  <c r="I18" i="1"/>
  <c r="F17" i="1" s="1"/>
  <c r="G17" i="1" s="1"/>
  <c r="I14" i="1"/>
  <c r="F13" i="1" s="1"/>
  <c r="G13" i="1" s="1"/>
  <c r="Y17" i="1"/>
  <c r="AA17" i="1" s="1"/>
  <c r="Y21" i="1"/>
  <c r="AA21" i="1" s="1"/>
  <c r="Y19" i="1"/>
  <c r="AA19" i="1" s="1"/>
  <c r="Y18" i="1"/>
  <c r="AA18" i="1" s="1"/>
  <c r="X15" i="1"/>
  <c r="Y20" i="1"/>
  <c r="AA20" i="1" s="1"/>
  <c r="AA57" i="1" l="1"/>
  <c r="AI54" i="1"/>
  <c r="P54" i="1"/>
  <c r="AA36" i="1"/>
  <c r="AA39" i="1"/>
  <c r="P55" i="1"/>
  <c r="AA38" i="1"/>
  <c r="L55" i="1"/>
  <c r="AF55" i="1" s="1"/>
  <c r="AC52" i="1"/>
  <c r="M57" i="1"/>
  <c r="AG57" i="1" s="1"/>
  <c r="L57" i="1"/>
  <c r="AF57" i="1" s="1"/>
  <c r="M56" i="1"/>
  <c r="AG56" i="1" s="1"/>
  <c r="L56" i="1"/>
  <c r="AF56" i="1" s="1"/>
  <c r="F53" i="1"/>
  <c r="G53" i="1" s="1"/>
  <c r="AC57" i="1"/>
  <c r="AC58" i="1"/>
  <c r="F54" i="1"/>
  <c r="G54" i="1" s="1"/>
  <c r="AC55" i="1"/>
  <c r="F51" i="1"/>
  <c r="G51" i="1" s="1"/>
  <c r="AC53" i="1"/>
  <c r="F49" i="1"/>
  <c r="G49" i="1" s="1"/>
  <c r="M58" i="1"/>
  <c r="AG58" i="1" s="1"/>
  <c r="L58" i="1"/>
  <c r="AF58" i="1" s="1"/>
  <c r="AT56" i="1"/>
  <c r="AQ57" i="1" s="1"/>
  <c r="P56" i="1"/>
  <c r="AI56" i="1"/>
  <c r="AC54" i="1"/>
  <c r="F50" i="1"/>
  <c r="G50" i="1" s="1"/>
  <c r="AA55" i="1"/>
  <c r="AC56" i="1"/>
  <c r="F52" i="1"/>
  <c r="G52" i="1" s="1"/>
  <c r="AT36" i="1"/>
  <c r="AQ37" i="1" s="1"/>
  <c r="AT37" i="1" s="1"/>
  <c r="AQ38" i="1" s="1"/>
  <c r="P36" i="1"/>
  <c r="AC38" i="1"/>
  <c r="AA34" i="1"/>
  <c r="AA40" i="1"/>
  <c r="AA35" i="1"/>
  <c r="AA37" i="1"/>
  <c r="L33" i="1"/>
  <c r="AF33" i="1" s="1"/>
  <c r="M33" i="1"/>
  <c r="AG33" i="1" s="1"/>
  <c r="L36" i="1"/>
  <c r="AF36" i="1" s="1"/>
  <c r="M36" i="1"/>
  <c r="AG36" i="1" s="1"/>
  <c r="M40" i="1"/>
  <c r="AG40" i="1" s="1"/>
  <c r="L40" i="1"/>
  <c r="AF40" i="1" s="1"/>
  <c r="L34" i="1"/>
  <c r="AF34" i="1" s="1"/>
  <c r="M34" i="1"/>
  <c r="AG34" i="1" s="1"/>
  <c r="L38" i="1"/>
  <c r="AF38" i="1" s="1"/>
  <c r="M38" i="1"/>
  <c r="AG38" i="1" s="1"/>
  <c r="M37" i="1"/>
  <c r="AG37" i="1" s="1"/>
  <c r="L37" i="1"/>
  <c r="AF37" i="1" s="1"/>
  <c r="L39" i="1"/>
  <c r="AF39" i="1" s="1"/>
  <c r="M39" i="1"/>
  <c r="AG39" i="1" s="1"/>
  <c r="AC35" i="1"/>
  <c r="F31" i="1"/>
  <c r="G31" i="1" s="1"/>
  <c r="F35" i="1"/>
  <c r="G35" i="1" s="1"/>
  <c r="AC39" i="1"/>
  <c r="AC40" i="1"/>
  <c r="AC34" i="1"/>
  <c r="AC36" i="1"/>
  <c r="F32" i="1"/>
  <c r="G32" i="1" s="1"/>
  <c r="AC37" i="1"/>
  <c r="AQ20" i="1"/>
  <c r="AT20" i="1" s="1"/>
  <c r="P19" i="1"/>
  <c r="AI19" i="1"/>
  <c r="M15" i="1"/>
  <c r="AG15" i="1" s="1"/>
  <c r="L15" i="1"/>
  <c r="AF15" i="1" s="1"/>
  <c r="M17" i="1"/>
  <c r="L17" i="1"/>
  <c r="AF17" i="1" s="1"/>
  <c r="M22" i="1"/>
  <c r="L22" i="1"/>
  <c r="AF22" i="1" s="1"/>
  <c r="M21" i="1"/>
  <c r="L21" i="1"/>
  <c r="AF21" i="1" s="1"/>
  <c r="M18" i="1"/>
  <c r="AG18" i="1" s="1"/>
  <c r="L18" i="1"/>
  <c r="M13" i="1"/>
  <c r="AG13" i="1" s="1"/>
  <c r="L13" i="1"/>
  <c r="AF13" i="1" s="1"/>
  <c r="L20" i="1"/>
  <c r="AF20" i="1" s="1"/>
  <c r="M20" i="1"/>
  <c r="AG20" i="1" s="1"/>
  <c r="M14" i="1"/>
  <c r="AG14" i="1" s="1"/>
  <c r="L14" i="1"/>
  <c r="AF14" i="1" s="1"/>
  <c r="L16" i="1"/>
  <c r="AF16" i="1" s="1"/>
  <c r="M16" i="1"/>
  <c r="AG16" i="1" s="1"/>
  <c r="M19" i="1"/>
  <c r="AG19" i="1" s="1"/>
  <c r="L19" i="1"/>
  <c r="AG22" i="1"/>
  <c r="AC20" i="1"/>
  <c r="AG17" i="1"/>
  <c r="AF19" i="1"/>
  <c r="AC17" i="1"/>
  <c r="AI37" i="1" l="1"/>
  <c r="AM37" i="1" s="1"/>
  <c r="AM15" i="1"/>
  <c r="AM36" i="1"/>
  <c r="AM17" i="1"/>
  <c r="AM33" i="1"/>
  <c r="S19" i="1"/>
  <c r="T19" i="1" s="1"/>
  <c r="U19" i="1" s="1"/>
  <c r="AM14" i="1"/>
  <c r="AM13" i="1"/>
  <c r="P37" i="1"/>
  <c r="AM34" i="1"/>
  <c r="AO34" i="1" s="1"/>
  <c r="W35" i="1" s="1"/>
  <c r="S55" i="1"/>
  <c r="T55" i="1" s="1"/>
  <c r="U55" i="1" s="1"/>
  <c r="AM55" i="1"/>
  <c r="S57" i="1"/>
  <c r="M50" i="1"/>
  <c r="AG50" i="1" s="1"/>
  <c r="L50" i="1"/>
  <c r="AF50" i="1" s="1"/>
  <c r="P57" i="1"/>
  <c r="AI57" i="1"/>
  <c r="AM57" i="1" s="1"/>
  <c r="AT57" i="1"/>
  <c r="AQ58" i="1" s="1"/>
  <c r="L54" i="1"/>
  <c r="AF54" i="1" s="1"/>
  <c r="M54" i="1"/>
  <c r="AG54" i="1" s="1"/>
  <c r="L52" i="1"/>
  <c r="AF52" i="1" s="1"/>
  <c r="M52" i="1"/>
  <c r="AG52" i="1" s="1"/>
  <c r="L51" i="1"/>
  <c r="AF51" i="1" s="1"/>
  <c r="M51" i="1"/>
  <c r="AG51" i="1" s="1"/>
  <c r="AM56" i="1"/>
  <c r="S56" i="1"/>
  <c r="T56" i="1" s="1"/>
  <c r="U56" i="1" s="1"/>
  <c r="M49" i="1"/>
  <c r="AG49" i="1" s="1"/>
  <c r="L49" i="1"/>
  <c r="AF49" i="1" s="1"/>
  <c r="M53" i="1"/>
  <c r="AG53" i="1" s="1"/>
  <c r="L53" i="1"/>
  <c r="AF53" i="1" s="1"/>
  <c r="S34" i="1"/>
  <c r="T34" i="1" s="1"/>
  <c r="U34" i="1" s="1"/>
  <c r="S20" i="1"/>
  <c r="S18" i="1"/>
  <c r="T18" i="1" s="1"/>
  <c r="U18" i="1" s="1"/>
  <c r="S37" i="1"/>
  <c r="P38" i="1"/>
  <c r="AT38" i="1"/>
  <c r="AQ39" i="1" s="1"/>
  <c r="AI38" i="1"/>
  <c r="AM38" i="1" s="1"/>
  <c r="M35" i="1"/>
  <c r="AG35" i="1" s="1"/>
  <c r="L35" i="1"/>
  <c r="AF35" i="1" s="1"/>
  <c r="L32" i="1"/>
  <c r="AF32" i="1" s="1"/>
  <c r="M32" i="1"/>
  <c r="AG32" i="1" s="1"/>
  <c r="M31" i="1"/>
  <c r="AG31" i="1" s="1"/>
  <c r="L31" i="1"/>
  <c r="AF31" i="1" s="1"/>
  <c r="S39" i="1"/>
  <c r="S38" i="1"/>
  <c r="S36" i="1"/>
  <c r="T36" i="1" s="1"/>
  <c r="U36" i="1" s="1"/>
  <c r="AQ21" i="1"/>
  <c r="AT21" i="1" s="1"/>
  <c r="AI20" i="1"/>
  <c r="AM20" i="1" s="1"/>
  <c r="P20" i="1"/>
  <c r="S17" i="1"/>
  <c r="T17" i="1" s="1"/>
  <c r="U17" i="1" s="1"/>
  <c r="S16" i="1"/>
  <c r="T16" i="1" s="1"/>
  <c r="U16" i="1" s="1"/>
  <c r="S21" i="1"/>
  <c r="AF18" i="1"/>
  <c r="AG21" i="1"/>
  <c r="AC19" i="1"/>
  <c r="AM19" i="1" s="1"/>
  <c r="AC16" i="1"/>
  <c r="AM16" i="1" s="1"/>
  <c r="AC22" i="1"/>
  <c r="AC21" i="1"/>
  <c r="AC18" i="1"/>
  <c r="AM31" i="1" l="1"/>
  <c r="AM35" i="1"/>
  <c r="AO35" i="1" s="1"/>
  <c r="W36" i="1" s="1"/>
  <c r="AO36" i="1" s="1"/>
  <c r="W37" i="1" s="1"/>
  <c r="AO37" i="1" s="1"/>
  <c r="W38" i="1" s="1"/>
  <c r="AO38" i="1" s="1"/>
  <c r="W39" i="1" s="1"/>
  <c r="AM32" i="1"/>
  <c r="AM18" i="1"/>
  <c r="T37" i="1"/>
  <c r="U37" i="1" s="1"/>
  <c r="T20" i="1"/>
  <c r="U20" i="1" s="1"/>
  <c r="AM50" i="1"/>
  <c r="T57" i="1"/>
  <c r="U57" i="1" s="1"/>
  <c r="AM54" i="1"/>
  <c r="AM53" i="1"/>
  <c r="S53" i="1"/>
  <c r="T53" i="1" s="1"/>
  <c r="U53" i="1" s="1"/>
  <c r="AM49" i="1"/>
  <c r="S52" i="1"/>
  <c r="T52" i="1" s="1"/>
  <c r="U52" i="1" s="1"/>
  <c r="S54" i="1"/>
  <c r="T54" i="1" s="1"/>
  <c r="U54" i="1" s="1"/>
  <c r="AM51" i="1"/>
  <c r="AM52" i="1"/>
  <c r="AO52" i="1" s="1"/>
  <c r="W53" i="1" s="1"/>
  <c r="AT58" i="1"/>
  <c r="AI58" i="1"/>
  <c r="AM58" i="1" s="1"/>
  <c r="P58" i="1"/>
  <c r="T38" i="1"/>
  <c r="U38" i="1" s="1"/>
  <c r="S35" i="1"/>
  <c r="T35" i="1" s="1"/>
  <c r="U35" i="1" s="1"/>
  <c r="AT39" i="1"/>
  <c r="AQ40" i="1" s="1"/>
  <c r="P39" i="1"/>
  <c r="T39" i="1" s="1"/>
  <c r="U39" i="1" s="1"/>
  <c r="AI39" i="1"/>
  <c r="AM39" i="1" s="1"/>
  <c r="AQ22" i="1"/>
  <c r="AT22" i="1" s="1"/>
  <c r="P21" i="1"/>
  <c r="T21" i="1" s="1"/>
  <c r="U21" i="1" s="1"/>
  <c r="AI21" i="1"/>
  <c r="AM21" i="1" s="1"/>
  <c r="AO16" i="1"/>
  <c r="AO53" i="1" l="1"/>
  <c r="W54" i="1" s="1"/>
  <c r="AO54" i="1" s="1"/>
  <c r="W55" i="1" s="1"/>
  <c r="AO55" i="1" s="1"/>
  <c r="W56" i="1" s="1"/>
  <c r="AO56" i="1" s="1"/>
  <c r="W57" i="1" s="1"/>
  <c r="AO57" i="1" s="1"/>
  <c r="W58" i="1" s="1"/>
  <c r="AI40" i="1"/>
  <c r="AM40" i="1" s="1"/>
  <c r="P40" i="1"/>
  <c r="AT40" i="1"/>
  <c r="AO39" i="1"/>
  <c r="W40" i="1" s="1"/>
  <c r="AI22" i="1"/>
  <c r="AM22" i="1" s="1"/>
  <c r="P22" i="1"/>
  <c r="W17" i="1"/>
  <c r="AO17" i="1" l="1"/>
  <c r="W18" i="1" l="1"/>
  <c r="AO18" i="1" l="1"/>
  <c r="W19" i="1" l="1"/>
  <c r="AO19" i="1" l="1"/>
  <c r="W20" i="1" l="1"/>
  <c r="AO20" i="1" l="1"/>
  <c r="W21" i="1" s="1"/>
  <c r="AO21" i="1" l="1"/>
  <c r="W22" i="1" s="1"/>
</calcChain>
</file>

<file path=xl/sharedStrings.xml><?xml version="1.0" encoding="utf-8"?>
<sst xmlns="http://schemas.openxmlformats.org/spreadsheetml/2006/main" count="177" uniqueCount="59">
  <si>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</si>
  <si>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</si>
  <si>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</si>
  <si>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</si>
  <si>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</si>
  <si>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</si>
  <si>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</si>
  <si>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</si>
  <si>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</si>
  <si>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</si>
  <si>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Month, 2019 </t>
  </si>
  <si>
    <t xml:space="preserve">Revenues </t>
  </si>
  <si>
    <t xml:space="preserve">Cash Sales </t>
  </si>
  <si>
    <t xml:space="preserve">Credit Sales </t>
  </si>
  <si>
    <t>Expenses</t>
  </si>
  <si>
    <t>Total</t>
  </si>
  <si>
    <t>Wages and Salaries</t>
  </si>
  <si>
    <t xml:space="preserve">Adm. Exp. </t>
  </si>
  <si>
    <t>Power and Fuel</t>
  </si>
  <si>
    <t>Depreciation</t>
  </si>
  <si>
    <t>Interest on Loan O/s</t>
  </si>
  <si>
    <t>PBIT</t>
  </si>
  <si>
    <t>PBT</t>
  </si>
  <si>
    <t>PAT</t>
  </si>
  <si>
    <t>Profit Calculation</t>
  </si>
  <si>
    <t xml:space="preserve">Cash Inflows </t>
  </si>
  <si>
    <t xml:space="preserve">Opening Cash Balance </t>
  </si>
  <si>
    <t xml:space="preserve">Cash Outflows </t>
  </si>
  <si>
    <t>Average Consumption</t>
  </si>
  <si>
    <t xml:space="preserve">Average Consumption </t>
  </si>
  <si>
    <t xml:space="preserve">Marketing Expenses </t>
  </si>
  <si>
    <t xml:space="preserve">Power and Fuel </t>
  </si>
  <si>
    <t xml:space="preserve">CapEx </t>
  </si>
  <si>
    <t xml:space="preserve">Interest on Loan Paid </t>
  </si>
  <si>
    <t>Tax of PY Paid in CY</t>
  </si>
  <si>
    <t xml:space="preserve">Total </t>
  </si>
  <si>
    <t xml:space="preserve">Closing Cash Balance </t>
  </si>
  <si>
    <t xml:space="preserve">Wages and Salaries </t>
  </si>
  <si>
    <t>Tax of CY O/s</t>
  </si>
  <si>
    <t>Tax Rate @35%</t>
  </si>
  <si>
    <t xml:space="preserve">Tax Liability Paid </t>
  </si>
  <si>
    <t xml:space="preserve">Opening Balance </t>
  </si>
  <si>
    <t xml:space="preserve">Loans Taken </t>
  </si>
  <si>
    <t xml:space="preserve">Loans Repaid </t>
  </si>
  <si>
    <t xml:space="preserve">Closing Balance </t>
  </si>
  <si>
    <t xml:space="preserve">Fixed Adm. And Marketing Exp. </t>
  </si>
  <si>
    <t xml:space="preserve">Variable Adm. And Marketing Exp. </t>
  </si>
  <si>
    <t>Average Consumption Prepaid</t>
  </si>
  <si>
    <t>Interest Rate on New Loans @16%</t>
  </si>
  <si>
    <t xml:space="preserve">Loan Account for New Loans </t>
  </si>
  <si>
    <t xml:space="preserve">Submitted by: Pancham Khullar </t>
  </si>
  <si>
    <t>Phone Number: 09988625318</t>
  </si>
  <si>
    <t xml:space="preserve">Month Opted: June 2023 </t>
  </si>
  <si>
    <t xml:space="preserve">Case 30.2 - Cash Management (Project 3) </t>
  </si>
  <si>
    <t xml:space="preserve">Cash Budget for PPC (Payal Plastics Company) from April 2019 to September 2019 </t>
  </si>
  <si>
    <t xml:space="preserve">Revised Cash Budget (For Sales Forcast of +10%) </t>
  </si>
  <si>
    <t xml:space="preserve">Revised Cash Budget (For Sales Forcast of -10%) </t>
  </si>
  <si>
    <t>Project-3 Cash Management Submitted by Pancham Khullar.docx</t>
  </si>
  <si>
    <t xml:space="preserve">For Explanation, Refer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</si>
</sst>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left"/>
    </xf>
    <xf numFmtId="0" fontId="4" fillId="0" borderId="0" xfId="2"/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Project-3%20Cash%20Management%20Submitted%20by%20Pancham%20Khullar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0C55-BC5A-478A-876E-17E5420A0575}">
  <dimension ref="B2:AT61"/>
  <sheetViews>
    <sheetView tabSelected="1" zoomScaleNormal="100" workbookViewId="0">
      <selection activeCell="C9" sqref="C9"/>
    </sheetView>
  </sheetViews>
  <sheetFormatPr defaultRowHeight="14.4" x14ac:dyDescent="0.3"/>
  <cols>
    <col min="2" max="2" width="25.6640625" customWidth="1"/>
    <col min="4" max="4" width="14.21875" customWidth="1"/>
    <col min="5" max="5" width="16.109375" customWidth="1"/>
    <col min="6" max="6" width="26.44140625" customWidth="1"/>
    <col min="7" max="7" width="15.77734375" customWidth="1"/>
    <col min="9" max="9" width="20.5546875" customWidth="1"/>
    <col min="10" max="10" width="17.21875" customWidth="1"/>
    <col min="11" max="11" width="28.5546875" customWidth="1"/>
    <col min="12" max="12" width="30.33203125" customWidth="1"/>
    <col min="13" max="13" width="14.44140625" customWidth="1"/>
    <col min="14" max="14" width="13.88671875" bestFit="1" customWidth="1"/>
    <col min="15" max="15" width="18.33203125" customWidth="1"/>
    <col min="16" max="16" width="18.109375" customWidth="1"/>
    <col min="17" max="17" width="13.88671875" bestFit="1" customWidth="1"/>
    <col min="18" max="18" width="12.77734375" customWidth="1"/>
    <col min="19" max="19" width="15.33203125" bestFit="1" customWidth="1"/>
    <col min="20" max="20" width="15.33203125" customWidth="1"/>
    <col min="21" max="21" width="15" customWidth="1"/>
    <col min="23" max="23" width="20.33203125" customWidth="1"/>
    <col min="24" max="24" width="13.88671875" bestFit="1" customWidth="1"/>
    <col min="25" max="25" width="17.44140625" customWidth="1"/>
    <col min="26" max="27" width="16.77734375" customWidth="1"/>
    <col min="29" max="30" width="19.77734375" customWidth="1"/>
    <col min="31" max="31" width="14.6640625" customWidth="1"/>
    <col min="32" max="32" width="18.33203125" customWidth="1"/>
    <col min="33" max="33" width="14.109375" customWidth="1"/>
    <col min="34" max="34" width="13.88671875" bestFit="1" customWidth="1"/>
    <col min="35" max="35" width="19" customWidth="1"/>
    <col min="36" max="36" width="17.88671875" customWidth="1"/>
    <col min="37" max="38" width="15.109375" customWidth="1"/>
    <col min="39" max="39" width="17" customWidth="1"/>
    <col min="41" max="41" width="19.33203125" customWidth="1"/>
    <col min="43" max="43" width="15.88671875" customWidth="1"/>
    <col min="44" max="44" width="15.6640625" customWidth="1"/>
    <col min="45" max="45" width="15.33203125" bestFit="1" customWidth="1"/>
    <col min="46" max="46" width="15.88671875" customWidth="1"/>
  </cols>
  <sheetData>
    <row r="2" spans="2:46" x14ac:dyDescent="0.3">
      <c r="B2" s="5" t="s">
        <v>53</v>
      </c>
    </row>
    <row r="3" spans="2:46" x14ac:dyDescent="0.3">
      <c r="B3" s="5"/>
    </row>
    <row r="4" spans="2:46" x14ac:dyDescent="0.3">
      <c r="B4" s="5" t="s">
        <v>50</v>
      </c>
    </row>
    <row r="5" spans="2:46" x14ac:dyDescent="0.3">
      <c r="B5" s="5" t="s">
        <v>51</v>
      </c>
    </row>
    <row r="6" spans="2:46" x14ac:dyDescent="0.3">
      <c r="B6" s="5" t="s">
        <v>52</v>
      </c>
    </row>
    <row r="7" spans="2:46" x14ac:dyDescent="0.3">
      <c r="B7" s="5"/>
    </row>
    <row r="8" spans="2:46" x14ac:dyDescent="0.3">
      <c r="B8" s="5" t="s">
        <v>54</v>
      </c>
    </row>
    <row r="9" spans="2:46" x14ac:dyDescent="0.3">
      <c r="B9" s="5" t="s">
        <v>58</v>
      </c>
      <c r="C9" s="6" t="s">
        <v>57</v>
      </c>
    </row>
    <row r="11" spans="2:46" s="2" customFormat="1" x14ac:dyDescent="0.3">
      <c r="B11" s="2" t="s">
        <v>10</v>
      </c>
      <c r="D11" s="7" t="s">
        <v>11</v>
      </c>
      <c r="E11" s="7"/>
      <c r="F11" s="7"/>
      <c r="G11" s="1"/>
      <c r="I11" s="7" t="s">
        <v>14</v>
      </c>
      <c r="J11" s="7"/>
      <c r="K11" s="7"/>
      <c r="L11" s="7"/>
      <c r="M11" s="7"/>
      <c r="N11" s="7"/>
      <c r="O11" s="7"/>
      <c r="P11" s="7"/>
      <c r="Q11" s="7"/>
      <c r="S11" s="7" t="s">
        <v>24</v>
      </c>
      <c r="T11" s="7"/>
      <c r="U11" s="7"/>
      <c r="W11" s="1"/>
      <c r="X11" s="7" t="s">
        <v>25</v>
      </c>
      <c r="Y11" s="7"/>
      <c r="Z11" s="7"/>
      <c r="AC11" s="7" t="s">
        <v>27</v>
      </c>
      <c r="AD11" s="7"/>
      <c r="AE11" s="7"/>
      <c r="AF11" s="7"/>
      <c r="AG11" s="7"/>
      <c r="AH11" s="7"/>
      <c r="AI11" s="7"/>
      <c r="AJ11" s="7"/>
      <c r="AK11" s="7"/>
      <c r="AL11" s="7"/>
      <c r="AQ11" s="7" t="s">
        <v>49</v>
      </c>
      <c r="AR11" s="7"/>
      <c r="AS11" s="7"/>
      <c r="AT11" s="7"/>
    </row>
    <row r="12" spans="2:46" s="2" customFormat="1" x14ac:dyDescent="0.3">
      <c r="D12" s="2" t="s">
        <v>12</v>
      </c>
      <c r="E12" s="2" t="s">
        <v>13</v>
      </c>
      <c r="F12" s="2" t="s">
        <v>47</v>
      </c>
      <c r="G12" s="2" t="s">
        <v>15</v>
      </c>
      <c r="I12" s="2" t="s">
        <v>28</v>
      </c>
      <c r="J12" s="2" t="s">
        <v>16</v>
      </c>
      <c r="K12" s="2" t="s">
        <v>45</v>
      </c>
      <c r="L12" s="2" t="s">
        <v>46</v>
      </c>
      <c r="M12" s="2" t="s">
        <v>18</v>
      </c>
      <c r="N12" s="2" t="s">
        <v>19</v>
      </c>
      <c r="O12" s="2" t="s">
        <v>34</v>
      </c>
      <c r="P12" s="2" t="s">
        <v>20</v>
      </c>
      <c r="Q12" s="2" t="s">
        <v>38</v>
      </c>
      <c r="S12" s="2" t="s">
        <v>21</v>
      </c>
      <c r="T12" s="2" t="s">
        <v>22</v>
      </c>
      <c r="U12" s="2" t="s">
        <v>23</v>
      </c>
      <c r="W12" s="2" t="s">
        <v>26</v>
      </c>
      <c r="X12" s="2" t="s">
        <v>12</v>
      </c>
      <c r="Y12" s="2" t="s">
        <v>13</v>
      </c>
      <c r="Z12" s="2" t="s">
        <v>42</v>
      </c>
      <c r="AA12" s="2" t="s">
        <v>15</v>
      </c>
      <c r="AC12" s="2" t="s">
        <v>29</v>
      </c>
      <c r="AD12" s="2" t="s">
        <v>37</v>
      </c>
      <c r="AE12" s="2" t="s">
        <v>17</v>
      </c>
      <c r="AF12" s="2" t="s">
        <v>30</v>
      </c>
      <c r="AG12" s="2" t="s">
        <v>31</v>
      </c>
      <c r="AH12" s="2" t="s">
        <v>32</v>
      </c>
      <c r="AI12" s="2" t="s">
        <v>33</v>
      </c>
      <c r="AJ12" s="2" t="s">
        <v>34</v>
      </c>
      <c r="AK12" s="2" t="s">
        <v>40</v>
      </c>
      <c r="AL12" s="2" t="s">
        <v>43</v>
      </c>
      <c r="AM12" s="2" t="s">
        <v>35</v>
      </c>
      <c r="AO12" s="2" t="s">
        <v>36</v>
      </c>
      <c r="AQ12" s="2" t="s">
        <v>41</v>
      </c>
      <c r="AR12" s="2" t="s">
        <v>42</v>
      </c>
      <c r="AS12" s="2" t="s">
        <v>43</v>
      </c>
      <c r="AT12" s="2" t="s">
        <v>44</v>
      </c>
    </row>
    <row r="13" spans="2:46" x14ac:dyDescent="0.3">
      <c r="B13" t="s">
        <v>0</v>
      </c>
      <c r="D13" s="3">
        <f>24000000*20%</f>
        <v>4800000</v>
      </c>
      <c r="E13" s="3">
        <f>24000000*80%</f>
        <v>19200000</v>
      </c>
      <c r="F13" s="3">
        <f>I14*60%</f>
        <v>11760000</v>
      </c>
      <c r="G13" s="3">
        <f>SUM(D13:F13)</f>
        <v>35760000</v>
      </c>
      <c r="H13" s="3"/>
      <c r="I13" s="3">
        <f>(D13+E13)*70%</f>
        <v>16800000</v>
      </c>
      <c r="J13" s="3"/>
      <c r="K13" s="3">
        <v>250000</v>
      </c>
      <c r="L13" s="4">
        <f>G13*5%</f>
        <v>1788000</v>
      </c>
      <c r="M13" s="4">
        <f t="shared" ref="M13:M22" si="0">G13*4%</f>
        <v>1430400</v>
      </c>
      <c r="N13" s="3">
        <v>1200000</v>
      </c>
      <c r="O13" s="3">
        <v>0</v>
      </c>
      <c r="P13" s="3">
        <f>(2000000*16%)/12</f>
        <v>26666.666666666668</v>
      </c>
      <c r="Q13" s="3">
        <f>2400000/12</f>
        <v>200000</v>
      </c>
      <c r="R13" s="3"/>
      <c r="S13" s="4"/>
      <c r="T13" s="4"/>
      <c r="U13" s="4"/>
      <c r="X13" s="4">
        <f>D13</f>
        <v>4800000</v>
      </c>
      <c r="Z13" s="3">
        <v>0</v>
      </c>
      <c r="AC13" s="4"/>
      <c r="AD13" s="4"/>
      <c r="AE13" s="4">
        <f>K13</f>
        <v>250000</v>
      </c>
      <c r="AF13" s="4">
        <f>L13</f>
        <v>1788000</v>
      </c>
      <c r="AG13" s="4">
        <f>M13</f>
        <v>1430400</v>
      </c>
      <c r="AH13" s="3">
        <v>0</v>
      </c>
      <c r="AI13" s="3">
        <v>0</v>
      </c>
      <c r="AJ13" s="3">
        <v>0</v>
      </c>
      <c r="AK13" s="3">
        <v>0</v>
      </c>
      <c r="AL13" s="3">
        <f>AS13</f>
        <v>0</v>
      </c>
      <c r="AM13" s="4">
        <f>SUM(AC13:AL13)</f>
        <v>3468400</v>
      </c>
      <c r="AO13" s="4"/>
      <c r="AQ13" s="3">
        <v>0</v>
      </c>
      <c r="AR13" s="3">
        <v>0</v>
      </c>
      <c r="AS13" s="3">
        <v>0</v>
      </c>
      <c r="AT13" s="3">
        <v>0</v>
      </c>
    </row>
    <row r="14" spans="2:46" x14ac:dyDescent="0.3">
      <c r="B14" t="s">
        <v>1</v>
      </c>
      <c r="D14" s="3">
        <f>28000000*20%</f>
        <v>5600000</v>
      </c>
      <c r="E14" s="3">
        <f>28000000*80%</f>
        <v>22400000</v>
      </c>
      <c r="F14" s="3">
        <f t="shared" ref="F14:F22" si="1">I15*60%</f>
        <v>13440000</v>
      </c>
      <c r="G14" s="3">
        <f t="shared" ref="G14:G22" si="2">SUM(D14:F14)</f>
        <v>41440000</v>
      </c>
      <c r="H14" s="3"/>
      <c r="I14" s="3">
        <f t="shared" ref="I14:I22" si="3">(D14+E14)*70%</f>
        <v>19600000</v>
      </c>
      <c r="J14" s="3"/>
      <c r="K14" s="3">
        <v>250000</v>
      </c>
      <c r="L14" s="4">
        <f t="shared" ref="L14:L22" si="4">G14*5%</f>
        <v>2072000</v>
      </c>
      <c r="M14" s="4">
        <f t="shared" si="0"/>
        <v>1657600</v>
      </c>
      <c r="N14" s="3">
        <v>1200000</v>
      </c>
      <c r="O14" s="3">
        <v>0</v>
      </c>
      <c r="P14" s="3">
        <f t="shared" ref="P14:P17" si="5">(2000000*16%)/12</f>
        <v>26666.666666666668</v>
      </c>
      <c r="Q14" s="3">
        <f t="shared" ref="Q14:Q22" si="6">2400000/12</f>
        <v>200000</v>
      </c>
      <c r="R14" s="3"/>
      <c r="S14" s="4"/>
      <c r="T14" s="4"/>
      <c r="U14" s="4"/>
      <c r="X14" s="4">
        <f t="shared" ref="X14:X22" si="7">D14</f>
        <v>5600000</v>
      </c>
      <c r="Z14" s="3">
        <v>0</v>
      </c>
      <c r="AC14" s="4"/>
      <c r="AD14" s="4"/>
      <c r="AE14" s="4">
        <f t="shared" ref="AE14:AE22" si="8">K14</f>
        <v>250000</v>
      </c>
      <c r="AF14" s="4">
        <f t="shared" ref="AF14:AF22" si="9">L14</f>
        <v>2072000</v>
      </c>
      <c r="AG14" s="4">
        <f t="shared" ref="AG14:AG22" si="10">M14</f>
        <v>1657600</v>
      </c>
      <c r="AH14" s="3">
        <v>0</v>
      </c>
      <c r="AI14" s="3">
        <v>0</v>
      </c>
      <c r="AJ14" s="3">
        <v>0</v>
      </c>
      <c r="AK14" s="3">
        <v>0</v>
      </c>
      <c r="AL14" s="3">
        <f t="shared" ref="AL14:AL22" si="11">AS14</f>
        <v>0</v>
      </c>
      <c r="AM14" s="4">
        <f t="shared" ref="AM14:AM22" si="12">SUM(AC14:AL14)</f>
        <v>3979600</v>
      </c>
      <c r="AO14" s="4"/>
      <c r="AQ14" s="3">
        <v>0</v>
      </c>
      <c r="AR14" s="3">
        <v>0</v>
      </c>
      <c r="AS14" s="3">
        <v>0</v>
      </c>
      <c r="AT14" s="3">
        <v>0</v>
      </c>
    </row>
    <row r="15" spans="2:46" x14ac:dyDescent="0.3">
      <c r="B15" t="s">
        <v>2</v>
      </c>
      <c r="D15" s="3">
        <f>32000000*20%</f>
        <v>6400000</v>
      </c>
      <c r="E15" s="3">
        <f>32000000*80%</f>
        <v>25600000</v>
      </c>
      <c r="F15" s="3">
        <f t="shared" si="1"/>
        <v>10920000</v>
      </c>
      <c r="G15" s="3">
        <f t="shared" si="2"/>
        <v>42920000</v>
      </c>
      <c r="H15" s="3"/>
      <c r="I15" s="3">
        <f t="shared" si="3"/>
        <v>22400000</v>
      </c>
      <c r="J15" s="3"/>
      <c r="K15" s="3">
        <v>250000</v>
      </c>
      <c r="L15" s="4">
        <f>G15*5%</f>
        <v>2146000</v>
      </c>
      <c r="M15" s="4">
        <f t="shared" si="0"/>
        <v>1716800</v>
      </c>
      <c r="N15" s="3">
        <v>1200000</v>
      </c>
      <c r="O15" s="3">
        <v>0</v>
      </c>
      <c r="P15" s="3">
        <f t="shared" si="5"/>
        <v>26666.666666666668</v>
      </c>
      <c r="Q15" s="3">
        <f t="shared" si="6"/>
        <v>200000</v>
      </c>
      <c r="R15" s="3"/>
      <c r="S15" s="4"/>
      <c r="T15" s="4"/>
      <c r="U15" s="4"/>
      <c r="X15" s="4">
        <f t="shared" si="7"/>
        <v>6400000</v>
      </c>
      <c r="Z15" s="3">
        <v>0</v>
      </c>
      <c r="AC15" s="4"/>
      <c r="AD15" s="4"/>
      <c r="AE15" s="4">
        <f t="shared" si="8"/>
        <v>250000</v>
      </c>
      <c r="AF15" s="4">
        <f t="shared" si="9"/>
        <v>2146000</v>
      </c>
      <c r="AG15" s="4">
        <f t="shared" si="10"/>
        <v>1716800</v>
      </c>
      <c r="AH15" s="3">
        <v>0</v>
      </c>
      <c r="AI15" s="3">
        <v>0</v>
      </c>
      <c r="AJ15" s="3">
        <v>0</v>
      </c>
      <c r="AK15" s="3">
        <f>2400000/4</f>
        <v>600000</v>
      </c>
      <c r="AL15" s="3">
        <f t="shared" si="11"/>
        <v>0</v>
      </c>
      <c r="AM15" s="4">
        <f t="shared" si="12"/>
        <v>4712800</v>
      </c>
      <c r="AO15" s="4"/>
      <c r="AQ15" s="3">
        <v>0</v>
      </c>
      <c r="AR15" s="3">
        <v>0</v>
      </c>
      <c r="AS15" s="3">
        <v>0</v>
      </c>
      <c r="AT15" s="3">
        <v>0</v>
      </c>
    </row>
    <row r="16" spans="2:46" x14ac:dyDescent="0.3">
      <c r="B16" t="s">
        <v>3</v>
      </c>
      <c r="D16" s="3">
        <f>26000000*20%</f>
        <v>5200000</v>
      </c>
      <c r="E16" s="3">
        <f>26000000*80%</f>
        <v>20800000</v>
      </c>
      <c r="F16" s="3">
        <f t="shared" si="1"/>
        <v>8819999.9999999981</v>
      </c>
      <c r="G16" s="3">
        <f t="shared" si="2"/>
        <v>34820000</v>
      </c>
      <c r="H16" s="3"/>
      <c r="I16" s="3">
        <f t="shared" si="3"/>
        <v>18200000</v>
      </c>
      <c r="J16" s="3">
        <v>4200000</v>
      </c>
      <c r="K16" s="3">
        <v>250000</v>
      </c>
      <c r="L16" s="4">
        <f t="shared" si="4"/>
        <v>1741000</v>
      </c>
      <c r="M16" s="4">
        <f>G16*4%</f>
        <v>1392800</v>
      </c>
      <c r="N16" s="3">
        <v>1200000</v>
      </c>
      <c r="O16" s="3">
        <f>250000*35%</f>
        <v>87500</v>
      </c>
      <c r="P16" s="3">
        <f t="shared" si="5"/>
        <v>26666.666666666668</v>
      </c>
      <c r="Q16" s="3">
        <f t="shared" si="6"/>
        <v>200000</v>
      </c>
      <c r="R16" s="3"/>
      <c r="S16" s="4">
        <f>G16-(I16+J16+K16+L16+M16+N16)</f>
        <v>7836200</v>
      </c>
      <c r="T16" s="4">
        <f>S16-P16</f>
        <v>7809533.333333333</v>
      </c>
      <c r="U16" s="4">
        <f>T16-Q16</f>
        <v>7609533.333333333</v>
      </c>
      <c r="W16" s="3">
        <v>140000</v>
      </c>
      <c r="X16" s="4">
        <f t="shared" si="7"/>
        <v>5200000</v>
      </c>
      <c r="Y16" s="4">
        <f>((E13*20%)+(E14*30%)+(E15*50%))</f>
        <v>23360000</v>
      </c>
      <c r="Z16" s="4">
        <f>AR16</f>
        <v>11000000</v>
      </c>
      <c r="AA16" s="4">
        <f>SUM(X16:Z16)</f>
        <v>39560000</v>
      </c>
      <c r="AC16" s="4">
        <f>(I13*20%)+(I14*20%)+(I15*60%)</f>
        <v>20720000</v>
      </c>
      <c r="AD16" s="4">
        <f>J16</f>
        <v>4200000</v>
      </c>
      <c r="AE16" s="4">
        <f t="shared" si="8"/>
        <v>250000</v>
      </c>
      <c r="AF16" s="4">
        <f t="shared" si="9"/>
        <v>1741000</v>
      </c>
      <c r="AG16" s="4">
        <f t="shared" si="10"/>
        <v>1392800</v>
      </c>
      <c r="AH16" s="3">
        <v>0</v>
      </c>
      <c r="AI16" s="3">
        <v>0</v>
      </c>
      <c r="AJ16" s="3">
        <f>O16</f>
        <v>87500</v>
      </c>
      <c r="AK16" s="3">
        <v>0</v>
      </c>
      <c r="AL16" s="3">
        <f t="shared" si="11"/>
        <v>0</v>
      </c>
      <c r="AM16" s="4">
        <f t="shared" si="12"/>
        <v>28391300</v>
      </c>
      <c r="AO16" s="4">
        <f t="shared" ref="AO16:AO21" si="13">W16+AA16-AM16</f>
        <v>11308700</v>
      </c>
      <c r="AQ16" s="3">
        <v>0</v>
      </c>
      <c r="AR16" s="3">
        <v>11000000</v>
      </c>
      <c r="AS16" s="3">
        <v>0</v>
      </c>
      <c r="AT16" s="3">
        <f>AQ16+AR16-AS16</f>
        <v>11000000</v>
      </c>
    </row>
    <row r="17" spans="2:46" x14ac:dyDescent="0.3">
      <c r="B17" t="s">
        <v>4</v>
      </c>
      <c r="D17" s="3">
        <f>21000000*20%</f>
        <v>4200000</v>
      </c>
      <c r="E17" s="3">
        <f>21000000*80%</f>
        <v>16800000</v>
      </c>
      <c r="F17" s="3">
        <f t="shared" si="1"/>
        <v>6720000</v>
      </c>
      <c r="G17" s="3">
        <f t="shared" si="2"/>
        <v>27720000</v>
      </c>
      <c r="H17" s="3"/>
      <c r="I17" s="3">
        <f t="shared" si="3"/>
        <v>14699999.999999998</v>
      </c>
      <c r="J17" s="3">
        <v>3900000</v>
      </c>
      <c r="K17" s="3">
        <v>250000</v>
      </c>
      <c r="L17" s="4">
        <f t="shared" si="4"/>
        <v>1386000</v>
      </c>
      <c r="M17" s="4">
        <f t="shared" si="0"/>
        <v>1108800</v>
      </c>
      <c r="N17" s="3">
        <v>1200000</v>
      </c>
      <c r="O17" s="3">
        <v>0</v>
      </c>
      <c r="P17" s="3">
        <f t="shared" si="5"/>
        <v>26666.666666666668</v>
      </c>
      <c r="Q17" s="3">
        <f t="shared" si="6"/>
        <v>200000</v>
      </c>
      <c r="R17" s="3"/>
      <c r="S17" s="4">
        <f t="shared" ref="S17:S21" si="14">G17-(I17+J17+K17+L17+M17+N17)</f>
        <v>5175200</v>
      </c>
      <c r="T17" s="4">
        <f t="shared" ref="T17:T21" si="15">S17-P17</f>
        <v>5148533.333333333</v>
      </c>
      <c r="U17" s="4">
        <f t="shared" ref="U17:U21" si="16">T17-Q17</f>
        <v>4948533.333333333</v>
      </c>
      <c r="W17" s="4">
        <f>AO16</f>
        <v>11308700</v>
      </c>
      <c r="X17" s="4">
        <f t="shared" si="7"/>
        <v>4200000</v>
      </c>
      <c r="Y17" s="4">
        <f t="shared" ref="Y17:Y22" si="17">((E14*20%)+(E15*30%)+(E16*50%))</f>
        <v>22560000</v>
      </c>
      <c r="Z17" s="4">
        <f t="shared" ref="Z17:Z22" si="18">AR17</f>
        <v>0</v>
      </c>
      <c r="AA17" s="4">
        <f t="shared" ref="AA17:AA22" si="19">SUM(X17:Z17)</f>
        <v>26760000</v>
      </c>
      <c r="AC17" s="4">
        <f t="shared" ref="AC17:AC22" si="20">(I14*20%)+(I15*20%)+(I16*60%)</f>
        <v>19320000</v>
      </c>
      <c r="AD17" s="4">
        <f t="shared" ref="AD17:AD21" si="21">J17</f>
        <v>3900000</v>
      </c>
      <c r="AE17" s="4">
        <f t="shared" si="8"/>
        <v>250000</v>
      </c>
      <c r="AF17" s="4">
        <f t="shared" si="9"/>
        <v>1386000</v>
      </c>
      <c r="AG17" s="4">
        <f t="shared" si="10"/>
        <v>1108800</v>
      </c>
      <c r="AH17" s="3">
        <f>7000000*50%</f>
        <v>3500000</v>
      </c>
      <c r="AI17" s="3">
        <v>0</v>
      </c>
      <c r="AJ17" s="3">
        <v>0</v>
      </c>
      <c r="AK17" s="3">
        <v>0</v>
      </c>
      <c r="AL17" s="3">
        <f t="shared" si="11"/>
        <v>0</v>
      </c>
      <c r="AM17" s="4">
        <f t="shared" si="12"/>
        <v>29464800</v>
      </c>
      <c r="AO17" s="4">
        <f t="shared" si="13"/>
        <v>8603900</v>
      </c>
      <c r="AQ17" s="3">
        <f>AT16</f>
        <v>11000000</v>
      </c>
      <c r="AR17" s="3">
        <v>0</v>
      </c>
      <c r="AS17" s="3">
        <v>0</v>
      </c>
      <c r="AT17" s="3">
        <f t="shared" ref="AT17:AT22" si="22">AQ17+AR17-AS17</f>
        <v>11000000</v>
      </c>
    </row>
    <row r="18" spans="2:46" x14ac:dyDescent="0.3">
      <c r="B18" t="s">
        <v>5</v>
      </c>
      <c r="D18" s="3">
        <f>16000000*20%</f>
        <v>3200000</v>
      </c>
      <c r="E18" s="3">
        <f>16000000*80%</f>
        <v>12800000</v>
      </c>
      <c r="F18" s="3">
        <f t="shared" si="1"/>
        <v>10080000</v>
      </c>
      <c r="G18" s="3">
        <f t="shared" si="2"/>
        <v>26080000</v>
      </c>
      <c r="H18" s="3"/>
      <c r="I18" s="3">
        <f t="shared" si="3"/>
        <v>11200000</v>
      </c>
      <c r="J18" s="3">
        <v>3200000</v>
      </c>
      <c r="K18" s="3">
        <v>250000</v>
      </c>
      <c r="L18" s="4">
        <f t="shared" si="4"/>
        <v>1304000</v>
      </c>
      <c r="M18" s="4">
        <f t="shared" si="0"/>
        <v>1043200</v>
      </c>
      <c r="N18" s="3">
        <v>1200000</v>
      </c>
      <c r="O18" s="3">
        <v>0</v>
      </c>
      <c r="P18" s="3">
        <f>((2000000*16%)/12)+((AQ18*16%)/12)</f>
        <v>173333.33333333331</v>
      </c>
      <c r="Q18" s="3">
        <f t="shared" si="6"/>
        <v>200000</v>
      </c>
      <c r="R18" s="3"/>
      <c r="S18" s="4">
        <f t="shared" si="14"/>
        <v>7882800</v>
      </c>
      <c r="T18" s="4">
        <f t="shared" si="15"/>
        <v>7709466.666666667</v>
      </c>
      <c r="U18" s="4">
        <f t="shared" si="16"/>
        <v>7509466.666666667</v>
      </c>
      <c r="W18" s="4">
        <f t="shared" ref="W18:W22" si="23">AO17</f>
        <v>8603900</v>
      </c>
      <c r="X18" s="4">
        <f t="shared" si="7"/>
        <v>3200000</v>
      </c>
      <c r="Y18" s="4">
        <f t="shared" si="17"/>
        <v>19760000</v>
      </c>
      <c r="Z18" s="4">
        <f t="shared" si="18"/>
        <v>0</v>
      </c>
      <c r="AA18" s="4">
        <f t="shared" si="19"/>
        <v>22960000</v>
      </c>
      <c r="AC18" s="4">
        <f t="shared" si="20"/>
        <v>16940000</v>
      </c>
      <c r="AD18" s="4">
        <f t="shared" si="21"/>
        <v>3200000</v>
      </c>
      <c r="AE18" s="4">
        <f t="shared" si="8"/>
        <v>250000</v>
      </c>
      <c r="AF18" s="4">
        <f t="shared" si="9"/>
        <v>1304000</v>
      </c>
      <c r="AG18" s="4">
        <f t="shared" si="10"/>
        <v>1043200</v>
      </c>
      <c r="AH18" s="3">
        <f>7000000*50%</f>
        <v>3500000</v>
      </c>
      <c r="AI18" s="3">
        <f>((2000000*16%)/2)+((AQ18*16%)/12)</f>
        <v>306666.66666666663</v>
      </c>
      <c r="AJ18" s="3">
        <v>0</v>
      </c>
      <c r="AK18" s="3">
        <f>2400000/4</f>
        <v>600000</v>
      </c>
      <c r="AL18" s="3">
        <f t="shared" si="11"/>
        <v>0</v>
      </c>
      <c r="AM18" s="4">
        <f t="shared" si="12"/>
        <v>27143866.666666668</v>
      </c>
      <c r="AO18" s="4">
        <f t="shared" si="13"/>
        <v>4420033.3333333321</v>
      </c>
      <c r="AQ18" s="3">
        <f>AT17</f>
        <v>11000000</v>
      </c>
      <c r="AR18" s="3">
        <v>0</v>
      </c>
      <c r="AS18" s="3">
        <v>0</v>
      </c>
      <c r="AT18" s="3">
        <f t="shared" si="22"/>
        <v>11000000</v>
      </c>
    </row>
    <row r="19" spans="2:46" x14ac:dyDescent="0.3">
      <c r="B19" t="s">
        <v>6</v>
      </c>
      <c r="D19" s="3">
        <f>24000000*20%</f>
        <v>4800000</v>
      </c>
      <c r="E19" s="3">
        <f>24000000*80%</f>
        <v>19200000</v>
      </c>
      <c r="F19" s="3">
        <f t="shared" si="1"/>
        <v>8400000</v>
      </c>
      <c r="G19" s="3">
        <f t="shared" si="2"/>
        <v>32400000</v>
      </c>
      <c r="H19" s="3"/>
      <c r="I19" s="3">
        <f t="shared" si="3"/>
        <v>16800000</v>
      </c>
      <c r="J19" s="3">
        <v>4000000</v>
      </c>
      <c r="K19" s="3">
        <v>250000</v>
      </c>
      <c r="L19" s="4">
        <f t="shared" si="4"/>
        <v>1620000</v>
      </c>
      <c r="M19" s="4">
        <f t="shared" si="0"/>
        <v>1296000</v>
      </c>
      <c r="N19" s="3">
        <v>1200000</v>
      </c>
      <c r="O19" s="3">
        <v>0</v>
      </c>
      <c r="P19" s="3">
        <f t="shared" ref="P19:P22" si="24">((2000000*16%)/12)+((AQ19*16%)/12)</f>
        <v>173333.33333333331</v>
      </c>
      <c r="Q19" s="3">
        <f t="shared" si="6"/>
        <v>200000</v>
      </c>
      <c r="R19" s="3"/>
      <c r="S19" s="4">
        <f t="shared" si="14"/>
        <v>7234000</v>
      </c>
      <c r="T19" s="4">
        <f t="shared" si="15"/>
        <v>7060666.666666667</v>
      </c>
      <c r="U19" s="4">
        <f t="shared" si="16"/>
        <v>6860666.666666667</v>
      </c>
      <c r="W19" s="4">
        <f t="shared" si="23"/>
        <v>4420033.3333333321</v>
      </c>
      <c r="X19" s="4">
        <f t="shared" si="7"/>
        <v>4800000</v>
      </c>
      <c r="Y19" s="4">
        <f t="shared" si="17"/>
        <v>15600000</v>
      </c>
      <c r="Z19" s="4">
        <f t="shared" si="18"/>
        <v>0</v>
      </c>
      <c r="AA19" s="4">
        <f t="shared" si="19"/>
        <v>20400000</v>
      </c>
      <c r="AC19" s="4">
        <f t="shared" si="20"/>
        <v>13300000</v>
      </c>
      <c r="AD19" s="4">
        <f t="shared" si="21"/>
        <v>4000000</v>
      </c>
      <c r="AE19" s="4">
        <f t="shared" si="8"/>
        <v>250000</v>
      </c>
      <c r="AF19" s="4">
        <f t="shared" si="9"/>
        <v>1620000</v>
      </c>
      <c r="AG19" s="4">
        <f t="shared" si="10"/>
        <v>1296000</v>
      </c>
      <c r="AH19" s="3">
        <v>0</v>
      </c>
      <c r="AI19" s="3">
        <f>(AQ19*16%)/12</f>
        <v>146666.66666666666</v>
      </c>
      <c r="AJ19" s="3">
        <v>0</v>
      </c>
      <c r="AK19" s="3">
        <v>0</v>
      </c>
      <c r="AL19" s="3">
        <f t="shared" si="11"/>
        <v>0</v>
      </c>
      <c r="AM19" s="4">
        <f t="shared" si="12"/>
        <v>20612666.666666668</v>
      </c>
      <c r="AO19" s="4">
        <f t="shared" si="13"/>
        <v>4207366.6666666642</v>
      </c>
      <c r="AQ19" s="3">
        <f t="shared" ref="AQ19:AQ22" si="25">AT18</f>
        <v>11000000</v>
      </c>
      <c r="AR19" s="3">
        <v>0</v>
      </c>
      <c r="AS19" s="3">
        <v>0</v>
      </c>
      <c r="AT19" s="3">
        <f t="shared" si="22"/>
        <v>11000000</v>
      </c>
    </row>
    <row r="20" spans="2:46" x14ac:dyDescent="0.3">
      <c r="B20" t="s">
        <v>7</v>
      </c>
      <c r="D20" s="3">
        <f>20000000*20%</f>
        <v>4000000</v>
      </c>
      <c r="E20" s="3">
        <f>20000000*80%</f>
        <v>16000000</v>
      </c>
      <c r="F20" s="3">
        <f t="shared" si="1"/>
        <v>6720000</v>
      </c>
      <c r="G20" s="3">
        <f t="shared" si="2"/>
        <v>26720000</v>
      </c>
      <c r="H20" s="3"/>
      <c r="I20" s="3">
        <f t="shared" si="3"/>
        <v>14000000</v>
      </c>
      <c r="J20" s="3">
        <v>3200000</v>
      </c>
      <c r="K20" s="3">
        <v>250000</v>
      </c>
      <c r="L20" s="4">
        <f t="shared" si="4"/>
        <v>1336000</v>
      </c>
      <c r="M20" s="4">
        <f t="shared" si="0"/>
        <v>1068800</v>
      </c>
      <c r="N20" s="3">
        <v>1200000</v>
      </c>
      <c r="O20" s="3">
        <v>0</v>
      </c>
      <c r="P20" s="3">
        <f t="shared" si="24"/>
        <v>173333.33333333331</v>
      </c>
      <c r="Q20" s="3">
        <f t="shared" si="6"/>
        <v>200000</v>
      </c>
      <c r="R20" s="3"/>
      <c r="S20" s="4">
        <f t="shared" si="14"/>
        <v>5665200</v>
      </c>
      <c r="T20" s="4">
        <f t="shared" si="15"/>
        <v>5491866.666666667</v>
      </c>
      <c r="U20" s="4">
        <f t="shared" si="16"/>
        <v>5291866.666666667</v>
      </c>
      <c r="W20" s="4">
        <f t="shared" si="23"/>
        <v>4207366.6666666642</v>
      </c>
      <c r="X20" s="4">
        <f t="shared" si="7"/>
        <v>4000000</v>
      </c>
      <c r="Y20" s="4">
        <f t="shared" si="17"/>
        <v>16800000</v>
      </c>
      <c r="Z20" s="4">
        <f t="shared" si="18"/>
        <v>0</v>
      </c>
      <c r="AA20" s="4">
        <f t="shared" si="19"/>
        <v>20800000</v>
      </c>
      <c r="AC20" s="4">
        <f t="shared" si="20"/>
        <v>15260000</v>
      </c>
      <c r="AD20" s="4">
        <f t="shared" si="21"/>
        <v>3200000</v>
      </c>
      <c r="AE20" s="4">
        <f t="shared" si="8"/>
        <v>250000</v>
      </c>
      <c r="AF20" s="4">
        <f t="shared" si="9"/>
        <v>1336000</v>
      </c>
      <c r="AG20" s="4">
        <f t="shared" si="10"/>
        <v>1068800</v>
      </c>
      <c r="AH20" s="3">
        <v>0</v>
      </c>
      <c r="AI20" s="3">
        <f t="shared" ref="AI20:AI22" si="26">(AQ20*16%)/12</f>
        <v>146666.66666666666</v>
      </c>
      <c r="AJ20" s="3">
        <v>0</v>
      </c>
      <c r="AK20" s="3">
        <v>0</v>
      </c>
      <c r="AL20" s="3">
        <f t="shared" si="11"/>
        <v>0</v>
      </c>
      <c r="AM20" s="4">
        <f t="shared" si="12"/>
        <v>21261466.666666668</v>
      </c>
      <c r="AO20" s="4">
        <f t="shared" si="13"/>
        <v>3745899.9999999963</v>
      </c>
      <c r="AQ20" s="3">
        <f t="shared" si="25"/>
        <v>11000000</v>
      </c>
      <c r="AR20" s="3">
        <v>0</v>
      </c>
      <c r="AS20" s="3">
        <v>0</v>
      </c>
      <c r="AT20" s="3">
        <f t="shared" si="22"/>
        <v>11000000</v>
      </c>
    </row>
    <row r="21" spans="2:46" x14ac:dyDescent="0.3">
      <c r="B21" t="s">
        <v>8</v>
      </c>
      <c r="D21" s="3">
        <f>16000000*20%</f>
        <v>3200000</v>
      </c>
      <c r="E21" s="3">
        <f>16000000*80%</f>
        <v>12800000</v>
      </c>
      <c r="F21" s="3">
        <f t="shared" si="1"/>
        <v>8400000</v>
      </c>
      <c r="G21" s="3">
        <f t="shared" si="2"/>
        <v>24400000</v>
      </c>
      <c r="H21" s="3"/>
      <c r="I21" s="3">
        <f t="shared" si="3"/>
        <v>11200000</v>
      </c>
      <c r="J21" s="3">
        <v>2800000</v>
      </c>
      <c r="K21" s="3">
        <v>250000</v>
      </c>
      <c r="L21" s="4">
        <f t="shared" si="4"/>
        <v>1220000</v>
      </c>
      <c r="M21" s="4">
        <f t="shared" si="0"/>
        <v>976000</v>
      </c>
      <c r="N21" s="3">
        <v>1200000</v>
      </c>
      <c r="O21" s="3">
        <v>0</v>
      </c>
      <c r="P21" s="3">
        <f t="shared" si="24"/>
        <v>173333.33333333331</v>
      </c>
      <c r="Q21" s="3">
        <f t="shared" si="6"/>
        <v>200000</v>
      </c>
      <c r="R21" s="3"/>
      <c r="S21" s="4">
        <f t="shared" si="14"/>
        <v>6754000</v>
      </c>
      <c r="T21" s="4">
        <f t="shared" si="15"/>
        <v>6580666.666666667</v>
      </c>
      <c r="U21" s="4">
        <f t="shared" si="16"/>
        <v>6380666.666666667</v>
      </c>
      <c r="W21" s="4">
        <f t="shared" si="23"/>
        <v>3745899.9999999963</v>
      </c>
      <c r="X21" s="4">
        <f t="shared" si="7"/>
        <v>3200000</v>
      </c>
      <c r="Y21" s="4">
        <f t="shared" si="17"/>
        <v>16320000</v>
      </c>
      <c r="Z21" s="4">
        <f t="shared" si="18"/>
        <v>0</v>
      </c>
      <c r="AA21" s="4">
        <f t="shared" si="19"/>
        <v>19520000</v>
      </c>
      <c r="AC21" s="4">
        <f t="shared" si="20"/>
        <v>14000000</v>
      </c>
      <c r="AD21" s="4">
        <f t="shared" si="21"/>
        <v>2800000</v>
      </c>
      <c r="AE21" s="4">
        <f t="shared" si="8"/>
        <v>250000</v>
      </c>
      <c r="AF21" s="4">
        <f t="shared" si="9"/>
        <v>1220000</v>
      </c>
      <c r="AG21" s="4">
        <f t="shared" si="10"/>
        <v>976000</v>
      </c>
      <c r="AH21" s="3">
        <v>0</v>
      </c>
      <c r="AI21" s="3">
        <f t="shared" si="26"/>
        <v>146666.66666666666</v>
      </c>
      <c r="AJ21" s="3">
        <v>0</v>
      </c>
      <c r="AK21" s="3">
        <f>2400000/4</f>
        <v>600000</v>
      </c>
      <c r="AL21" s="3">
        <f t="shared" si="11"/>
        <v>0</v>
      </c>
      <c r="AM21" s="4">
        <f t="shared" si="12"/>
        <v>19992666.666666668</v>
      </c>
      <c r="AO21" s="4">
        <f t="shared" si="13"/>
        <v>3273233.3333333284</v>
      </c>
      <c r="AQ21" s="3">
        <f t="shared" si="25"/>
        <v>11000000</v>
      </c>
      <c r="AR21" s="3">
        <v>0</v>
      </c>
      <c r="AS21" s="3">
        <v>0</v>
      </c>
      <c r="AT21" s="3">
        <f t="shared" si="22"/>
        <v>11000000</v>
      </c>
    </row>
    <row r="22" spans="2:46" x14ac:dyDescent="0.3">
      <c r="B22" t="s">
        <v>9</v>
      </c>
      <c r="D22" s="3">
        <f>20000000*20%</f>
        <v>4000000</v>
      </c>
      <c r="E22" s="3">
        <f>20000000*80%</f>
        <v>16000000</v>
      </c>
      <c r="F22" s="3">
        <f t="shared" si="1"/>
        <v>0</v>
      </c>
      <c r="G22" s="3">
        <f t="shared" si="2"/>
        <v>20000000</v>
      </c>
      <c r="H22" s="3"/>
      <c r="I22" s="3">
        <f t="shared" si="3"/>
        <v>14000000</v>
      </c>
      <c r="J22" s="3"/>
      <c r="K22" s="3">
        <v>250000</v>
      </c>
      <c r="L22" s="4">
        <f t="shared" si="4"/>
        <v>1000000</v>
      </c>
      <c r="M22" s="4">
        <f t="shared" si="0"/>
        <v>800000</v>
      </c>
      <c r="N22" s="3">
        <v>1200000</v>
      </c>
      <c r="O22" s="3">
        <v>0</v>
      </c>
      <c r="P22" s="3">
        <f t="shared" si="24"/>
        <v>173333.33333333331</v>
      </c>
      <c r="Q22" s="3">
        <f t="shared" si="6"/>
        <v>200000</v>
      </c>
      <c r="R22" s="3"/>
      <c r="S22" s="4"/>
      <c r="T22" s="4"/>
      <c r="U22" s="4"/>
      <c r="W22" s="4">
        <f t="shared" si="23"/>
        <v>3273233.3333333284</v>
      </c>
      <c r="X22" s="4">
        <f t="shared" si="7"/>
        <v>4000000</v>
      </c>
      <c r="Y22" s="4">
        <f t="shared" si="17"/>
        <v>15040000</v>
      </c>
      <c r="Z22" s="4">
        <f t="shared" si="18"/>
        <v>0</v>
      </c>
      <c r="AA22" s="4">
        <f t="shared" si="19"/>
        <v>19040000</v>
      </c>
      <c r="AC22" s="4">
        <f t="shared" si="20"/>
        <v>12880000</v>
      </c>
      <c r="AD22" s="4"/>
      <c r="AE22" s="4">
        <f t="shared" si="8"/>
        <v>250000</v>
      </c>
      <c r="AF22" s="4">
        <f t="shared" si="9"/>
        <v>1000000</v>
      </c>
      <c r="AG22" s="4">
        <f t="shared" si="10"/>
        <v>800000</v>
      </c>
      <c r="AH22" s="3">
        <v>0</v>
      </c>
      <c r="AI22" s="3">
        <f t="shared" si="26"/>
        <v>146666.66666666666</v>
      </c>
      <c r="AJ22" s="3">
        <v>0</v>
      </c>
      <c r="AK22" s="3">
        <v>0</v>
      </c>
      <c r="AL22" s="3">
        <f t="shared" si="11"/>
        <v>0</v>
      </c>
      <c r="AM22" s="4">
        <f t="shared" si="12"/>
        <v>15076666.666666666</v>
      </c>
      <c r="AO22" s="4"/>
      <c r="AQ22" s="3">
        <f t="shared" si="25"/>
        <v>11000000</v>
      </c>
      <c r="AR22" s="3">
        <v>0</v>
      </c>
      <c r="AS22" s="3">
        <v>0</v>
      </c>
      <c r="AT22" s="3">
        <f t="shared" si="22"/>
        <v>11000000</v>
      </c>
    </row>
    <row r="23" spans="2:46" x14ac:dyDescent="0.3">
      <c r="Q23" s="4"/>
      <c r="X23" s="4"/>
      <c r="AC23" s="4"/>
      <c r="AD23" s="4"/>
    </row>
    <row r="24" spans="2:46" x14ac:dyDescent="0.3">
      <c r="B24" s="1" t="s">
        <v>39</v>
      </c>
      <c r="AG24" s="1"/>
    </row>
    <row r="25" spans="2:46" x14ac:dyDescent="0.3">
      <c r="B25" s="1" t="s">
        <v>48</v>
      </c>
    </row>
    <row r="26" spans="2:46" x14ac:dyDescent="0.3">
      <c r="B26" s="2"/>
      <c r="C26" s="2"/>
      <c r="D26" s="7"/>
      <c r="E26" s="7"/>
      <c r="F26" s="2"/>
      <c r="G26" s="2"/>
      <c r="H26" s="2"/>
      <c r="I26" s="7"/>
      <c r="J26" s="7"/>
      <c r="K26" s="7"/>
      <c r="L26" s="7"/>
      <c r="M26" s="7"/>
      <c r="N26" s="7"/>
      <c r="O26" s="7"/>
      <c r="P26" s="7"/>
      <c r="Q26" s="7"/>
      <c r="R26" s="2"/>
      <c r="S26" s="7"/>
      <c r="T26" s="7"/>
      <c r="U26" s="7"/>
      <c r="V26" s="2"/>
      <c r="W26" s="7"/>
      <c r="X26" s="7"/>
      <c r="Y26" s="7"/>
      <c r="Z26" s="2"/>
      <c r="AA26" s="2"/>
      <c r="AB26" s="2"/>
      <c r="AC26" s="7"/>
      <c r="AD26" s="7"/>
      <c r="AE26" s="7"/>
      <c r="AF26" s="7"/>
      <c r="AG26" s="7"/>
      <c r="AH26" s="7"/>
      <c r="AI26" s="7"/>
      <c r="AJ26" s="7"/>
      <c r="AK26" s="7"/>
      <c r="AL26" s="2"/>
      <c r="AM26" s="2"/>
      <c r="AN26" s="2"/>
      <c r="AO26" s="2"/>
      <c r="AP26" s="2"/>
      <c r="AQ26" s="2"/>
      <c r="AR26" s="2"/>
      <c r="AS26" s="2"/>
      <c r="AT26" s="2"/>
    </row>
    <row r="27" spans="2:46" x14ac:dyDescent="0.3">
      <c r="B27" s="5" t="s">
        <v>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2:46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2:46" x14ac:dyDescent="0.3">
      <c r="B29" s="2" t="s">
        <v>10</v>
      </c>
      <c r="C29" s="2"/>
      <c r="D29" s="7" t="s">
        <v>11</v>
      </c>
      <c r="E29" s="7"/>
      <c r="F29" s="7"/>
      <c r="G29" s="1"/>
      <c r="H29" s="2"/>
      <c r="I29" s="7" t="s">
        <v>14</v>
      </c>
      <c r="J29" s="7"/>
      <c r="K29" s="7"/>
      <c r="L29" s="7"/>
      <c r="M29" s="7"/>
      <c r="N29" s="7"/>
      <c r="O29" s="7"/>
      <c r="P29" s="7"/>
      <c r="Q29" s="7"/>
      <c r="R29" s="2"/>
      <c r="S29" s="7" t="s">
        <v>24</v>
      </c>
      <c r="T29" s="7"/>
      <c r="U29" s="7"/>
      <c r="V29" s="2"/>
      <c r="W29" s="1"/>
      <c r="X29" s="7" t="s">
        <v>25</v>
      </c>
      <c r="Y29" s="7"/>
      <c r="Z29" s="7"/>
      <c r="AA29" s="2"/>
      <c r="AB29" s="2"/>
      <c r="AC29" s="7" t="s">
        <v>27</v>
      </c>
      <c r="AD29" s="7"/>
      <c r="AE29" s="7"/>
      <c r="AF29" s="7"/>
      <c r="AG29" s="7"/>
      <c r="AH29" s="7"/>
      <c r="AI29" s="7"/>
      <c r="AJ29" s="7"/>
      <c r="AK29" s="7"/>
      <c r="AL29" s="7"/>
      <c r="AM29" s="2"/>
      <c r="AN29" s="2"/>
      <c r="AO29" s="2"/>
      <c r="AP29" s="2"/>
      <c r="AQ29" s="7" t="s">
        <v>49</v>
      </c>
      <c r="AR29" s="7"/>
      <c r="AS29" s="7"/>
      <c r="AT29" s="7"/>
    </row>
    <row r="30" spans="2:46" x14ac:dyDescent="0.3">
      <c r="B30" s="2"/>
      <c r="C30" s="2"/>
      <c r="D30" s="2" t="s">
        <v>12</v>
      </c>
      <c r="E30" s="2" t="s">
        <v>13</v>
      </c>
      <c r="F30" s="2" t="s">
        <v>47</v>
      </c>
      <c r="G30" s="2" t="s">
        <v>15</v>
      </c>
      <c r="H30" s="2"/>
      <c r="I30" s="2" t="s">
        <v>28</v>
      </c>
      <c r="J30" s="2" t="s">
        <v>16</v>
      </c>
      <c r="K30" s="2" t="s">
        <v>45</v>
      </c>
      <c r="L30" s="2" t="s">
        <v>46</v>
      </c>
      <c r="M30" s="2" t="s">
        <v>18</v>
      </c>
      <c r="N30" s="2" t="s">
        <v>19</v>
      </c>
      <c r="O30" s="2" t="s">
        <v>34</v>
      </c>
      <c r="P30" s="2" t="s">
        <v>20</v>
      </c>
      <c r="Q30" s="2" t="s">
        <v>38</v>
      </c>
      <c r="R30" s="2"/>
      <c r="S30" s="2" t="s">
        <v>21</v>
      </c>
      <c r="T30" s="2" t="s">
        <v>22</v>
      </c>
      <c r="U30" s="2" t="s">
        <v>23</v>
      </c>
      <c r="V30" s="2"/>
      <c r="W30" s="2" t="s">
        <v>26</v>
      </c>
      <c r="X30" s="2" t="s">
        <v>12</v>
      </c>
      <c r="Y30" s="2" t="s">
        <v>13</v>
      </c>
      <c r="Z30" s="2" t="s">
        <v>42</v>
      </c>
      <c r="AA30" s="2" t="s">
        <v>15</v>
      </c>
      <c r="AB30" s="2"/>
      <c r="AC30" s="2" t="s">
        <v>29</v>
      </c>
      <c r="AD30" s="2" t="s">
        <v>37</v>
      </c>
      <c r="AE30" s="2" t="s">
        <v>17</v>
      </c>
      <c r="AF30" s="2" t="s">
        <v>30</v>
      </c>
      <c r="AG30" s="2" t="s">
        <v>31</v>
      </c>
      <c r="AH30" s="2" t="s">
        <v>32</v>
      </c>
      <c r="AI30" s="2" t="s">
        <v>33</v>
      </c>
      <c r="AJ30" s="2" t="s">
        <v>34</v>
      </c>
      <c r="AK30" s="2" t="s">
        <v>40</v>
      </c>
      <c r="AL30" s="2" t="s">
        <v>43</v>
      </c>
      <c r="AM30" s="2" t="s">
        <v>35</v>
      </c>
      <c r="AN30" s="2"/>
      <c r="AO30" s="2" t="s">
        <v>36</v>
      </c>
      <c r="AP30" s="2"/>
      <c r="AQ30" s="2" t="s">
        <v>41</v>
      </c>
      <c r="AR30" s="2" t="s">
        <v>42</v>
      </c>
      <c r="AS30" s="2" t="s">
        <v>43</v>
      </c>
      <c r="AT30" s="2" t="s">
        <v>44</v>
      </c>
    </row>
    <row r="31" spans="2:46" x14ac:dyDescent="0.3">
      <c r="B31" t="s">
        <v>0</v>
      </c>
      <c r="D31" s="3">
        <f>((24000000*110%)*20%)</f>
        <v>5280000.0000000009</v>
      </c>
      <c r="E31" s="3">
        <f>((24000000*110%)*80%)</f>
        <v>21120000.000000004</v>
      </c>
      <c r="F31" s="3">
        <f>I32*60%</f>
        <v>12936000</v>
      </c>
      <c r="G31" s="3">
        <f>SUM(D31:F31)</f>
        <v>39336000</v>
      </c>
      <c r="H31" s="3"/>
      <c r="I31" s="3">
        <f>(D31+E31)*70%</f>
        <v>18480000</v>
      </c>
      <c r="J31" s="3"/>
      <c r="K31" s="3">
        <v>250000</v>
      </c>
      <c r="L31" s="4">
        <f>G31*5%</f>
        <v>1966800</v>
      </c>
      <c r="M31" s="4">
        <f t="shared" ref="M31:M33" si="27">G31*4%</f>
        <v>1573440</v>
      </c>
      <c r="N31" s="3">
        <v>1200000</v>
      </c>
      <c r="O31" s="3">
        <v>0</v>
      </c>
      <c r="P31" s="3">
        <f>(2000000*16%)/12</f>
        <v>26666.666666666668</v>
      </c>
      <c r="Q31" s="3">
        <f>2400000/12</f>
        <v>200000</v>
      </c>
      <c r="R31" s="3"/>
      <c r="S31" s="4"/>
      <c r="T31" s="4"/>
      <c r="U31" s="4"/>
      <c r="X31" s="4">
        <f>D31</f>
        <v>5280000.0000000009</v>
      </c>
      <c r="Z31" s="3">
        <v>0</v>
      </c>
      <c r="AC31" s="4"/>
      <c r="AD31" s="4"/>
      <c r="AE31" s="4">
        <f>K31</f>
        <v>250000</v>
      </c>
      <c r="AF31" s="4">
        <f>L31</f>
        <v>1966800</v>
      </c>
      <c r="AG31" s="4">
        <f>M31</f>
        <v>1573440</v>
      </c>
      <c r="AH31" s="3">
        <v>0</v>
      </c>
      <c r="AI31" s="3">
        <v>0</v>
      </c>
      <c r="AJ31" s="3">
        <v>0</v>
      </c>
      <c r="AK31" s="3">
        <v>0</v>
      </c>
      <c r="AL31" s="3">
        <f t="shared" ref="AL31:AL34" si="28">AS31</f>
        <v>0</v>
      </c>
      <c r="AM31" s="4">
        <f>SUM(AC31:AL31)</f>
        <v>3790240</v>
      </c>
      <c r="AO31" s="4"/>
      <c r="AQ31" s="3">
        <v>0</v>
      </c>
      <c r="AR31" s="3">
        <v>0</v>
      </c>
      <c r="AS31" s="3">
        <v>0</v>
      </c>
      <c r="AT31" s="3">
        <v>0</v>
      </c>
    </row>
    <row r="32" spans="2:46" x14ac:dyDescent="0.3">
      <c r="B32" t="s">
        <v>1</v>
      </c>
      <c r="D32" s="3">
        <f>((28000000*110%)*20%)</f>
        <v>6160000.0000000009</v>
      </c>
      <c r="E32" s="3">
        <f>((28000000*110%)*80%)</f>
        <v>24640000.000000004</v>
      </c>
      <c r="F32" s="3">
        <f t="shared" ref="F32:F40" si="29">I33*60%</f>
        <v>14784000</v>
      </c>
      <c r="G32" s="3">
        <f t="shared" ref="G32:G40" si="30">SUM(D32:F32)</f>
        <v>45584000</v>
      </c>
      <c r="H32" s="3"/>
      <c r="I32" s="3">
        <f t="shared" ref="I32:I40" si="31">(D32+E32)*70%</f>
        <v>21560000</v>
      </c>
      <c r="J32" s="3"/>
      <c r="K32" s="3">
        <v>250000</v>
      </c>
      <c r="L32" s="4">
        <f t="shared" ref="L32" si="32">G32*5%</f>
        <v>2279200</v>
      </c>
      <c r="M32" s="4">
        <f t="shared" si="27"/>
        <v>1823360</v>
      </c>
      <c r="N32" s="3">
        <v>1200000</v>
      </c>
      <c r="O32" s="3">
        <v>0</v>
      </c>
      <c r="P32" s="3">
        <f t="shared" ref="P32:P34" si="33">(2000000*16%)/12</f>
        <v>26666.666666666668</v>
      </c>
      <c r="Q32" s="3">
        <f t="shared" ref="Q32:Q40" si="34">2400000/12</f>
        <v>200000</v>
      </c>
      <c r="R32" s="3"/>
      <c r="S32" s="4"/>
      <c r="T32" s="4"/>
      <c r="U32" s="4"/>
      <c r="X32" s="4">
        <f t="shared" ref="X32:X40" si="35">D32</f>
        <v>6160000.0000000009</v>
      </c>
      <c r="Z32" s="3">
        <v>0</v>
      </c>
      <c r="AC32" s="4"/>
      <c r="AD32" s="4"/>
      <c r="AE32" s="4">
        <f t="shared" ref="AE32:AE40" si="36">K32</f>
        <v>250000</v>
      </c>
      <c r="AF32" s="4">
        <f t="shared" ref="AF32:AF40" si="37">L32</f>
        <v>2279200</v>
      </c>
      <c r="AG32" s="4">
        <f t="shared" ref="AG32:AG40" si="38">M32</f>
        <v>1823360</v>
      </c>
      <c r="AH32" s="3">
        <v>0</v>
      </c>
      <c r="AI32" s="3">
        <v>0</v>
      </c>
      <c r="AJ32" s="3">
        <v>0</v>
      </c>
      <c r="AK32" s="3">
        <v>0</v>
      </c>
      <c r="AL32" s="3">
        <f>AS32</f>
        <v>0</v>
      </c>
      <c r="AM32" s="4">
        <f t="shared" ref="AM32:AM40" si="39">SUM(AC32:AL32)</f>
        <v>4352560</v>
      </c>
      <c r="AO32" s="4"/>
      <c r="AQ32" s="3">
        <v>0</v>
      </c>
      <c r="AR32" s="3">
        <v>0</v>
      </c>
      <c r="AS32" s="3">
        <v>0</v>
      </c>
      <c r="AT32" s="3">
        <v>0</v>
      </c>
    </row>
    <row r="33" spans="2:46" x14ac:dyDescent="0.3">
      <c r="B33" t="s">
        <v>2</v>
      </c>
      <c r="D33" s="3">
        <f>((32000000*110%)*20%)</f>
        <v>7040000</v>
      </c>
      <c r="E33" s="3">
        <f>((32000000*110%)*80%)</f>
        <v>28160000</v>
      </c>
      <c r="F33" s="3">
        <f t="shared" si="29"/>
        <v>12012000</v>
      </c>
      <c r="G33" s="3">
        <f t="shared" si="30"/>
        <v>47212000</v>
      </c>
      <c r="H33" s="3"/>
      <c r="I33" s="3">
        <f t="shared" si="31"/>
        <v>24640000</v>
      </c>
      <c r="J33" s="3"/>
      <c r="K33" s="3">
        <v>250000</v>
      </c>
      <c r="L33" s="4">
        <f>G33*5%</f>
        <v>2360600</v>
      </c>
      <c r="M33" s="4">
        <f t="shared" si="27"/>
        <v>1888480</v>
      </c>
      <c r="N33" s="3">
        <v>1200000</v>
      </c>
      <c r="O33" s="3">
        <v>0</v>
      </c>
      <c r="P33" s="3">
        <f t="shared" si="33"/>
        <v>26666.666666666668</v>
      </c>
      <c r="Q33" s="3">
        <f t="shared" si="34"/>
        <v>200000</v>
      </c>
      <c r="R33" s="3"/>
      <c r="S33" s="4"/>
      <c r="T33" s="4"/>
      <c r="U33" s="4"/>
      <c r="X33" s="4">
        <f t="shared" si="35"/>
        <v>7040000</v>
      </c>
      <c r="Z33" s="3">
        <v>0</v>
      </c>
      <c r="AC33" s="4"/>
      <c r="AD33" s="4"/>
      <c r="AE33" s="4">
        <f t="shared" si="36"/>
        <v>250000</v>
      </c>
      <c r="AF33" s="4">
        <f t="shared" si="37"/>
        <v>2360600</v>
      </c>
      <c r="AG33" s="4">
        <f t="shared" si="38"/>
        <v>1888480</v>
      </c>
      <c r="AH33" s="3">
        <v>0</v>
      </c>
      <c r="AI33" s="3">
        <v>0</v>
      </c>
      <c r="AJ33" s="3">
        <v>0</v>
      </c>
      <c r="AK33" s="3">
        <f>2400000/4</f>
        <v>600000</v>
      </c>
      <c r="AL33" s="3">
        <f t="shared" si="28"/>
        <v>0</v>
      </c>
      <c r="AM33" s="4">
        <f t="shared" si="39"/>
        <v>5099080</v>
      </c>
      <c r="AO33" s="4"/>
      <c r="AQ33" s="3">
        <v>0</v>
      </c>
      <c r="AR33" s="3">
        <v>0</v>
      </c>
      <c r="AS33" s="3">
        <v>0</v>
      </c>
      <c r="AT33" s="3">
        <v>0</v>
      </c>
    </row>
    <row r="34" spans="2:46" x14ac:dyDescent="0.3">
      <c r="B34" t="s">
        <v>3</v>
      </c>
      <c r="D34" s="3">
        <f>((26000000*110%)*20%)</f>
        <v>5720000.0000000009</v>
      </c>
      <c r="E34" s="3">
        <f>((26000000*110%)*80%)</f>
        <v>22880000.000000004</v>
      </c>
      <c r="F34" s="3">
        <f t="shared" si="29"/>
        <v>9702000</v>
      </c>
      <c r="G34" s="3">
        <f t="shared" si="30"/>
        <v>38302000</v>
      </c>
      <c r="H34" s="3"/>
      <c r="I34" s="3">
        <f t="shared" si="31"/>
        <v>20020000</v>
      </c>
      <c r="J34" s="3">
        <v>4200000</v>
      </c>
      <c r="K34" s="3">
        <v>250000</v>
      </c>
      <c r="L34" s="4">
        <f t="shared" ref="L34:L40" si="40">G34*5%</f>
        <v>1915100</v>
      </c>
      <c r="M34" s="4">
        <f>G34*4%</f>
        <v>1532080</v>
      </c>
      <c r="N34" s="3">
        <v>1200000</v>
      </c>
      <c r="O34" s="3">
        <f>250000*35%</f>
        <v>87500</v>
      </c>
      <c r="P34" s="3">
        <f t="shared" si="33"/>
        <v>26666.666666666668</v>
      </c>
      <c r="Q34" s="3">
        <f t="shared" si="34"/>
        <v>200000</v>
      </c>
      <c r="R34" s="3"/>
      <c r="S34" s="4">
        <f>G34-(I34+J34+K34+L34+M34+N34)</f>
        <v>9184820</v>
      </c>
      <c r="T34" s="4">
        <f>S34-P34</f>
        <v>9158153.333333334</v>
      </c>
      <c r="U34" s="4">
        <f>T34-Q34</f>
        <v>8958153.333333334</v>
      </c>
      <c r="W34" s="3">
        <v>140000</v>
      </c>
      <c r="X34" s="4">
        <f t="shared" si="35"/>
        <v>5720000.0000000009</v>
      </c>
      <c r="Y34" s="4">
        <f>((E31*20%)+(E32*30%)+(E33*50%))</f>
        <v>25696000</v>
      </c>
      <c r="Z34" s="4">
        <f>AR34</f>
        <v>11000000</v>
      </c>
      <c r="AA34" s="4">
        <f>SUM(X34:Z34)</f>
        <v>42416000</v>
      </c>
      <c r="AC34" s="4">
        <f>(I31*20%)+(I32*20%)+(I33*60%)</f>
        <v>22792000</v>
      </c>
      <c r="AD34" s="4">
        <f>J34</f>
        <v>4200000</v>
      </c>
      <c r="AE34" s="4">
        <f t="shared" si="36"/>
        <v>250000</v>
      </c>
      <c r="AF34" s="4">
        <f t="shared" si="37"/>
        <v>1915100</v>
      </c>
      <c r="AG34" s="4">
        <f t="shared" si="38"/>
        <v>1532080</v>
      </c>
      <c r="AH34" s="3">
        <v>0</v>
      </c>
      <c r="AI34" s="3">
        <v>0</v>
      </c>
      <c r="AJ34" s="3">
        <f>O34</f>
        <v>87500</v>
      </c>
      <c r="AK34" s="3">
        <v>0</v>
      </c>
      <c r="AL34" s="3">
        <f t="shared" si="28"/>
        <v>0</v>
      </c>
      <c r="AM34" s="4">
        <f t="shared" si="39"/>
        <v>30776680</v>
      </c>
      <c r="AO34" s="4">
        <f t="shared" ref="AO34:AO39" si="41">W34+AA34-AM34</f>
        <v>11779320</v>
      </c>
      <c r="AQ34" s="3">
        <v>0</v>
      </c>
      <c r="AR34" s="3">
        <v>11000000</v>
      </c>
      <c r="AS34" s="3">
        <v>0</v>
      </c>
      <c r="AT34" s="3">
        <f>AQ34+AR34-AS34</f>
        <v>11000000</v>
      </c>
    </row>
    <row r="35" spans="2:46" x14ac:dyDescent="0.3">
      <c r="B35" t="s">
        <v>4</v>
      </c>
      <c r="D35" s="3">
        <f>((21000000*110%)*20%)</f>
        <v>4620000.0000000009</v>
      </c>
      <c r="E35" s="3">
        <f>((21000000*110%)*80%)</f>
        <v>18480000.000000004</v>
      </c>
      <c r="F35" s="3">
        <f t="shared" si="29"/>
        <v>7392000</v>
      </c>
      <c r="G35" s="3">
        <f t="shared" si="30"/>
        <v>30492000.000000004</v>
      </c>
      <c r="H35" s="3"/>
      <c r="I35" s="3">
        <f t="shared" si="31"/>
        <v>16170000.000000002</v>
      </c>
      <c r="J35" s="3">
        <v>3900000</v>
      </c>
      <c r="K35" s="3">
        <v>250000</v>
      </c>
      <c r="L35" s="4">
        <f t="shared" si="40"/>
        <v>1524600.0000000002</v>
      </c>
      <c r="M35" s="4">
        <f t="shared" ref="M35:M40" si="42">G35*4%</f>
        <v>1219680.0000000002</v>
      </c>
      <c r="N35" s="3">
        <v>1200000</v>
      </c>
      <c r="O35" s="3">
        <v>0</v>
      </c>
      <c r="P35" s="3">
        <f>((2000000*16%)/12)+((AQ35*16%)/12)</f>
        <v>173333.33333333331</v>
      </c>
      <c r="Q35" s="3">
        <f t="shared" si="34"/>
        <v>200000</v>
      </c>
      <c r="R35" s="3"/>
      <c r="S35" s="4">
        <f t="shared" ref="S35:S39" si="43">G35-(I35+J35+K35+L35+M35+N35)</f>
        <v>6227720.0000000037</v>
      </c>
      <c r="T35" s="4">
        <f t="shared" ref="T35:T39" si="44">S35-P35</f>
        <v>6054386.6666666707</v>
      </c>
      <c r="U35" s="4">
        <f t="shared" ref="U35:U39" si="45">T35-Q35</f>
        <v>5854386.6666666707</v>
      </c>
      <c r="W35" s="4">
        <f>AO34</f>
        <v>11779320</v>
      </c>
      <c r="X35" s="4">
        <f t="shared" si="35"/>
        <v>4620000.0000000009</v>
      </c>
      <c r="Y35" s="4">
        <f t="shared" ref="Y35:Y40" si="46">((E32*20%)+(E33*30%)+(E34*50%))</f>
        <v>24816000</v>
      </c>
      <c r="Z35" s="4">
        <f t="shared" ref="Z35:Z40" si="47">AR35</f>
        <v>0</v>
      </c>
      <c r="AA35" s="4">
        <f t="shared" ref="AA35:AA40" si="48">SUM(X35:Z35)</f>
        <v>29436000</v>
      </c>
      <c r="AC35" s="4">
        <f t="shared" ref="AC35:AC40" si="49">(I32*20%)+(I33*20%)+(I34*60%)</f>
        <v>21252000</v>
      </c>
      <c r="AD35" s="4">
        <f t="shared" ref="AD35:AD39" si="50">J35</f>
        <v>3900000</v>
      </c>
      <c r="AE35" s="4">
        <f t="shared" si="36"/>
        <v>250000</v>
      </c>
      <c r="AF35" s="4">
        <f t="shared" si="37"/>
        <v>1524600.0000000002</v>
      </c>
      <c r="AG35" s="4">
        <f t="shared" si="38"/>
        <v>1219680.0000000002</v>
      </c>
      <c r="AH35" s="3">
        <f>7000000*50%</f>
        <v>3500000</v>
      </c>
      <c r="AI35" s="3">
        <f>((AQ35*16%)/12)</f>
        <v>146666.66666666666</v>
      </c>
      <c r="AJ35" s="3">
        <v>0</v>
      </c>
      <c r="AK35" s="3">
        <v>0</v>
      </c>
      <c r="AL35" s="3">
        <f>AS35</f>
        <v>0</v>
      </c>
      <c r="AM35" s="4">
        <f t="shared" si="39"/>
        <v>31792946.666666668</v>
      </c>
      <c r="AO35" s="4">
        <f t="shared" si="41"/>
        <v>9422373.3333333321</v>
      </c>
      <c r="AQ35" s="3">
        <f>AT34</f>
        <v>11000000</v>
      </c>
      <c r="AR35" s="3">
        <v>0</v>
      </c>
      <c r="AS35" s="3">
        <v>0</v>
      </c>
      <c r="AT35" s="3">
        <f t="shared" ref="AT35:AT40" si="51">AQ35+AR35-AS35</f>
        <v>11000000</v>
      </c>
    </row>
    <row r="36" spans="2:46" x14ac:dyDescent="0.3">
      <c r="B36" t="s">
        <v>5</v>
      </c>
      <c r="D36" s="3">
        <f>((16000000*110%)*20%)</f>
        <v>3520000</v>
      </c>
      <c r="E36" s="3">
        <f>((16000000*110%)*80%)</f>
        <v>14080000</v>
      </c>
      <c r="F36" s="3">
        <f t="shared" si="29"/>
        <v>11088000</v>
      </c>
      <c r="G36" s="3">
        <f t="shared" si="30"/>
        <v>28688000</v>
      </c>
      <c r="H36" s="3"/>
      <c r="I36" s="3">
        <f t="shared" si="31"/>
        <v>12320000</v>
      </c>
      <c r="J36" s="3">
        <v>3200000</v>
      </c>
      <c r="K36" s="3">
        <v>250000</v>
      </c>
      <c r="L36" s="4">
        <f t="shared" si="40"/>
        <v>1434400</v>
      </c>
      <c r="M36" s="4">
        <f t="shared" si="42"/>
        <v>1147520</v>
      </c>
      <c r="N36" s="3">
        <v>1200000</v>
      </c>
      <c r="O36" s="3">
        <v>0</v>
      </c>
      <c r="P36" s="3">
        <f>((2000000*16%)/12)+((AQ36*16%)/12)</f>
        <v>173333.33333333331</v>
      </c>
      <c r="Q36" s="3">
        <f t="shared" si="34"/>
        <v>200000</v>
      </c>
      <c r="R36" s="3"/>
      <c r="S36" s="4">
        <f t="shared" si="43"/>
        <v>9136080</v>
      </c>
      <c r="T36" s="4">
        <f t="shared" si="44"/>
        <v>8962746.666666666</v>
      </c>
      <c r="U36" s="4">
        <f t="shared" si="45"/>
        <v>8762746.666666666</v>
      </c>
      <c r="W36" s="4">
        <f t="shared" ref="W36:W40" si="52">AO35</f>
        <v>9422373.3333333321</v>
      </c>
      <c r="X36" s="4">
        <f t="shared" si="35"/>
        <v>3520000</v>
      </c>
      <c r="Y36" s="4">
        <f t="shared" si="46"/>
        <v>21736000</v>
      </c>
      <c r="Z36" s="4">
        <f t="shared" si="47"/>
        <v>0</v>
      </c>
      <c r="AA36" s="4">
        <f t="shared" si="48"/>
        <v>25256000</v>
      </c>
      <c r="AC36" s="4">
        <f t="shared" si="49"/>
        <v>18634000</v>
      </c>
      <c r="AD36" s="4">
        <f t="shared" si="50"/>
        <v>3200000</v>
      </c>
      <c r="AE36" s="4">
        <f t="shared" si="36"/>
        <v>250000</v>
      </c>
      <c r="AF36" s="4">
        <f t="shared" si="37"/>
        <v>1434400</v>
      </c>
      <c r="AG36" s="4">
        <f t="shared" si="38"/>
        <v>1147520</v>
      </c>
      <c r="AH36" s="3">
        <f>7000000*50%</f>
        <v>3500000</v>
      </c>
      <c r="AI36" s="3">
        <f>((2000000*16%)/2)+((AQ36*16%)/12)</f>
        <v>306666.66666666663</v>
      </c>
      <c r="AJ36" s="3">
        <v>0</v>
      </c>
      <c r="AK36" s="3">
        <f>2400000/4</f>
        <v>600000</v>
      </c>
      <c r="AL36" s="3">
        <f t="shared" ref="AL36:AL40" si="53">AS36</f>
        <v>0</v>
      </c>
      <c r="AM36" s="4">
        <f t="shared" si="39"/>
        <v>29072586.666666668</v>
      </c>
      <c r="AO36" s="4">
        <f t="shared" si="41"/>
        <v>5605786.6666666605</v>
      </c>
      <c r="AQ36" s="3">
        <f>AT35</f>
        <v>11000000</v>
      </c>
      <c r="AR36" s="3">
        <v>0</v>
      </c>
      <c r="AS36" s="3">
        <v>0</v>
      </c>
      <c r="AT36" s="3">
        <f t="shared" si="51"/>
        <v>11000000</v>
      </c>
    </row>
    <row r="37" spans="2:46" x14ac:dyDescent="0.3">
      <c r="B37" t="s">
        <v>6</v>
      </c>
      <c r="D37" s="3">
        <f>((24000000*110%)*20%)</f>
        <v>5280000.0000000009</v>
      </c>
      <c r="E37" s="3">
        <f>((24000000*110%)*80%)</f>
        <v>21120000.000000004</v>
      </c>
      <c r="F37" s="3">
        <f t="shared" si="29"/>
        <v>9239999.9999999981</v>
      </c>
      <c r="G37" s="3">
        <f t="shared" si="30"/>
        <v>35640000</v>
      </c>
      <c r="H37" s="3"/>
      <c r="I37" s="3">
        <f t="shared" si="31"/>
        <v>18480000</v>
      </c>
      <c r="J37" s="3">
        <v>4000000</v>
      </c>
      <c r="K37" s="3">
        <v>250000</v>
      </c>
      <c r="L37" s="4">
        <f t="shared" si="40"/>
        <v>1782000</v>
      </c>
      <c r="M37" s="4">
        <f t="shared" si="42"/>
        <v>1425600</v>
      </c>
      <c r="N37" s="3">
        <v>1200000</v>
      </c>
      <c r="O37" s="3">
        <v>0</v>
      </c>
      <c r="P37" s="3">
        <f t="shared" ref="P37:P40" si="54">((2000000*16%)/12)+((AQ37*16%)/12)</f>
        <v>173333.33333333331</v>
      </c>
      <c r="Q37" s="3">
        <f t="shared" si="34"/>
        <v>200000</v>
      </c>
      <c r="R37" s="3"/>
      <c r="S37" s="4">
        <f t="shared" si="43"/>
        <v>8502400</v>
      </c>
      <c r="T37" s="4">
        <f t="shared" si="44"/>
        <v>8329066.666666667</v>
      </c>
      <c r="U37" s="4">
        <f t="shared" si="45"/>
        <v>8129066.666666667</v>
      </c>
      <c r="W37" s="4">
        <f t="shared" si="52"/>
        <v>5605786.6666666605</v>
      </c>
      <c r="X37" s="4">
        <f t="shared" si="35"/>
        <v>5280000.0000000009</v>
      </c>
      <c r="Y37" s="4">
        <f t="shared" si="46"/>
        <v>17160000</v>
      </c>
      <c r="Z37" s="4">
        <f t="shared" si="47"/>
        <v>0</v>
      </c>
      <c r="AA37" s="4">
        <f t="shared" si="48"/>
        <v>22440000</v>
      </c>
      <c r="AC37" s="4">
        <f t="shared" si="49"/>
        <v>14630000</v>
      </c>
      <c r="AD37" s="4">
        <f t="shared" si="50"/>
        <v>4000000</v>
      </c>
      <c r="AE37" s="4">
        <f t="shared" si="36"/>
        <v>250000</v>
      </c>
      <c r="AF37" s="4">
        <f t="shared" si="37"/>
        <v>1782000</v>
      </c>
      <c r="AG37" s="4">
        <f t="shared" si="38"/>
        <v>1425600</v>
      </c>
      <c r="AH37" s="3">
        <v>0</v>
      </c>
      <c r="AI37" s="3">
        <f>(AQ37*16%)/12</f>
        <v>146666.66666666666</v>
      </c>
      <c r="AJ37" s="3">
        <v>0</v>
      </c>
      <c r="AK37" s="3">
        <v>0</v>
      </c>
      <c r="AL37" s="3">
        <f t="shared" si="53"/>
        <v>0</v>
      </c>
      <c r="AM37" s="4">
        <f t="shared" si="39"/>
        <v>22234266.666666668</v>
      </c>
      <c r="AO37" s="4">
        <f t="shared" si="41"/>
        <v>5811519.9999999925</v>
      </c>
      <c r="AQ37" s="3">
        <f t="shared" ref="AQ37:AQ40" si="55">AT36</f>
        <v>11000000</v>
      </c>
      <c r="AR37" s="3">
        <v>0</v>
      </c>
      <c r="AS37" s="3"/>
      <c r="AT37" s="3">
        <f t="shared" si="51"/>
        <v>11000000</v>
      </c>
    </row>
    <row r="38" spans="2:46" x14ac:dyDescent="0.3">
      <c r="B38" t="s">
        <v>7</v>
      </c>
      <c r="D38" s="3">
        <f>((20000000*110%)*20%)</f>
        <v>4400000</v>
      </c>
      <c r="E38" s="3">
        <f>((20000000*110%)*80%)</f>
        <v>17600000</v>
      </c>
      <c r="F38" s="3">
        <f t="shared" si="29"/>
        <v>7392000</v>
      </c>
      <c r="G38" s="3">
        <f t="shared" si="30"/>
        <v>29392000</v>
      </c>
      <c r="H38" s="3"/>
      <c r="I38" s="3">
        <f t="shared" si="31"/>
        <v>15399999.999999998</v>
      </c>
      <c r="J38" s="3">
        <v>3200000</v>
      </c>
      <c r="K38" s="3">
        <v>250000</v>
      </c>
      <c r="L38" s="4">
        <f t="shared" si="40"/>
        <v>1469600</v>
      </c>
      <c r="M38" s="4">
        <f t="shared" si="42"/>
        <v>1175680</v>
      </c>
      <c r="N38" s="3">
        <v>1200000</v>
      </c>
      <c r="O38" s="3">
        <v>0</v>
      </c>
      <c r="P38" s="3">
        <f t="shared" si="54"/>
        <v>173333.33333333331</v>
      </c>
      <c r="Q38" s="3">
        <f t="shared" si="34"/>
        <v>200000</v>
      </c>
      <c r="R38" s="3"/>
      <c r="S38" s="4">
        <f t="shared" si="43"/>
        <v>6696720</v>
      </c>
      <c r="T38" s="4">
        <f t="shared" si="44"/>
        <v>6523386.666666667</v>
      </c>
      <c r="U38" s="4">
        <f t="shared" si="45"/>
        <v>6323386.666666667</v>
      </c>
      <c r="W38" s="4">
        <f t="shared" si="52"/>
        <v>5811519.9999999925</v>
      </c>
      <c r="X38" s="4">
        <f t="shared" si="35"/>
        <v>4400000</v>
      </c>
      <c r="Y38" s="4">
        <f t="shared" si="46"/>
        <v>18480000.000000004</v>
      </c>
      <c r="Z38" s="4">
        <f t="shared" si="47"/>
        <v>0</v>
      </c>
      <c r="AA38" s="4">
        <f t="shared" si="48"/>
        <v>22880000.000000004</v>
      </c>
      <c r="AC38" s="4">
        <f t="shared" si="49"/>
        <v>16786000</v>
      </c>
      <c r="AD38" s="4">
        <f t="shared" si="50"/>
        <v>3200000</v>
      </c>
      <c r="AE38" s="4">
        <f t="shared" si="36"/>
        <v>250000</v>
      </c>
      <c r="AF38" s="4">
        <f t="shared" si="37"/>
        <v>1469600</v>
      </c>
      <c r="AG38" s="4">
        <f t="shared" si="38"/>
        <v>1175680</v>
      </c>
      <c r="AH38" s="3">
        <v>0</v>
      </c>
      <c r="AI38" s="3">
        <f t="shared" ref="AI38:AI40" si="56">(AQ38*16%)/12</f>
        <v>146666.66666666666</v>
      </c>
      <c r="AJ38" s="3">
        <v>0</v>
      </c>
      <c r="AK38" s="3">
        <v>0</v>
      </c>
      <c r="AL38" s="3">
        <f>AS38</f>
        <v>0</v>
      </c>
      <c r="AM38" s="4">
        <f t="shared" si="39"/>
        <v>23027946.666666668</v>
      </c>
      <c r="AO38" s="4">
        <f t="shared" si="41"/>
        <v>5663573.3333333284</v>
      </c>
      <c r="AQ38" s="3">
        <f t="shared" si="55"/>
        <v>11000000</v>
      </c>
      <c r="AR38" s="3">
        <v>0</v>
      </c>
      <c r="AS38" s="3">
        <v>0</v>
      </c>
      <c r="AT38" s="3">
        <f t="shared" si="51"/>
        <v>11000000</v>
      </c>
    </row>
    <row r="39" spans="2:46" x14ac:dyDescent="0.3">
      <c r="B39" t="s">
        <v>8</v>
      </c>
      <c r="D39" s="3">
        <f>((16000000*110%)*20%)</f>
        <v>3520000</v>
      </c>
      <c r="E39" s="3">
        <f>((16000000*110%)*80%)</f>
        <v>14080000</v>
      </c>
      <c r="F39" s="3">
        <f t="shared" si="29"/>
        <v>9239999.9999999981</v>
      </c>
      <c r="G39" s="3">
        <f t="shared" si="30"/>
        <v>26840000</v>
      </c>
      <c r="H39" s="3"/>
      <c r="I39" s="3">
        <f t="shared" si="31"/>
        <v>12320000</v>
      </c>
      <c r="J39" s="3">
        <v>2800000</v>
      </c>
      <c r="K39" s="3">
        <v>250000</v>
      </c>
      <c r="L39" s="4">
        <f t="shared" si="40"/>
        <v>1342000</v>
      </c>
      <c r="M39" s="4">
        <f t="shared" si="42"/>
        <v>1073600</v>
      </c>
      <c r="N39" s="3">
        <v>1200000</v>
      </c>
      <c r="O39" s="3">
        <v>0</v>
      </c>
      <c r="P39" s="3">
        <f t="shared" si="54"/>
        <v>173333.33333333331</v>
      </c>
      <c r="Q39" s="3">
        <f t="shared" si="34"/>
        <v>200000</v>
      </c>
      <c r="R39" s="3"/>
      <c r="S39" s="4">
        <f t="shared" si="43"/>
        <v>7854400</v>
      </c>
      <c r="T39" s="4">
        <f t="shared" si="44"/>
        <v>7681066.666666667</v>
      </c>
      <c r="U39" s="4">
        <f t="shared" si="45"/>
        <v>7481066.666666667</v>
      </c>
      <c r="W39" s="4">
        <f t="shared" si="52"/>
        <v>5663573.3333333284</v>
      </c>
      <c r="X39" s="4">
        <f t="shared" si="35"/>
        <v>3520000</v>
      </c>
      <c r="Y39" s="4">
        <f t="shared" si="46"/>
        <v>17952000</v>
      </c>
      <c r="Z39" s="4">
        <f t="shared" si="47"/>
        <v>0</v>
      </c>
      <c r="AA39" s="4">
        <f t="shared" si="48"/>
        <v>21472000</v>
      </c>
      <c r="AC39" s="4">
        <f t="shared" si="49"/>
        <v>15399999.999999998</v>
      </c>
      <c r="AD39" s="4">
        <f t="shared" si="50"/>
        <v>2800000</v>
      </c>
      <c r="AE39" s="4">
        <f t="shared" si="36"/>
        <v>250000</v>
      </c>
      <c r="AF39" s="4">
        <f t="shared" si="37"/>
        <v>1342000</v>
      </c>
      <c r="AG39" s="4">
        <f t="shared" si="38"/>
        <v>1073600</v>
      </c>
      <c r="AH39" s="3">
        <v>0</v>
      </c>
      <c r="AI39" s="3">
        <f t="shared" si="56"/>
        <v>146666.66666666666</v>
      </c>
      <c r="AJ39" s="3">
        <v>0</v>
      </c>
      <c r="AK39" s="3">
        <f>2400000/4</f>
        <v>600000</v>
      </c>
      <c r="AL39" s="3">
        <f t="shared" si="53"/>
        <v>0</v>
      </c>
      <c r="AM39" s="4">
        <f t="shared" si="39"/>
        <v>21612266.666666668</v>
      </c>
      <c r="AO39" s="4">
        <f t="shared" si="41"/>
        <v>5523306.6666666605</v>
      </c>
      <c r="AQ39" s="3">
        <f t="shared" si="55"/>
        <v>11000000</v>
      </c>
      <c r="AR39" s="3">
        <v>0</v>
      </c>
      <c r="AS39" s="3">
        <v>0</v>
      </c>
      <c r="AT39" s="3">
        <f t="shared" si="51"/>
        <v>11000000</v>
      </c>
    </row>
    <row r="40" spans="2:46" x14ac:dyDescent="0.3">
      <c r="B40" t="s">
        <v>9</v>
      </c>
      <c r="D40" s="3">
        <f>((20000000*110%)*20%)</f>
        <v>4400000</v>
      </c>
      <c r="E40" s="3">
        <f>((20000000*110%)*80%)</f>
        <v>17600000</v>
      </c>
      <c r="F40" s="3">
        <f t="shared" si="29"/>
        <v>0</v>
      </c>
      <c r="G40" s="3">
        <f t="shared" si="30"/>
        <v>22000000</v>
      </c>
      <c r="H40" s="3"/>
      <c r="I40" s="3">
        <f t="shared" si="31"/>
        <v>15399999.999999998</v>
      </c>
      <c r="J40" s="3"/>
      <c r="K40" s="3">
        <v>250000</v>
      </c>
      <c r="L40" s="4">
        <f t="shared" si="40"/>
        <v>1100000</v>
      </c>
      <c r="M40" s="4">
        <f t="shared" si="42"/>
        <v>880000</v>
      </c>
      <c r="N40" s="3">
        <v>1200000</v>
      </c>
      <c r="O40" s="3">
        <v>0</v>
      </c>
      <c r="P40" s="3">
        <f t="shared" si="54"/>
        <v>173333.33333333331</v>
      </c>
      <c r="Q40" s="3">
        <f t="shared" si="34"/>
        <v>200000</v>
      </c>
      <c r="R40" s="3"/>
      <c r="S40" s="4"/>
      <c r="T40" s="4"/>
      <c r="U40" s="4"/>
      <c r="W40" s="4">
        <f t="shared" si="52"/>
        <v>5523306.6666666605</v>
      </c>
      <c r="X40" s="4">
        <f t="shared" si="35"/>
        <v>4400000</v>
      </c>
      <c r="Y40" s="4">
        <f t="shared" si="46"/>
        <v>16544000</v>
      </c>
      <c r="Z40" s="4">
        <f t="shared" si="47"/>
        <v>0</v>
      </c>
      <c r="AA40" s="4">
        <f t="shared" si="48"/>
        <v>20944000</v>
      </c>
      <c r="AC40" s="4">
        <f t="shared" si="49"/>
        <v>14168000</v>
      </c>
      <c r="AD40" s="4"/>
      <c r="AE40" s="4">
        <f t="shared" si="36"/>
        <v>250000</v>
      </c>
      <c r="AF40" s="4">
        <f t="shared" si="37"/>
        <v>1100000</v>
      </c>
      <c r="AG40" s="4">
        <f t="shared" si="38"/>
        <v>880000</v>
      </c>
      <c r="AH40" s="3">
        <v>0</v>
      </c>
      <c r="AI40" s="3">
        <f t="shared" si="56"/>
        <v>146666.66666666666</v>
      </c>
      <c r="AJ40" s="3">
        <v>0</v>
      </c>
      <c r="AK40" s="3">
        <v>0</v>
      </c>
      <c r="AL40" s="3">
        <f t="shared" si="53"/>
        <v>0</v>
      </c>
      <c r="AM40" s="4">
        <f t="shared" si="39"/>
        <v>16544666.666666666</v>
      </c>
      <c r="AO40" s="4"/>
      <c r="AQ40" s="3">
        <f t="shared" si="55"/>
        <v>11000000</v>
      </c>
      <c r="AR40" s="3">
        <v>0</v>
      </c>
      <c r="AS40" s="3">
        <v>0</v>
      </c>
      <c r="AT40" s="3">
        <f t="shared" si="51"/>
        <v>11000000</v>
      </c>
    </row>
    <row r="41" spans="2:46" x14ac:dyDescent="0.3">
      <c r="Q41" s="4"/>
      <c r="X41" s="4"/>
      <c r="AC41" s="4"/>
      <c r="AD41" s="4"/>
    </row>
    <row r="42" spans="2:46" x14ac:dyDescent="0.3">
      <c r="B42" s="1" t="s">
        <v>39</v>
      </c>
      <c r="AG42" s="1"/>
    </row>
    <row r="43" spans="2:46" x14ac:dyDescent="0.3">
      <c r="B43" s="1" t="s">
        <v>48</v>
      </c>
    </row>
    <row r="45" spans="2:46" x14ac:dyDescent="0.3">
      <c r="B45" s="5" t="s">
        <v>56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2:46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2:46" x14ac:dyDescent="0.3">
      <c r="B47" s="2" t="s">
        <v>10</v>
      </c>
      <c r="C47" s="2"/>
      <c r="D47" s="7" t="s">
        <v>11</v>
      </c>
      <c r="E47" s="7"/>
      <c r="F47" s="7"/>
      <c r="G47" s="1"/>
      <c r="H47" s="2"/>
      <c r="I47" s="7" t="s">
        <v>14</v>
      </c>
      <c r="J47" s="7"/>
      <c r="K47" s="7"/>
      <c r="L47" s="7"/>
      <c r="M47" s="7"/>
      <c r="N47" s="7"/>
      <c r="O47" s="7"/>
      <c r="P47" s="7"/>
      <c r="Q47" s="7"/>
      <c r="R47" s="2"/>
      <c r="S47" s="7" t="s">
        <v>24</v>
      </c>
      <c r="T47" s="7"/>
      <c r="U47" s="7"/>
      <c r="V47" s="2"/>
      <c r="W47" s="1"/>
      <c r="X47" s="7" t="s">
        <v>25</v>
      </c>
      <c r="Y47" s="7"/>
      <c r="Z47" s="7"/>
      <c r="AA47" s="2"/>
      <c r="AB47" s="2"/>
      <c r="AC47" s="7" t="s">
        <v>27</v>
      </c>
      <c r="AD47" s="7"/>
      <c r="AE47" s="7"/>
      <c r="AF47" s="7"/>
      <c r="AG47" s="7"/>
      <c r="AH47" s="7"/>
      <c r="AI47" s="7"/>
      <c r="AJ47" s="7"/>
      <c r="AK47" s="7"/>
      <c r="AL47" s="7"/>
      <c r="AM47" s="2"/>
      <c r="AN47" s="2"/>
      <c r="AO47" s="2"/>
      <c r="AP47" s="2"/>
      <c r="AQ47" s="7" t="s">
        <v>49</v>
      </c>
      <c r="AR47" s="7"/>
      <c r="AS47" s="7"/>
      <c r="AT47" s="7"/>
    </row>
    <row r="48" spans="2:46" x14ac:dyDescent="0.3">
      <c r="B48" s="2"/>
      <c r="C48" s="2"/>
      <c r="D48" s="2" t="s">
        <v>12</v>
      </c>
      <c r="E48" s="2" t="s">
        <v>13</v>
      </c>
      <c r="F48" s="2" t="s">
        <v>47</v>
      </c>
      <c r="G48" s="2" t="s">
        <v>15</v>
      </c>
      <c r="H48" s="2"/>
      <c r="I48" s="2" t="s">
        <v>28</v>
      </c>
      <c r="J48" s="2" t="s">
        <v>16</v>
      </c>
      <c r="K48" s="2" t="s">
        <v>45</v>
      </c>
      <c r="L48" s="2" t="s">
        <v>46</v>
      </c>
      <c r="M48" s="2" t="s">
        <v>18</v>
      </c>
      <c r="N48" s="2" t="s">
        <v>19</v>
      </c>
      <c r="O48" s="2" t="s">
        <v>34</v>
      </c>
      <c r="P48" s="2" t="s">
        <v>20</v>
      </c>
      <c r="Q48" s="2" t="s">
        <v>38</v>
      </c>
      <c r="R48" s="2"/>
      <c r="S48" s="2" t="s">
        <v>21</v>
      </c>
      <c r="T48" s="2" t="s">
        <v>22</v>
      </c>
      <c r="U48" s="2" t="s">
        <v>23</v>
      </c>
      <c r="V48" s="2"/>
      <c r="W48" s="2" t="s">
        <v>26</v>
      </c>
      <c r="X48" s="2" t="s">
        <v>12</v>
      </c>
      <c r="Y48" s="2" t="s">
        <v>13</v>
      </c>
      <c r="Z48" s="2" t="s">
        <v>42</v>
      </c>
      <c r="AA48" s="2" t="s">
        <v>15</v>
      </c>
      <c r="AB48" s="2"/>
      <c r="AC48" s="2" t="s">
        <v>29</v>
      </c>
      <c r="AD48" s="2" t="s">
        <v>37</v>
      </c>
      <c r="AE48" s="2" t="s">
        <v>17</v>
      </c>
      <c r="AF48" s="2" t="s">
        <v>30</v>
      </c>
      <c r="AG48" s="2" t="s">
        <v>31</v>
      </c>
      <c r="AH48" s="2" t="s">
        <v>32</v>
      </c>
      <c r="AI48" s="2" t="s">
        <v>33</v>
      </c>
      <c r="AJ48" s="2" t="s">
        <v>34</v>
      </c>
      <c r="AK48" s="2" t="s">
        <v>40</v>
      </c>
      <c r="AL48" s="2" t="s">
        <v>43</v>
      </c>
      <c r="AM48" s="2" t="s">
        <v>35</v>
      </c>
      <c r="AN48" s="2"/>
      <c r="AO48" s="2" t="s">
        <v>36</v>
      </c>
      <c r="AP48" s="2"/>
      <c r="AQ48" s="2" t="s">
        <v>41</v>
      </c>
      <c r="AR48" s="2" t="s">
        <v>42</v>
      </c>
      <c r="AS48" s="2" t="s">
        <v>43</v>
      </c>
      <c r="AT48" s="2" t="s">
        <v>44</v>
      </c>
    </row>
    <row r="49" spans="2:46" x14ac:dyDescent="0.3">
      <c r="B49" t="s">
        <v>0</v>
      </c>
      <c r="D49" s="3">
        <f>((24000000*90%)*20%)</f>
        <v>4320000</v>
      </c>
      <c r="E49" s="3">
        <f>((24000000*90%)*80%)</f>
        <v>17280000</v>
      </c>
      <c r="F49" s="3">
        <f>I50*60%</f>
        <v>10584000</v>
      </c>
      <c r="G49" s="3">
        <f>SUM(D49:F49)</f>
        <v>32184000</v>
      </c>
      <c r="H49" s="3"/>
      <c r="I49" s="3">
        <f>(D49+E49)*70%</f>
        <v>15119999.999999998</v>
      </c>
      <c r="J49" s="3"/>
      <c r="K49" s="3">
        <v>250000</v>
      </c>
      <c r="L49" s="4">
        <f>G49*5%</f>
        <v>1609200</v>
      </c>
      <c r="M49" s="4">
        <f t="shared" ref="M49:M51" si="57">G49*4%</f>
        <v>1287360</v>
      </c>
      <c r="N49" s="3">
        <v>1200000</v>
      </c>
      <c r="O49" s="3">
        <v>0</v>
      </c>
      <c r="P49" s="3">
        <f>(2000000*16%)/12</f>
        <v>26666.666666666668</v>
      </c>
      <c r="Q49" s="3">
        <f>2400000/12</f>
        <v>200000</v>
      </c>
      <c r="R49" s="3"/>
      <c r="S49" s="4"/>
      <c r="T49" s="4"/>
      <c r="U49" s="4"/>
      <c r="X49" s="4">
        <f>D49</f>
        <v>4320000</v>
      </c>
      <c r="Z49" s="3">
        <v>0</v>
      </c>
      <c r="AC49" s="4"/>
      <c r="AD49" s="4"/>
      <c r="AE49" s="4">
        <f>K49</f>
        <v>250000</v>
      </c>
      <c r="AF49" s="4">
        <f>L49</f>
        <v>1609200</v>
      </c>
      <c r="AG49" s="4">
        <f>M49</f>
        <v>1287360</v>
      </c>
      <c r="AH49" s="3">
        <v>0</v>
      </c>
      <c r="AI49" s="3">
        <v>0</v>
      </c>
      <c r="AJ49" s="3">
        <v>0</v>
      </c>
      <c r="AK49" s="3">
        <v>0</v>
      </c>
      <c r="AL49" s="3">
        <f t="shared" ref="AL49" si="58">AS49</f>
        <v>0</v>
      </c>
      <c r="AM49" s="4">
        <f>SUM(AC49:AL49)</f>
        <v>3146560</v>
      </c>
      <c r="AO49" s="4"/>
      <c r="AQ49" s="3">
        <v>0</v>
      </c>
      <c r="AR49" s="3">
        <v>0</v>
      </c>
      <c r="AS49" s="3">
        <v>0</v>
      </c>
      <c r="AT49" s="3">
        <v>0</v>
      </c>
    </row>
    <row r="50" spans="2:46" x14ac:dyDescent="0.3">
      <c r="B50" t="s">
        <v>1</v>
      </c>
      <c r="D50" s="3">
        <f>((28000000*90%)*20%)</f>
        <v>5040000</v>
      </c>
      <c r="E50" s="3">
        <f>((28000000*90%)*80%)</f>
        <v>20160000</v>
      </c>
      <c r="F50" s="3">
        <f t="shared" ref="F50:F58" si="59">I51*60%</f>
        <v>12096000</v>
      </c>
      <c r="G50" s="3">
        <f t="shared" ref="G50:G58" si="60">SUM(D50:F50)</f>
        <v>37296000</v>
      </c>
      <c r="H50" s="3"/>
      <c r="I50" s="3">
        <f t="shared" ref="I50:I58" si="61">(D50+E50)*70%</f>
        <v>17640000</v>
      </c>
      <c r="J50" s="3"/>
      <c r="K50" s="3">
        <v>250000</v>
      </c>
      <c r="L50" s="4">
        <f t="shared" ref="L50" si="62">G50*5%</f>
        <v>1864800</v>
      </c>
      <c r="M50" s="4">
        <f t="shared" si="57"/>
        <v>1491840</v>
      </c>
      <c r="N50" s="3">
        <v>1200000</v>
      </c>
      <c r="O50" s="3">
        <v>0</v>
      </c>
      <c r="P50" s="3">
        <f t="shared" ref="P50:P52" si="63">(2000000*16%)/12</f>
        <v>26666.666666666668</v>
      </c>
      <c r="Q50" s="3">
        <f t="shared" ref="Q50:Q58" si="64">2400000/12</f>
        <v>200000</v>
      </c>
      <c r="R50" s="3"/>
      <c r="S50" s="4"/>
      <c r="T50" s="4"/>
      <c r="U50" s="4"/>
      <c r="X50" s="4">
        <f t="shared" ref="X50:X58" si="65">D50</f>
        <v>5040000</v>
      </c>
      <c r="Z50" s="3">
        <v>0</v>
      </c>
      <c r="AC50" s="4"/>
      <c r="AD50" s="4"/>
      <c r="AE50" s="4">
        <f t="shared" ref="AE50:AE58" si="66">K50</f>
        <v>250000</v>
      </c>
      <c r="AF50" s="4">
        <f t="shared" ref="AF50:AF58" si="67">L50</f>
        <v>1864800</v>
      </c>
      <c r="AG50" s="4">
        <f t="shared" ref="AG50:AG58" si="68">M50</f>
        <v>1491840</v>
      </c>
      <c r="AH50" s="3">
        <v>0</v>
      </c>
      <c r="AI50" s="3">
        <v>0</v>
      </c>
      <c r="AJ50" s="3">
        <v>0</v>
      </c>
      <c r="AK50" s="3">
        <v>0</v>
      </c>
      <c r="AL50" s="3">
        <f>AS50</f>
        <v>0</v>
      </c>
      <c r="AM50" s="4">
        <f t="shared" ref="AM50:AM58" si="69">SUM(AC50:AL50)</f>
        <v>3606640</v>
      </c>
      <c r="AO50" s="4"/>
      <c r="AQ50" s="3">
        <v>0</v>
      </c>
      <c r="AR50" s="3">
        <v>0</v>
      </c>
      <c r="AS50" s="3">
        <v>0</v>
      </c>
      <c r="AT50" s="3">
        <v>0</v>
      </c>
    </row>
    <row r="51" spans="2:46" x14ac:dyDescent="0.3">
      <c r="B51" t="s">
        <v>2</v>
      </c>
      <c r="D51" s="3">
        <f>((32000000*90%)*20%)</f>
        <v>5760000</v>
      </c>
      <c r="E51" s="3">
        <f>((32000000*90%)*80%)</f>
        <v>23040000</v>
      </c>
      <c r="F51" s="3">
        <f t="shared" si="59"/>
        <v>9827999.9999999981</v>
      </c>
      <c r="G51" s="3">
        <f t="shared" si="60"/>
        <v>38628000</v>
      </c>
      <c r="H51" s="3"/>
      <c r="I51" s="3">
        <f t="shared" si="61"/>
        <v>20160000</v>
      </c>
      <c r="J51" s="3"/>
      <c r="K51" s="3">
        <v>250000</v>
      </c>
      <c r="L51" s="4">
        <f>G51*5%</f>
        <v>1931400</v>
      </c>
      <c r="M51" s="4">
        <f t="shared" si="57"/>
        <v>1545120</v>
      </c>
      <c r="N51" s="3">
        <v>1200000</v>
      </c>
      <c r="O51" s="3">
        <v>0</v>
      </c>
      <c r="P51" s="3">
        <f t="shared" si="63"/>
        <v>26666.666666666668</v>
      </c>
      <c r="Q51" s="3">
        <f t="shared" si="64"/>
        <v>200000</v>
      </c>
      <c r="R51" s="3"/>
      <c r="S51" s="4"/>
      <c r="T51" s="4"/>
      <c r="U51" s="4"/>
      <c r="X51" s="4">
        <f t="shared" si="65"/>
        <v>5760000</v>
      </c>
      <c r="Z51" s="3">
        <v>0</v>
      </c>
      <c r="AC51" s="4"/>
      <c r="AD51" s="4"/>
      <c r="AE51" s="4">
        <f t="shared" si="66"/>
        <v>250000</v>
      </c>
      <c r="AF51" s="4">
        <f t="shared" si="67"/>
        <v>1931400</v>
      </c>
      <c r="AG51" s="4">
        <f t="shared" si="68"/>
        <v>1545120</v>
      </c>
      <c r="AH51" s="3">
        <v>0</v>
      </c>
      <c r="AI51" s="3">
        <v>0</v>
      </c>
      <c r="AJ51" s="3">
        <v>0</v>
      </c>
      <c r="AK51" s="3">
        <f>2400000/4</f>
        <v>600000</v>
      </c>
      <c r="AL51" s="3">
        <f t="shared" ref="AL51:AL52" si="70">AS51</f>
        <v>0</v>
      </c>
      <c r="AM51" s="4">
        <f t="shared" si="69"/>
        <v>4326520</v>
      </c>
      <c r="AO51" s="4"/>
      <c r="AQ51" s="3">
        <v>0</v>
      </c>
      <c r="AR51" s="3">
        <v>0</v>
      </c>
      <c r="AS51" s="3">
        <v>0</v>
      </c>
      <c r="AT51" s="3">
        <v>0</v>
      </c>
    </row>
    <row r="52" spans="2:46" x14ac:dyDescent="0.3">
      <c r="B52" t="s">
        <v>3</v>
      </c>
      <c r="D52" s="3">
        <f>((26000000*90%)*20%)</f>
        <v>4680000</v>
      </c>
      <c r="E52" s="3">
        <f>((26000000*90%)*80%)</f>
        <v>18720000</v>
      </c>
      <c r="F52" s="3">
        <f t="shared" si="59"/>
        <v>7938000</v>
      </c>
      <c r="G52" s="3">
        <f t="shared" si="60"/>
        <v>31338000</v>
      </c>
      <c r="H52" s="3"/>
      <c r="I52" s="3">
        <f t="shared" si="61"/>
        <v>16379999.999999998</v>
      </c>
      <c r="J52" s="3">
        <v>4200000</v>
      </c>
      <c r="K52" s="3">
        <v>250000</v>
      </c>
      <c r="L52" s="4">
        <f t="shared" ref="L52:L58" si="71">G52*5%</f>
        <v>1566900</v>
      </c>
      <c r="M52" s="4">
        <f>G52*4%</f>
        <v>1253520</v>
      </c>
      <c r="N52" s="3">
        <v>1200000</v>
      </c>
      <c r="O52" s="3">
        <f>250000*35%</f>
        <v>87500</v>
      </c>
      <c r="P52" s="3">
        <f t="shared" si="63"/>
        <v>26666.666666666668</v>
      </c>
      <c r="Q52" s="3">
        <f t="shared" si="64"/>
        <v>200000</v>
      </c>
      <c r="R52" s="3"/>
      <c r="S52" s="4">
        <f>G52-(I52+J52+K52+L52+M52+N52)</f>
        <v>6487580</v>
      </c>
      <c r="T52" s="4">
        <f>S52-P52</f>
        <v>6460913.333333333</v>
      </c>
      <c r="U52" s="4">
        <f>T52-Q52</f>
        <v>6260913.333333333</v>
      </c>
      <c r="W52" s="3">
        <v>140000</v>
      </c>
      <c r="X52" s="4">
        <f t="shared" si="65"/>
        <v>4680000</v>
      </c>
      <c r="Y52" s="4">
        <f>((E49*20%)+(E50*30%)+(E51*50%))</f>
        <v>21024000</v>
      </c>
      <c r="Z52" s="4">
        <f>AR52</f>
        <v>11000000</v>
      </c>
      <c r="AA52" s="4">
        <f>SUM(X52:Z52)</f>
        <v>36704000</v>
      </c>
      <c r="AC52" s="4">
        <f>(I49*20%)+(I50*20%)+(I51*60%)</f>
        <v>18648000</v>
      </c>
      <c r="AD52" s="4">
        <f>J52</f>
        <v>4200000</v>
      </c>
      <c r="AE52" s="4">
        <f t="shared" si="66"/>
        <v>250000</v>
      </c>
      <c r="AF52" s="4">
        <f t="shared" si="67"/>
        <v>1566900</v>
      </c>
      <c r="AG52" s="4">
        <f t="shared" si="68"/>
        <v>1253520</v>
      </c>
      <c r="AH52" s="3">
        <v>0</v>
      </c>
      <c r="AI52" s="3">
        <v>0</v>
      </c>
      <c r="AJ52" s="3">
        <f>O52</f>
        <v>87500</v>
      </c>
      <c r="AK52" s="3">
        <v>0</v>
      </c>
      <c r="AL52" s="3">
        <f t="shared" si="70"/>
        <v>0</v>
      </c>
      <c r="AM52" s="4">
        <f t="shared" si="69"/>
        <v>26005920</v>
      </c>
      <c r="AO52" s="4">
        <f t="shared" ref="AO52:AO57" si="72">W52+AA52-AM52</f>
        <v>10838080</v>
      </c>
      <c r="AQ52" s="3">
        <v>0</v>
      </c>
      <c r="AR52" s="3">
        <v>11000000</v>
      </c>
      <c r="AS52" s="3">
        <v>0</v>
      </c>
      <c r="AT52" s="3">
        <f>AQ52+AR52-AS52</f>
        <v>11000000</v>
      </c>
    </row>
    <row r="53" spans="2:46" x14ac:dyDescent="0.3">
      <c r="B53" t="s">
        <v>4</v>
      </c>
      <c r="D53" s="3">
        <f>((21000000*90%)*20%)</f>
        <v>3780000</v>
      </c>
      <c r="E53" s="3">
        <f>((21000000*90%)*80%)</f>
        <v>15120000</v>
      </c>
      <c r="F53" s="3">
        <f t="shared" si="59"/>
        <v>6048000</v>
      </c>
      <c r="G53" s="3">
        <f t="shared" si="60"/>
        <v>24948000</v>
      </c>
      <c r="H53" s="3"/>
      <c r="I53" s="3">
        <f t="shared" si="61"/>
        <v>13230000</v>
      </c>
      <c r="J53" s="3">
        <v>3900000</v>
      </c>
      <c r="K53" s="3">
        <v>250000</v>
      </c>
      <c r="L53" s="4">
        <f t="shared" si="71"/>
        <v>1247400</v>
      </c>
      <c r="M53" s="4">
        <f t="shared" ref="M53:M58" si="73">G53*4%</f>
        <v>997920</v>
      </c>
      <c r="N53" s="3">
        <v>1200000</v>
      </c>
      <c r="O53" s="3">
        <v>0</v>
      </c>
      <c r="P53" s="3">
        <f>((2000000*16%)/12)+((AQ53*16%)/12)</f>
        <v>173333.33333333331</v>
      </c>
      <c r="Q53" s="3">
        <f t="shared" si="64"/>
        <v>200000</v>
      </c>
      <c r="R53" s="3"/>
      <c r="S53" s="4">
        <f t="shared" ref="S53:S57" si="74">G53-(I53+J53+K53+L53+M53+N53)</f>
        <v>4122680</v>
      </c>
      <c r="T53" s="4">
        <f t="shared" ref="T53:T57" si="75">S53-P53</f>
        <v>3949346.6666666665</v>
      </c>
      <c r="U53" s="4">
        <f t="shared" ref="U53:U57" si="76">T53-Q53</f>
        <v>3749346.6666666665</v>
      </c>
      <c r="W53" s="4">
        <f>AO52</f>
        <v>10838080</v>
      </c>
      <c r="X53" s="4">
        <f t="shared" si="65"/>
        <v>3780000</v>
      </c>
      <c r="Y53" s="4">
        <f t="shared" ref="Y53:Y58" si="77">((E50*20%)+(E51*30%)+(E52*50%))</f>
        <v>20304000</v>
      </c>
      <c r="Z53" s="4">
        <f t="shared" ref="Z53:Z58" si="78">AR53</f>
        <v>0</v>
      </c>
      <c r="AA53" s="4">
        <f t="shared" ref="AA53:AA58" si="79">SUM(X53:Z53)</f>
        <v>24084000</v>
      </c>
      <c r="AC53" s="4">
        <f t="shared" ref="AC53:AC58" si="80">(I50*20%)+(I51*20%)+(I52*60%)</f>
        <v>17388000</v>
      </c>
      <c r="AD53" s="4">
        <f t="shared" ref="AD53:AD57" si="81">J53</f>
        <v>3900000</v>
      </c>
      <c r="AE53" s="4">
        <f t="shared" si="66"/>
        <v>250000</v>
      </c>
      <c r="AF53" s="4">
        <f t="shared" si="67"/>
        <v>1247400</v>
      </c>
      <c r="AG53" s="4">
        <f t="shared" si="68"/>
        <v>997920</v>
      </c>
      <c r="AH53" s="3">
        <f>7000000*50%</f>
        <v>3500000</v>
      </c>
      <c r="AI53" s="3">
        <f>((AQ53*16%)/12)</f>
        <v>146666.66666666666</v>
      </c>
      <c r="AJ53" s="3">
        <v>0</v>
      </c>
      <c r="AK53" s="3">
        <v>0</v>
      </c>
      <c r="AL53" s="3">
        <f>AS53</f>
        <v>0</v>
      </c>
      <c r="AM53" s="4">
        <f t="shared" si="69"/>
        <v>27429986.666666668</v>
      </c>
      <c r="AO53" s="4">
        <f t="shared" si="72"/>
        <v>7492093.3333333321</v>
      </c>
      <c r="AQ53" s="3">
        <f>AT52</f>
        <v>11000000</v>
      </c>
      <c r="AR53" s="3">
        <v>0</v>
      </c>
      <c r="AS53" s="3">
        <v>0</v>
      </c>
      <c r="AT53" s="3">
        <f t="shared" ref="AT53:AT58" si="82">AQ53+AR53-AS53</f>
        <v>11000000</v>
      </c>
    </row>
    <row r="54" spans="2:46" x14ac:dyDescent="0.3">
      <c r="B54" t="s">
        <v>5</v>
      </c>
      <c r="D54" s="3">
        <f>((16000000*90%)*20%)</f>
        <v>2880000</v>
      </c>
      <c r="E54" s="3">
        <f>((16000000*90%)*80%)</f>
        <v>11520000</v>
      </c>
      <c r="F54" s="3">
        <f t="shared" si="59"/>
        <v>9071999.9999999981</v>
      </c>
      <c r="G54" s="3">
        <f t="shared" si="60"/>
        <v>23472000</v>
      </c>
      <c r="H54" s="3"/>
      <c r="I54" s="3">
        <f t="shared" si="61"/>
        <v>10080000</v>
      </c>
      <c r="J54" s="3">
        <v>3200000</v>
      </c>
      <c r="K54" s="3">
        <v>250000</v>
      </c>
      <c r="L54" s="4">
        <f t="shared" si="71"/>
        <v>1173600</v>
      </c>
      <c r="M54" s="4">
        <f t="shared" si="73"/>
        <v>938880</v>
      </c>
      <c r="N54" s="3">
        <v>1200000</v>
      </c>
      <c r="O54" s="3">
        <v>0</v>
      </c>
      <c r="P54" s="3">
        <f>((2000000*16%)/12)+((AQ54*16%)/12)</f>
        <v>173333.33333333331</v>
      </c>
      <c r="Q54" s="3">
        <f t="shared" si="64"/>
        <v>200000</v>
      </c>
      <c r="R54" s="3"/>
      <c r="S54" s="4">
        <f t="shared" si="74"/>
        <v>6629520</v>
      </c>
      <c r="T54" s="4">
        <f t="shared" si="75"/>
        <v>6456186.666666667</v>
      </c>
      <c r="U54" s="4">
        <f t="shared" si="76"/>
        <v>6256186.666666667</v>
      </c>
      <c r="W54" s="4">
        <f t="shared" ref="W54:W58" si="83">AO53</f>
        <v>7492093.3333333321</v>
      </c>
      <c r="X54" s="4">
        <f t="shared" si="65"/>
        <v>2880000</v>
      </c>
      <c r="Y54" s="4">
        <f t="shared" si="77"/>
        <v>17784000</v>
      </c>
      <c r="Z54" s="4">
        <f t="shared" si="78"/>
        <v>0</v>
      </c>
      <c r="AA54" s="4">
        <f t="shared" si="79"/>
        <v>20664000</v>
      </c>
      <c r="AC54" s="4">
        <f t="shared" si="80"/>
        <v>15246000</v>
      </c>
      <c r="AD54" s="4">
        <f t="shared" si="81"/>
        <v>3200000</v>
      </c>
      <c r="AE54" s="4">
        <f t="shared" si="66"/>
        <v>250000</v>
      </c>
      <c r="AF54" s="4">
        <f t="shared" si="67"/>
        <v>1173600</v>
      </c>
      <c r="AG54" s="4">
        <f t="shared" si="68"/>
        <v>938880</v>
      </c>
      <c r="AH54" s="3">
        <f>7000000*50%</f>
        <v>3500000</v>
      </c>
      <c r="AI54" s="3">
        <f>((2000000*16%)/2)+((AQ54*16%)/12)</f>
        <v>306666.66666666663</v>
      </c>
      <c r="AJ54" s="3">
        <v>0</v>
      </c>
      <c r="AK54" s="3">
        <f>2400000/4</f>
        <v>600000</v>
      </c>
      <c r="AL54" s="3">
        <f t="shared" ref="AL54:AL55" si="84">AS54</f>
        <v>0</v>
      </c>
      <c r="AM54" s="4">
        <f t="shared" si="69"/>
        <v>25215146.666666668</v>
      </c>
      <c r="AO54" s="4">
        <f t="shared" si="72"/>
        <v>2940946.6666666642</v>
      </c>
      <c r="AQ54" s="3">
        <f>AT53</f>
        <v>11000000</v>
      </c>
      <c r="AR54" s="3">
        <v>0</v>
      </c>
      <c r="AS54" s="3">
        <v>0</v>
      </c>
      <c r="AT54" s="3">
        <f t="shared" si="82"/>
        <v>11000000</v>
      </c>
    </row>
    <row r="55" spans="2:46" x14ac:dyDescent="0.3">
      <c r="B55" t="s">
        <v>6</v>
      </c>
      <c r="D55" s="3">
        <f>((24000000*90%)*20%)</f>
        <v>4320000</v>
      </c>
      <c r="E55" s="3">
        <f>((24000000*90%)*80%)</f>
        <v>17280000</v>
      </c>
      <c r="F55" s="3">
        <f t="shared" si="59"/>
        <v>7560000</v>
      </c>
      <c r="G55" s="3">
        <f t="shared" si="60"/>
        <v>29160000</v>
      </c>
      <c r="H55" s="3"/>
      <c r="I55" s="3">
        <f t="shared" si="61"/>
        <v>15119999.999999998</v>
      </c>
      <c r="J55" s="3">
        <v>4000000</v>
      </c>
      <c r="K55" s="3">
        <v>250000</v>
      </c>
      <c r="L55" s="4">
        <f t="shared" si="71"/>
        <v>1458000</v>
      </c>
      <c r="M55" s="4">
        <f t="shared" si="73"/>
        <v>1166400</v>
      </c>
      <c r="N55" s="3">
        <v>1200000</v>
      </c>
      <c r="O55" s="3">
        <v>0</v>
      </c>
      <c r="P55" s="3">
        <f t="shared" ref="P55:P58" si="85">((2000000*16%)/12)+((AQ55*16%)/12)</f>
        <v>173333.33333333331</v>
      </c>
      <c r="Q55" s="3">
        <f t="shared" si="64"/>
        <v>200000</v>
      </c>
      <c r="R55" s="3"/>
      <c r="S55" s="4">
        <f t="shared" si="74"/>
        <v>5965600</v>
      </c>
      <c r="T55" s="4">
        <f t="shared" si="75"/>
        <v>5792266.666666667</v>
      </c>
      <c r="U55" s="4">
        <f t="shared" si="76"/>
        <v>5592266.666666667</v>
      </c>
      <c r="W55" s="4">
        <f t="shared" si="83"/>
        <v>2940946.6666666642</v>
      </c>
      <c r="X55" s="4">
        <f t="shared" si="65"/>
        <v>4320000</v>
      </c>
      <c r="Y55" s="4">
        <f t="shared" si="77"/>
        <v>14040000</v>
      </c>
      <c r="Z55" s="4">
        <f t="shared" si="78"/>
        <v>0</v>
      </c>
      <c r="AA55" s="4">
        <f t="shared" si="79"/>
        <v>18360000</v>
      </c>
      <c r="AC55" s="4">
        <f t="shared" si="80"/>
        <v>11970000</v>
      </c>
      <c r="AD55" s="4">
        <f t="shared" si="81"/>
        <v>4000000</v>
      </c>
      <c r="AE55" s="4">
        <f t="shared" si="66"/>
        <v>250000</v>
      </c>
      <c r="AF55" s="4">
        <f t="shared" si="67"/>
        <v>1458000</v>
      </c>
      <c r="AG55" s="4">
        <f t="shared" si="68"/>
        <v>1166400</v>
      </c>
      <c r="AH55" s="3">
        <v>0</v>
      </c>
      <c r="AI55" s="3">
        <f>(AQ55*16%)/12</f>
        <v>146666.66666666666</v>
      </c>
      <c r="AJ55" s="3">
        <v>0</v>
      </c>
      <c r="AK55" s="3">
        <v>0</v>
      </c>
      <c r="AL55" s="3">
        <f t="shared" si="84"/>
        <v>0</v>
      </c>
      <c r="AM55" s="4">
        <f t="shared" si="69"/>
        <v>18991066.666666668</v>
      </c>
      <c r="AO55" s="4">
        <f t="shared" si="72"/>
        <v>2309879.9999999963</v>
      </c>
      <c r="AQ55" s="3">
        <f t="shared" ref="AQ55:AQ58" si="86">AT54</f>
        <v>11000000</v>
      </c>
      <c r="AR55" s="3">
        <v>0</v>
      </c>
      <c r="AS55" s="3"/>
      <c r="AT55" s="3">
        <f t="shared" si="82"/>
        <v>11000000</v>
      </c>
    </row>
    <row r="56" spans="2:46" x14ac:dyDescent="0.3">
      <c r="B56" t="s">
        <v>7</v>
      </c>
      <c r="D56" s="3">
        <f>((20000000*90%)*20%)</f>
        <v>3600000</v>
      </c>
      <c r="E56" s="3">
        <f>((20000000*90%)*80%)</f>
        <v>14400000</v>
      </c>
      <c r="F56" s="3">
        <f t="shared" si="59"/>
        <v>6048000</v>
      </c>
      <c r="G56" s="3">
        <f t="shared" si="60"/>
        <v>24048000</v>
      </c>
      <c r="H56" s="3"/>
      <c r="I56" s="3">
        <f t="shared" si="61"/>
        <v>12600000</v>
      </c>
      <c r="J56" s="3">
        <v>3200000</v>
      </c>
      <c r="K56" s="3">
        <v>250000</v>
      </c>
      <c r="L56" s="4">
        <f t="shared" si="71"/>
        <v>1202400</v>
      </c>
      <c r="M56" s="4">
        <f t="shared" si="73"/>
        <v>961920</v>
      </c>
      <c r="N56" s="3">
        <v>1200000</v>
      </c>
      <c r="O56" s="3">
        <v>0</v>
      </c>
      <c r="P56" s="3">
        <f t="shared" si="85"/>
        <v>173333.33333333331</v>
      </c>
      <c r="Q56" s="3">
        <f t="shared" si="64"/>
        <v>200000</v>
      </c>
      <c r="R56" s="3"/>
      <c r="S56" s="4">
        <f t="shared" si="74"/>
        <v>4633680</v>
      </c>
      <c r="T56" s="4">
        <f t="shared" si="75"/>
        <v>4460346.666666667</v>
      </c>
      <c r="U56" s="4">
        <f t="shared" si="76"/>
        <v>4260346.666666667</v>
      </c>
      <c r="W56" s="4">
        <f t="shared" si="83"/>
        <v>2309879.9999999963</v>
      </c>
      <c r="X56" s="4">
        <f t="shared" si="65"/>
        <v>3600000</v>
      </c>
      <c r="Y56" s="4">
        <f t="shared" si="77"/>
        <v>15120000</v>
      </c>
      <c r="Z56" s="4">
        <f t="shared" si="78"/>
        <v>0</v>
      </c>
      <c r="AA56" s="4">
        <f t="shared" si="79"/>
        <v>18720000</v>
      </c>
      <c r="AC56" s="4">
        <f t="shared" si="80"/>
        <v>13733999.999999998</v>
      </c>
      <c r="AD56" s="4">
        <f t="shared" si="81"/>
        <v>3200000</v>
      </c>
      <c r="AE56" s="4">
        <f t="shared" si="66"/>
        <v>250000</v>
      </c>
      <c r="AF56" s="4">
        <f t="shared" si="67"/>
        <v>1202400</v>
      </c>
      <c r="AG56" s="4">
        <f t="shared" si="68"/>
        <v>961920</v>
      </c>
      <c r="AH56" s="3">
        <v>0</v>
      </c>
      <c r="AI56" s="3">
        <f t="shared" ref="AI56:AI58" si="87">(AQ56*16%)/12</f>
        <v>146666.66666666666</v>
      </c>
      <c r="AJ56" s="3">
        <v>0</v>
      </c>
      <c r="AK56" s="3">
        <v>0</v>
      </c>
      <c r="AL56" s="3">
        <f>AS56</f>
        <v>0</v>
      </c>
      <c r="AM56" s="4">
        <f t="shared" si="69"/>
        <v>19494986.666666668</v>
      </c>
      <c r="AO56" s="4">
        <f t="shared" si="72"/>
        <v>1534893.3333333284</v>
      </c>
      <c r="AQ56" s="3">
        <f t="shared" si="86"/>
        <v>11000000</v>
      </c>
      <c r="AR56" s="3">
        <v>0</v>
      </c>
      <c r="AS56" s="3">
        <v>0</v>
      </c>
      <c r="AT56" s="3">
        <f t="shared" si="82"/>
        <v>11000000</v>
      </c>
    </row>
    <row r="57" spans="2:46" x14ac:dyDescent="0.3">
      <c r="B57" t="s">
        <v>8</v>
      </c>
      <c r="D57" s="3">
        <f>((16000000*90%)*20%)</f>
        <v>2880000</v>
      </c>
      <c r="E57" s="3">
        <f>((16000000*90%)*80%)</f>
        <v>11520000</v>
      </c>
      <c r="F57" s="3">
        <f t="shared" si="59"/>
        <v>7560000</v>
      </c>
      <c r="G57" s="3">
        <f t="shared" si="60"/>
        <v>21960000</v>
      </c>
      <c r="H57" s="3"/>
      <c r="I57" s="3">
        <f t="shared" si="61"/>
        <v>10080000</v>
      </c>
      <c r="J57" s="3">
        <v>2800000</v>
      </c>
      <c r="K57" s="3">
        <v>250000</v>
      </c>
      <c r="L57" s="4">
        <f t="shared" si="71"/>
        <v>1098000</v>
      </c>
      <c r="M57" s="4">
        <f t="shared" si="73"/>
        <v>878400</v>
      </c>
      <c r="N57" s="3">
        <v>1200000</v>
      </c>
      <c r="O57" s="3">
        <v>0</v>
      </c>
      <c r="P57" s="3">
        <f t="shared" si="85"/>
        <v>173333.33333333331</v>
      </c>
      <c r="Q57" s="3">
        <f t="shared" si="64"/>
        <v>200000</v>
      </c>
      <c r="R57" s="3"/>
      <c r="S57" s="4">
        <f t="shared" si="74"/>
        <v>5653600</v>
      </c>
      <c r="T57" s="4">
        <f t="shared" si="75"/>
        <v>5480266.666666667</v>
      </c>
      <c r="U57" s="4">
        <f t="shared" si="76"/>
        <v>5280266.666666667</v>
      </c>
      <c r="W57" s="4">
        <f t="shared" si="83"/>
        <v>1534893.3333333284</v>
      </c>
      <c r="X57" s="4">
        <f t="shared" si="65"/>
        <v>2880000</v>
      </c>
      <c r="Y57" s="4">
        <f t="shared" si="77"/>
        <v>14688000</v>
      </c>
      <c r="Z57" s="4">
        <f t="shared" si="78"/>
        <v>0</v>
      </c>
      <c r="AA57" s="4">
        <f t="shared" si="79"/>
        <v>17568000</v>
      </c>
      <c r="AC57" s="4">
        <f t="shared" si="80"/>
        <v>12600000</v>
      </c>
      <c r="AD57" s="4">
        <f t="shared" si="81"/>
        <v>2800000</v>
      </c>
      <c r="AE57" s="4">
        <f t="shared" si="66"/>
        <v>250000</v>
      </c>
      <c r="AF57" s="4">
        <f t="shared" si="67"/>
        <v>1098000</v>
      </c>
      <c r="AG57" s="4">
        <f t="shared" si="68"/>
        <v>878400</v>
      </c>
      <c r="AH57" s="3">
        <v>0</v>
      </c>
      <c r="AI57" s="3">
        <f t="shared" si="87"/>
        <v>146666.66666666666</v>
      </c>
      <c r="AJ57" s="3">
        <v>0</v>
      </c>
      <c r="AK57" s="3">
        <f>2400000/4</f>
        <v>600000</v>
      </c>
      <c r="AL57" s="3">
        <f t="shared" ref="AL57:AL58" si="88">AS57</f>
        <v>0</v>
      </c>
      <c r="AM57" s="4">
        <f t="shared" si="69"/>
        <v>18373066.666666668</v>
      </c>
      <c r="AO57" s="4">
        <f t="shared" si="72"/>
        <v>729826.66666666046</v>
      </c>
      <c r="AQ57" s="3">
        <f t="shared" si="86"/>
        <v>11000000</v>
      </c>
      <c r="AR57" s="3">
        <v>0</v>
      </c>
      <c r="AS57" s="3">
        <v>0</v>
      </c>
      <c r="AT57" s="3">
        <f t="shared" si="82"/>
        <v>11000000</v>
      </c>
    </row>
    <row r="58" spans="2:46" x14ac:dyDescent="0.3">
      <c r="B58" t="s">
        <v>9</v>
      </c>
      <c r="D58" s="3">
        <f>((20000000*90%)*20%)</f>
        <v>3600000</v>
      </c>
      <c r="E58" s="3">
        <f>((20000000*90%)*80%)</f>
        <v>14400000</v>
      </c>
      <c r="F58" s="3">
        <f t="shared" si="59"/>
        <v>0</v>
      </c>
      <c r="G58" s="3">
        <f t="shared" si="60"/>
        <v>18000000</v>
      </c>
      <c r="H58" s="3"/>
      <c r="I58" s="3">
        <f t="shared" si="61"/>
        <v>12600000</v>
      </c>
      <c r="J58" s="3"/>
      <c r="K58" s="3">
        <v>250000</v>
      </c>
      <c r="L58" s="4">
        <f t="shared" si="71"/>
        <v>900000</v>
      </c>
      <c r="M58" s="4">
        <f t="shared" si="73"/>
        <v>720000</v>
      </c>
      <c r="N58" s="3">
        <v>1200000</v>
      </c>
      <c r="O58" s="3">
        <v>0</v>
      </c>
      <c r="P58" s="3">
        <f t="shared" si="85"/>
        <v>173333.33333333331</v>
      </c>
      <c r="Q58" s="3">
        <f t="shared" si="64"/>
        <v>200000</v>
      </c>
      <c r="R58" s="3"/>
      <c r="S58" s="4"/>
      <c r="T58" s="4"/>
      <c r="U58" s="4"/>
      <c r="W58" s="4">
        <f t="shared" si="83"/>
        <v>729826.66666666046</v>
      </c>
      <c r="X58" s="4">
        <f t="shared" si="65"/>
        <v>3600000</v>
      </c>
      <c r="Y58" s="4">
        <f t="shared" si="77"/>
        <v>13536000</v>
      </c>
      <c r="Z58" s="4">
        <f t="shared" si="78"/>
        <v>0</v>
      </c>
      <c r="AA58" s="4">
        <f t="shared" si="79"/>
        <v>17136000</v>
      </c>
      <c r="AC58" s="4">
        <f t="shared" si="80"/>
        <v>11592000</v>
      </c>
      <c r="AD58" s="4"/>
      <c r="AE58" s="4">
        <f t="shared" si="66"/>
        <v>250000</v>
      </c>
      <c r="AF58" s="4">
        <f t="shared" si="67"/>
        <v>900000</v>
      </c>
      <c r="AG58" s="4">
        <f t="shared" si="68"/>
        <v>720000</v>
      </c>
      <c r="AH58" s="3">
        <v>0</v>
      </c>
      <c r="AI58" s="3">
        <f t="shared" si="87"/>
        <v>146666.66666666666</v>
      </c>
      <c r="AJ58" s="3">
        <v>0</v>
      </c>
      <c r="AK58" s="3">
        <v>0</v>
      </c>
      <c r="AL58" s="3">
        <f t="shared" si="88"/>
        <v>0</v>
      </c>
      <c r="AM58" s="4">
        <f t="shared" si="69"/>
        <v>13608666.666666666</v>
      </c>
      <c r="AO58" s="4"/>
      <c r="AQ58" s="3">
        <f t="shared" si="86"/>
        <v>11000000</v>
      </c>
      <c r="AR58" s="3">
        <v>0</v>
      </c>
      <c r="AS58" s="3">
        <v>0</v>
      </c>
      <c r="AT58" s="3">
        <f t="shared" si="82"/>
        <v>11000000</v>
      </c>
    </row>
    <row r="59" spans="2:46" x14ac:dyDescent="0.3">
      <c r="Q59" s="4"/>
      <c r="X59" s="4"/>
      <c r="AC59" s="4"/>
      <c r="AD59" s="4"/>
    </row>
    <row r="60" spans="2:46" x14ac:dyDescent="0.3">
      <c r="B60" s="1" t="s">
        <v>39</v>
      </c>
      <c r="AG60" s="1"/>
    </row>
    <row r="61" spans="2:46" x14ac:dyDescent="0.3">
      <c r="B61" s="1" t="s">
        <v>48</v>
      </c>
    </row>
  </sheetData>
  <mergeCells count="23">
    <mergeCell ref="AC26:AK26"/>
    <mergeCell ref="D11:F11"/>
    <mergeCell ref="X11:Z11"/>
    <mergeCell ref="D26:E26"/>
    <mergeCell ref="I26:Q26"/>
    <mergeCell ref="S26:U26"/>
    <mergeCell ref="W26:Y26"/>
    <mergeCell ref="AQ47:AT47"/>
    <mergeCell ref="AC11:AL11"/>
    <mergeCell ref="AC29:AL29"/>
    <mergeCell ref="AC47:AL47"/>
    <mergeCell ref="D47:F47"/>
    <mergeCell ref="I47:Q47"/>
    <mergeCell ref="S47:U47"/>
    <mergeCell ref="X47:Z47"/>
    <mergeCell ref="AQ11:AT11"/>
    <mergeCell ref="D29:F29"/>
    <mergeCell ref="I29:Q29"/>
    <mergeCell ref="S29:U29"/>
    <mergeCell ref="X29:Z29"/>
    <mergeCell ref="AQ29:AT29"/>
    <mergeCell ref="I11:Q11"/>
    <mergeCell ref="S11:U11"/>
  </mergeCells>
  <phoneticPr fontId="3" type="noConversion"/>
  <hyperlinks>
    <hyperlink ref="C9" r:id="rId1" xr:uid="{EBEAFE18-C093-4252-BA36-4D0046B12A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Pancham</dc:creator>
  <cp:lastModifiedBy>Pancham</cp:lastModifiedBy>
  <dcterms:created xsi:type="dcterms:W3CDTF">2023-07-14T04:53:02Z</dcterms:created>
  <dcterms:modified xsi:type="dcterms:W3CDTF">2023-07-15T09:37:16Z</dcterms:modified>
</cp:coreProperties>
</file>