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thleen (personal folder)\Oldtown\"/>
    </mc:Choice>
  </mc:AlternateContent>
  <xr:revisionPtr revIDLastSave="0" documentId="13_ncr:1_{9727457F-02DD-4877-AFAF-AEB76B36B5D7}" xr6:coauthVersionLast="47" xr6:coauthVersionMax="47" xr10:uidLastSave="{00000000-0000-0000-0000-000000000000}"/>
  <bookViews>
    <workbookView xWindow="-108" yWindow="-108" windowWidth="23256" windowHeight="12456" xr2:uid="{BA1C67A8-6771-4F3B-AF38-8C9C26BE83C4}"/>
  </bookViews>
  <sheets>
    <sheet name="Summary (2025)" sheetId="1" r:id="rId1"/>
    <sheet name="Forecast Pl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20" i="1"/>
  <c r="I20" i="1"/>
  <c r="J20" i="1"/>
  <c r="K20" i="1"/>
  <c r="L20" i="1"/>
  <c r="M20" i="1"/>
  <c r="N20" i="1"/>
  <c r="O20" i="1"/>
  <c r="P20" i="1"/>
  <c r="G20" i="1"/>
  <c r="H19" i="1"/>
  <c r="I19" i="1"/>
  <c r="J19" i="1"/>
  <c r="K19" i="1"/>
  <c r="L19" i="1"/>
  <c r="M19" i="1"/>
  <c r="N19" i="1"/>
  <c r="O19" i="1"/>
  <c r="P19" i="1"/>
  <c r="G19" i="1"/>
  <c r="P11" i="1"/>
  <c r="O11" i="1"/>
  <c r="N11" i="1"/>
  <c r="M11" i="1"/>
  <c r="L11" i="1"/>
  <c r="K11" i="1"/>
  <c r="J11" i="1"/>
  <c r="I11" i="1"/>
  <c r="H11" i="1"/>
  <c r="G11" i="1"/>
  <c r="D4" i="1"/>
  <c r="D5" i="1"/>
  <c r="D6" i="1"/>
  <c r="D7" i="1"/>
  <c r="D8" i="1"/>
  <c r="D9" i="1"/>
  <c r="D10" i="1"/>
  <c r="D11" i="1"/>
  <c r="N5" i="1"/>
  <c r="L5" i="1"/>
  <c r="L6" i="1" s="1"/>
  <c r="H9" i="1"/>
  <c r="I9" i="1"/>
  <c r="J9" i="1"/>
  <c r="K9" i="1"/>
  <c r="L9" i="1"/>
  <c r="M9" i="1"/>
  <c r="N9" i="1"/>
  <c r="O9" i="1"/>
  <c r="P9" i="1"/>
  <c r="L8" i="1"/>
  <c r="K8" i="1"/>
  <c r="J8" i="1"/>
  <c r="I8" i="1"/>
  <c r="H8" i="1"/>
  <c r="G8" i="1"/>
  <c r="H7" i="1"/>
  <c r="I7" i="1"/>
  <c r="J7" i="1"/>
  <c r="K7" i="1"/>
  <c r="L7" i="1"/>
  <c r="G7" i="1"/>
  <c r="P6" i="1"/>
  <c r="O6" i="1"/>
  <c r="N6" i="1"/>
  <c r="M6" i="1"/>
  <c r="K6" i="1"/>
  <c r="J6" i="1"/>
  <c r="I6" i="1"/>
  <c r="H6" i="1"/>
  <c r="G6" i="1"/>
  <c r="H5" i="1"/>
  <c r="I5" i="1"/>
  <c r="J5" i="1"/>
  <c r="K5" i="1"/>
  <c r="M5" i="1"/>
  <c r="O5" i="1"/>
  <c r="P5" i="1"/>
  <c r="G5" i="1"/>
  <c r="H4" i="1"/>
  <c r="I4" i="1"/>
  <c r="J4" i="1"/>
  <c r="K4" i="1"/>
  <c r="L4" i="1"/>
  <c r="M4" i="1"/>
  <c r="N4" i="1"/>
  <c r="O4" i="1"/>
  <c r="P4" i="1"/>
  <c r="G4" i="1"/>
  <c r="D3" i="1"/>
  <c r="H3" i="1"/>
  <c r="I3" i="1"/>
  <c r="J3" i="1"/>
  <c r="K3" i="1"/>
  <c r="L3" i="1"/>
  <c r="M3" i="1"/>
  <c r="N3" i="1"/>
  <c r="O3" i="1"/>
  <c r="P3" i="1"/>
  <c r="G3" i="1"/>
  <c r="Q9" i="3"/>
  <c r="O9" i="3"/>
  <c r="N9" i="3"/>
  <c r="N10" i="3" s="1"/>
  <c r="M9" i="3"/>
  <c r="M10" i="3" s="1"/>
  <c r="L9" i="3"/>
  <c r="L10" i="3" s="1"/>
  <c r="K9" i="3"/>
  <c r="K10" i="3" s="1"/>
  <c r="J9" i="3"/>
  <c r="J10" i="3" s="1"/>
  <c r="I9" i="3"/>
  <c r="I10" i="3" s="1"/>
  <c r="H9" i="3"/>
  <c r="H10" i="3" s="1"/>
  <c r="G9" i="3"/>
  <c r="G10" i="3" s="1"/>
  <c r="F9" i="3"/>
  <c r="F10" i="3" s="1"/>
  <c r="E9" i="3"/>
  <c r="E10" i="3" s="1"/>
  <c r="D9" i="3"/>
  <c r="D10" i="3" s="1"/>
  <c r="C9" i="3"/>
  <c r="C10" i="3" s="1"/>
  <c r="R8" i="3"/>
  <c r="P8" i="3"/>
  <c r="R7" i="3"/>
  <c r="P7" i="3"/>
  <c r="R6" i="3"/>
  <c r="R9" i="3" s="1"/>
  <c r="R11" i="3" s="1"/>
  <c r="P6" i="3"/>
  <c r="P9" i="3" s="1"/>
  <c r="F76" i="1" l="1"/>
  <c r="E75" i="1"/>
  <c r="E74" i="1"/>
  <c r="E73" i="1"/>
  <c r="E72" i="1"/>
  <c r="E71" i="1"/>
  <c r="S70" i="1"/>
  <c r="R70" i="1"/>
  <c r="Q70" i="1"/>
  <c r="P70" i="1"/>
  <c r="O70" i="1"/>
  <c r="N70" i="1"/>
  <c r="M70" i="1"/>
  <c r="L70" i="1"/>
  <c r="K70" i="1"/>
  <c r="J70" i="1"/>
  <c r="I70" i="1"/>
  <c r="H70" i="1"/>
  <c r="E70" i="1"/>
  <c r="C70" i="1"/>
  <c r="F69" i="1"/>
  <c r="E68" i="1"/>
  <c r="S67" i="1"/>
  <c r="R67" i="1"/>
  <c r="Q67" i="1"/>
  <c r="P67" i="1"/>
  <c r="O67" i="1"/>
  <c r="N67" i="1"/>
  <c r="M67" i="1"/>
  <c r="L67" i="1"/>
  <c r="K67" i="1"/>
  <c r="J67" i="1"/>
  <c r="I67" i="1"/>
  <c r="H67" i="1"/>
  <c r="H36" i="1" s="1"/>
  <c r="E26" i="1" s="1"/>
  <c r="E67" i="1"/>
  <c r="C67" i="1"/>
  <c r="E65" i="1"/>
  <c r="E64" i="1"/>
  <c r="E63" i="1"/>
  <c r="E62" i="1"/>
  <c r="E61" i="1"/>
  <c r="E59" i="1" s="1"/>
  <c r="E60" i="1"/>
  <c r="S59" i="1"/>
  <c r="R59" i="1"/>
  <c r="Q59" i="1"/>
  <c r="P59" i="1"/>
  <c r="O59" i="1"/>
  <c r="N59" i="1"/>
  <c r="M59" i="1"/>
  <c r="L59" i="1"/>
  <c r="K59" i="1"/>
  <c r="J59" i="1"/>
  <c r="I59" i="1"/>
  <c r="H59" i="1"/>
  <c r="C59" i="1"/>
  <c r="F58" i="1"/>
  <c r="E57" i="1"/>
  <c r="E56" i="1"/>
  <c r="E55" i="1"/>
  <c r="E54" i="1"/>
  <c r="E53" i="1"/>
  <c r="E52" i="1"/>
  <c r="E51" i="1"/>
  <c r="E50" i="1"/>
  <c r="E49" i="1"/>
  <c r="E48" i="1"/>
  <c r="E47" i="1"/>
  <c r="S46" i="1"/>
  <c r="R46" i="1"/>
  <c r="Q46" i="1"/>
  <c r="P46" i="1"/>
  <c r="O46" i="1"/>
  <c r="N46" i="1"/>
  <c r="N36" i="1" s="1"/>
  <c r="K26" i="1" s="1"/>
  <c r="M46" i="1"/>
  <c r="L46" i="1"/>
  <c r="K46" i="1"/>
  <c r="K36" i="1" s="1"/>
  <c r="H26" i="1" s="1"/>
  <c r="J46" i="1"/>
  <c r="I46" i="1"/>
  <c r="H46" i="1"/>
  <c r="C46" i="1"/>
  <c r="F45" i="1"/>
  <c r="E44" i="1"/>
  <c r="E43" i="1"/>
  <c r="E42" i="1"/>
  <c r="E41" i="1"/>
  <c r="E40" i="1"/>
  <c r="E39" i="1"/>
  <c r="E38" i="1"/>
  <c r="S37" i="1"/>
  <c r="R37" i="1"/>
  <c r="Q37" i="1"/>
  <c r="P37" i="1"/>
  <c r="O37" i="1"/>
  <c r="O36" i="1" s="1"/>
  <c r="L26" i="1" s="1"/>
  <c r="N37" i="1"/>
  <c r="M37" i="1"/>
  <c r="L37" i="1"/>
  <c r="L36" i="1" s="1"/>
  <c r="I26" i="1" s="1"/>
  <c r="K37" i="1"/>
  <c r="J37" i="1"/>
  <c r="I37" i="1"/>
  <c r="H37" i="1"/>
  <c r="C37" i="1"/>
  <c r="M36" i="1"/>
  <c r="J26" i="1" s="1"/>
  <c r="J36" i="1"/>
  <c r="G26" i="1" s="1"/>
  <c r="S35" i="1"/>
  <c r="R35" i="1"/>
  <c r="Q35" i="1"/>
  <c r="P35" i="1"/>
  <c r="O35" i="1"/>
  <c r="N35" i="1"/>
  <c r="M35" i="1"/>
  <c r="L35" i="1"/>
  <c r="K35" i="1"/>
  <c r="J35" i="1"/>
  <c r="I35" i="1"/>
  <c r="H35" i="1"/>
  <c r="D31" i="1"/>
  <c r="C31" i="1"/>
  <c r="P30" i="1"/>
  <c r="O30" i="1"/>
  <c r="N30" i="1"/>
  <c r="M30" i="1"/>
  <c r="L30" i="1"/>
  <c r="K30" i="1"/>
  <c r="J30" i="1"/>
  <c r="I30" i="1"/>
  <c r="H30" i="1"/>
  <c r="G30" i="1"/>
  <c r="F30" i="1"/>
  <c r="E30" i="1"/>
  <c r="D29" i="1"/>
  <c r="C29" i="1"/>
  <c r="P23" i="1"/>
  <c r="O23" i="1"/>
  <c r="N23" i="1"/>
  <c r="M23" i="1"/>
  <c r="L23" i="1"/>
  <c r="K23" i="1"/>
  <c r="J23" i="1"/>
  <c r="I23" i="1"/>
  <c r="H23" i="1"/>
  <c r="G23" i="1"/>
  <c r="F23" i="1"/>
  <c r="E23" i="1"/>
  <c r="P21" i="1"/>
  <c r="O21" i="1"/>
  <c r="N21" i="1"/>
  <c r="M21" i="1"/>
  <c r="L21" i="1"/>
  <c r="K21" i="1"/>
  <c r="J21" i="1"/>
  <c r="I21" i="1"/>
  <c r="H21" i="1"/>
  <c r="G21" i="1"/>
  <c r="F21" i="1"/>
  <c r="E21" i="1"/>
  <c r="D20" i="1"/>
  <c r="D21" i="1" s="1"/>
  <c r="C20" i="1"/>
  <c r="C30" i="1" s="1"/>
  <c r="C19" i="1"/>
  <c r="P18" i="1"/>
  <c r="O18" i="1"/>
  <c r="N18" i="1"/>
  <c r="M18" i="1"/>
  <c r="L18" i="1"/>
  <c r="K18" i="1"/>
  <c r="J18" i="1"/>
  <c r="I18" i="1"/>
  <c r="H18" i="1"/>
  <c r="G18" i="1"/>
  <c r="F18" i="1"/>
  <c r="E18" i="1"/>
  <c r="O13" i="1"/>
  <c r="N13" i="1"/>
  <c r="P12" i="1"/>
  <c r="P13" i="1" s="1"/>
  <c r="O12" i="1"/>
  <c r="O14" i="1" s="1"/>
  <c r="O25" i="1" s="1"/>
  <c r="N12" i="1"/>
  <c r="N14" i="1" s="1"/>
  <c r="N25" i="1" s="1"/>
  <c r="M12" i="1"/>
  <c r="M14" i="1" s="1"/>
  <c r="M25" i="1" s="1"/>
  <c r="L12" i="1"/>
  <c r="L13" i="1" s="1"/>
  <c r="K12" i="1"/>
  <c r="K13" i="1" s="1"/>
  <c r="J12" i="1"/>
  <c r="J13" i="1" s="1"/>
  <c r="I12" i="1"/>
  <c r="I13" i="1" s="1"/>
  <c r="H12" i="1"/>
  <c r="H13" i="1" s="1"/>
  <c r="G12" i="1"/>
  <c r="F25" i="1"/>
  <c r="P24" i="1"/>
  <c r="O10" i="1"/>
  <c r="O24" i="1" s="1"/>
  <c r="N10" i="1"/>
  <c r="N24" i="1" s="1"/>
  <c r="M10" i="1"/>
  <c r="M24" i="1" s="1"/>
  <c r="L10" i="1"/>
  <c r="L24" i="1" s="1"/>
  <c r="L33" i="1" s="1"/>
  <c r="K10" i="1"/>
  <c r="K24" i="1" s="1"/>
  <c r="K33" i="1" s="1"/>
  <c r="J10" i="1"/>
  <c r="J24" i="1" s="1"/>
  <c r="I10" i="1"/>
  <c r="I24" i="1" s="1"/>
  <c r="I33" i="1" s="1"/>
  <c r="H10" i="1"/>
  <c r="H24" i="1" s="1"/>
  <c r="H33" i="1" s="1"/>
  <c r="G10" i="1"/>
  <c r="G24" i="1" s="1"/>
  <c r="G33" i="1" s="1"/>
  <c r="F24" i="1"/>
  <c r="G9" i="1"/>
  <c r="P8" i="1"/>
  <c r="O8" i="1"/>
  <c r="N8" i="1"/>
  <c r="M8" i="1"/>
  <c r="C7" i="1"/>
  <c r="C6" i="1"/>
  <c r="C5" i="1"/>
  <c r="C4" i="1"/>
  <c r="C3" i="1"/>
  <c r="Q36" i="1" l="1"/>
  <c r="N26" i="1" s="1"/>
  <c r="N27" i="1" s="1"/>
  <c r="P36" i="1"/>
  <c r="M26" i="1" s="1"/>
  <c r="M33" i="1" s="1"/>
  <c r="C36" i="1"/>
  <c r="I36" i="1"/>
  <c r="F26" i="1" s="1"/>
  <c r="F33" i="1" s="1"/>
  <c r="R36" i="1"/>
  <c r="O26" i="1" s="1"/>
  <c r="O32" i="1" s="1"/>
  <c r="E46" i="1"/>
  <c r="S36" i="1"/>
  <c r="P26" i="1" s="1"/>
  <c r="E37" i="1"/>
  <c r="N33" i="1"/>
  <c r="I14" i="1"/>
  <c r="I25" i="1" s="1"/>
  <c r="J14" i="1"/>
  <c r="J25" i="1" s="1"/>
  <c r="J27" i="1" s="1"/>
  <c r="D12" i="1"/>
  <c r="G13" i="1"/>
  <c r="D13" i="1" s="1"/>
  <c r="G14" i="1"/>
  <c r="C21" i="1"/>
  <c r="D30" i="1"/>
  <c r="C8" i="1"/>
  <c r="C10" i="1"/>
  <c r="C9" i="1"/>
  <c r="H28" i="1"/>
  <c r="H32" i="1"/>
  <c r="O33" i="1"/>
  <c r="G32" i="1"/>
  <c r="G28" i="1"/>
  <c r="I27" i="1"/>
  <c r="I32" i="1"/>
  <c r="I28" i="1"/>
  <c r="O27" i="1"/>
  <c r="J32" i="1"/>
  <c r="J28" i="1"/>
  <c r="J33" i="1"/>
  <c r="P33" i="1"/>
  <c r="L32" i="1"/>
  <c r="L28" i="1"/>
  <c r="F32" i="1"/>
  <c r="E25" i="1"/>
  <c r="E32" i="1"/>
  <c r="P32" i="1"/>
  <c r="P28" i="1"/>
  <c r="K32" i="1"/>
  <c r="K28" i="1"/>
  <c r="M13" i="1"/>
  <c r="H14" i="1"/>
  <c r="H25" i="1" s="1"/>
  <c r="H27" i="1" s="1"/>
  <c r="P14" i="1"/>
  <c r="P25" i="1" s="1"/>
  <c r="P27" i="1" s="1"/>
  <c r="K14" i="1"/>
  <c r="K25" i="1" s="1"/>
  <c r="K27" i="1" s="1"/>
  <c r="C12" i="1"/>
  <c r="C13" i="1" s="1"/>
  <c r="L14" i="1"/>
  <c r="L25" i="1" s="1"/>
  <c r="L27" i="1" s="1"/>
  <c r="N28" i="1" l="1"/>
  <c r="N32" i="1"/>
  <c r="E36" i="1"/>
  <c r="O28" i="1"/>
  <c r="M28" i="1"/>
  <c r="M32" i="1"/>
  <c r="M27" i="1"/>
  <c r="C26" i="1"/>
  <c r="D57" i="1" s="1"/>
  <c r="F27" i="1"/>
  <c r="D26" i="1"/>
  <c r="D32" i="1" s="1"/>
  <c r="F28" i="1"/>
  <c r="G25" i="1"/>
  <c r="G27" i="1" s="1"/>
  <c r="D14" i="1"/>
  <c r="E27" i="1"/>
  <c r="E24" i="1"/>
  <c r="C11" i="1"/>
  <c r="C14" i="1"/>
  <c r="D50" i="1" l="1"/>
  <c r="D42" i="1"/>
  <c r="G42" i="1" s="1"/>
  <c r="D72" i="1"/>
  <c r="D43" i="1"/>
  <c r="D47" i="1"/>
  <c r="G47" i="1" s="1"/>
  <c r="D65" i="1"/>
  <c r="F65" i="1" s="1"/>
  <c r="D40" i="1"/>
  <c r="G40" i="1" s="1"/>
  <c r="D71" i="1"/>
  <c r="G71" i="1" s="1"/>
  <c r="G70" i="1" s="1"/>
  <c r="D49" i="1"/>
  <c r="G49" i="1" s="1"/>
  <c r="D68" i="1"/>
  <c r="D67" i="1" s="1"/>
  <c r="F67" i="1" s="1"/>
  <c r="D44" i="1"/>
  <c r="D74" i="1"/>
  <c r="G74" i="1" s="1"/>
  <c r="D55" i="1"/>
  <c r="D56" i="1"/>
  <c r="D53" i="1"/>
  <c r="G53" i="1" s="1"/>
  <c r="D73" i="1"/>
  <c r="F73" i="1" s="1"/>
  <c r="D39" i="1"/>
  <c r="G39" i="1" s="1"/>
  <c r="D75" i="1"/>
  <c r="F75" i="1" s="1"/>
  <c r="D41" i="1"/>
  <c r="G41" i="1" s="1"/>
  <c r="D38" i="1"/>
  <c r="G38" i="1" s="1"/>
  <c r="D48" i="1"/>
  <c r="F48" i="1" s="1"/>
  <c r="D54" i="1"/>
  <c r="G54" i="1" s="1"/>
  <c r="D60" i="1"/>
  <c r="F60" i="1" s="1"/>
  <c r="D52" i="1"/>
  <c r="G52" i="1" s="1"/>
  <c r="D27" i="1"/>
  <c r="D61" i="1"/>
  <c r="G61" i="1" s="1"/>
  <c r="C32" i="1"/>
  <c r="D62" i="1"/>
  <c r="G62" i="1" s="1"/>
  <c r="D63" i="1"/>
  <c r="F63" i="1" s="1"/>
  <c r="D51" i="1"/>
  <c r="G51" i="1" s="1"/>
  <c r="D64" i="1"/>
  <c r="G64" i="1" s="1"/>
  <c r="C25" i="1"/>
  <c r="C27" i="1" s="1"/>
  <c r="F42" i="1"/>
  <c r="G44" i="1"/>
  <c r="F44" i="1"/>
  <c r="F43" i="1"/>
  <c r="G43" i="1"/>
  <c r="F68" i="1"/>
  <c r="G68" i="1"/>
  <c r="G67" i="1" s="1"/>
  <c r="D24" i="1"/>
  <c r="C24" i="1"/>
  <c r="E33" i="1"/>
  <c r="E28" i="1"/>
  <c r="G75" i="1"/>
  <c r="G50" i="1"/>
  <c r="F50" i="1"/>
  <c r="G63" i="1"/>
  <c r="F57" i="1"/>
  <c r="G57" i="1"/>
  <c r="G72" i="1"/>
  <c r="F72" i="1"/>
  <c r="F41" i="1" l="1"/>
  <c r="G73" i="1"/>
  <c r="F47" i="1"/>
  <c r="F38" i="1"/>
  <c r="F61" i="1"/>
  <c r="G65" i="1"/>
  <c r="F40" i="1"/>
  <c r="F49" i="1"/>
  <c r="D70" i="1"/>
  <c r="F70" i="1" s="1"/>
  <c r="F52" i="1"/>
  <c r="F71" i="1"/>
  <c r="F54" i="1"/>
  <c r="F39" i="1"/>
  <c r="D37" i="1"/>
  <c r="F53" i="1"/>
  <c r="F64" i="1"/>
  <c r="G60" i="1"/>
  <c r="D59" i="1"/>
  <c r="F59" i="1" s="1"/>
  <c r="G48" i="1"/>
  <c r="F51" i="1"/>
  <c r="F74" i="1"/>
  <c r="D46" i="1"/>
  <c r="G46" i="1" s="1"/>
  <c r="F62" i="1"/>
  <c r="D33" i="1"/>
  <c r="D28" i="1"/>
  <c r="C33" i="1"/>
  <c r="C28" i="1"/>
  <c r="D36" i="1" l="1"/>
  <c r="F36" i="1" s="1"/>
  <c r="F37" i="1"/>
  <c r="G37" i="1"/>
  <c r="F46" i="1"/>
  <c r="G59" i="1"/>
  <c r="G36" i="1" l="1"/>
</calcChain>
</file>

<file path=xl/sharedStrings.xml><?xml version="1.0" encoding="utf-8"?>
<sst xmlns="http://schemas.openxmlformats.org/spreadsheetml/2006/main" count="107" uniqueCount="97">
  <si>
    <t>A&amp;P FY 2026</t>
  </si>
  <si>
    <t>YTD</t>
  </si>
  <si>
    <t>Target A&amp;P Principal (%) IDR</t>
  </si>
  <si>
    <t>Actual Purchase IDR</t>
  </si>
  <si>
    <t>%Achievement</t>
  </si>
  <si>
    <t>Actual A&amp;P Principal (%) IDR</t>
  </si>
  <si>
    <t>A&amp;P PK %</t>
  </si>
  <si>
    <t>Operating Budget (75%)</t>
  </si>
  <si>
    <t>No of Shipment # (Total Container)</t>
  </si>
  <si>
    <t>A&amp;P Detail</t>
  </si>
  <si>
    <t>Total</t>
  </si>
  <si>
    <t>A&amp;P Tracking</t>
  </si>
  <si>
    <t>Total A&amp;P</t>
  </si>
  <si>
    <t>Actual Accrued A&amp;P</t>
  </si>
  <si>
    <t>Booked A&amp;P</t>
  </si>
  <si>
    <t>Booked A&amp;P Vs Operating Budget %</t>
  </si>
  <si>
    <t>Booked Vs Actual Accrued A&amp;P %</t>
  </si>
  <si>
    <t>Actual Deduction A&amp;P</t>
  </si>
  <si>
    <t>Actual Deduction vs Actual Sales %</t>
  </si>
  <si>
    <t>Paid A&amp;P</t>
  </si>
  <si>
    <t>Booked vs Paid A&amp;P %</t>
  </si>
  <si>
    <t>Balance</t>
  </si>
  <si>
    <t>Activity</t>
  </si>
  <si>
    <t>Total %</t>
  </si>
  <si>
    <t>Grand Total Activity</t>
  </si>
  <si>
    <t>Consumer Promotion</t>
  </si>
  <si>
    <t>Rafraction</t>
  </si>
  <si>
    <t>Premium, Gimmicks &amp; Gifts</t>
  </si>
  <si>
    <t>SPG - Event</t>
  </si>
  <si>
    <t>Samples Promotion</t>
  </si>
  <si>
    <t>Banded Promo (WH)</t>
  </si>
  <si>
    <t>Banded Promo (Store)</t>
  </si>
  <si>
    <t>Sponsorship</t>
  </si>
  <si>
    <t>Trade Promotions</t>
  </si>
  <si>
    <t>Display</t>
  </si>
  <si>
    <t>POS Material (Dumbin, Gondola, Sticker)</t>
  </si>
  <si>
    <t>SPG - MD</t>
  </si>
  <si>
    <t>Listing Fee</t>
  </si>
  <si>
    <t>Mailer</t>
  </si>
  <si>
    <t>Free Goods Promo</t>
  </si>
  <si>
    <t>Sales Promotion</t>
  </si>
  <si>
    <t>Corporate Trading Terms</t>
  </si>
  <si>
    <t>GO Store - Display</t>
  </si>
  <si>
    <t>GO Store - Discount</t>
  </si>
  <si>
    <t>Samples Listing</t>
  </si>
  <si>
    <t>Advertising</t>
  </si>
  <si>
    <t>Social Media</t>
  </si>
  <si>
    <t>Media Production</t>
  </si>
  <si>
    <t>TV Media</t>
  </si>
  <si>
    <t>Other Media</t>
  </si>
  <si>
    <t>Agency Service Fees</t>
  </si>
  <si>
    <t>Accrual</t>
  </si>
  <si>
    <t>Return</t>
  </si>
  <si>
    <t>Others</t>
  </si>
  <si>
    <t>Packaging Development</t>
  </si>
  <si>
    <t>Research</t>
  </si>
  <si>
    <t>Market Research</t>
  </si>
  <si>
    <t>FS Price Redemption</t>
  </si>
  <si>
    <t>Registrasi BPOM</t>
  </si>
  <si>
    <t>Principal Target 2025 USD Jan - Dec</t>
  </si>
  <si>
    <t>Total FY '2025</t>
  </si>
  <si>
    <t>Principal Target 2025 IDR</t>
  </si>
  <si>
    <t>Target A&amp;P Principal (%) USD</t>
  </si>
  <si>
    <t>Actual Purchase USD</t>
  </si>
  <si>
    <t>Actual A&amp;P Principal (%) USD</t>
  </si>
  <si>
    <t>Exchange Rate (USD) to IDR</t>
  </si>
  <si>
    <t>PK TARGET Jan-Dec 2025</t>
  </si>
  <si>
    <t>Actual Sales Jan-Dec 2025</t>
  </si>
  <si>
    <t>Budget 2025</t>
  </si>
  <si>
    <t>YTD Expenses 2025</t>
  </si>
  <si>
    <t>Annual PO Old Town White Coffee</t>
  </si>
  <si>
    <t>Total Qty</t>
  </si>
  <si>
    <t>Description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</si>
  <si>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</si>
  <si>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</si>
  <si>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</si>
  <si>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</si>
  <si>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</si>
  <si>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</si>
  <si>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</si>
  <si>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</si>
  <si>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</si>
  <si>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</si>
  <si>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Jan</t>
  </si>
  <si>
    <t>Feb</t>
  </si>
  <si>
    <t>Old Town 3 in 1 Classic</t>
  </si>
  <si>
    <t>Old Town 3 in 1 Hazelnut</t>
  </si>
  <si>
    <t>Old Town 2 in 1 Coffee and Creamer</t>
  </si>
  <si>
    <t>Grand Total</t>
  </si>
  <si>
    <t>Budget</t>
  </si>
  <si>
    <t>USD/CTN</t>
  </si>
  <si>
    <t>USD Value</t>
  </si>
  <si>
    <t>Approx. 120 days stock cover</t>
  </si>
  <si>
    <t>5% Budget</t>
  </si>
  <si>
    <t>Listing Support</t>
  </si>
  <si>
    <t>1 40'</t>
  </si>
  <si>
    <t>1 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</si>
</sst>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Microsoft Tai Le"/>
      <family val="2"/>
    </font>
    <font>
      <b/>
      <sz val="9"/>
      <color theme="1"/>
      <name val="Microsoft Tai Le"/>
      <family val="2"/>
    </font>
    <font>
      <b/>
      <sz val="9"/>
      <color theme="0"/>
      <name val="Microsoft Tai Le"/>
      <family val="2"/>
    </font>
    <font>
      <b/>
      <sz val="9"/>
      <color rgb="FFBFBFBF"/>
      <name val="Microsoft Tai Le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/>
    </xf>
    <xf numFmtId="9" fontId="4" fillId="3" borderId="2" xfId="0" applyNumberFormat="1" applyFont="1" applyFill="1" applyBorder="1" applyAlignment="1">
      <alignment horizontal="right" vertical="center"/>
    </xf>
    <xf numFmtId="9" fontId="4" fillId="0" borderId="2" xfId="0" applyNumberFormat="1" applyFont="1" applyBorder="1" applyAlignment="1">
      <alignment horizontal="right" vertical="center"/>
    </xf>
    <xf numFmtId="0" fontId="4" fillId="4" borderId="2" xfId="0" quotePrefix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17" fontId="4" fillId="5" borderId="2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vertical="center"/>
    </xf>
    <xf numFmtId="9" fontId="4" fillId="0" borderId="2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164" fontId="4" fillId="6" borderId="2" xfId="0" applyNumberFormat="1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17" fontId="4" fillId="6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" fontId="4" fillId="0" borderId="2" xfId="0" applyNumberFormat="1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vertical="center"/>
    </xf>
    <xf numFmtId="9" fontId="4" fillId="8" borderId="2" xfId="0" applyNumberFormat="1" applyFont="1" applyFill="1" applyBorder="1" applyAlignment="1">
      <alignment vertical="center"/>
    </xf>
    <xf numFmtId="164" fontId="4" fillId="8" borderId="2" xfId="0" applyNumberFormat="1" applyFont="1" applyFill="1" applyBorder="1" applyAlignment="1">
      <alignment vertical="center"/>
    </xf>
    <xf numFmtId="9" fontId="4" fillId="8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9" fontId="4" fillId="0" borderId="2" xfId="0" applyNumberFormat="1" applyFont="1" applyBorder="1" applyAlignment="1">
      <alignment horizontal="center" vertical="center"/>
    </xf>
    <xf numFmtId="164" fontId="4" fillId="8" borderId="2" xfId="0" applyNumberFormat="1" applyFont="1" applyFill="1" applyBorder="1" applyAlignment="1">
      <alignment horizontal="center" vertical="center"/>
    </xf>
    <xf numFmtId="9" fontId="4" fillId="8" borderId="2" xfId="0" applyNumberFormat="1" applyFont="1" applyFill="1" applyBorder="1" applyAlignment="1">
      <alignment horizontal="center" vertical="center" wrapText="1"/>
    </xf>
    <xf numFmtId="164" fontId="4" fillId="8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8" fillId="0" borderId="0" xfId="0" applyFont="1"/>
    <xf numFmtId="0" fontId="7" fillId="0" borderId="0" xfId="0" applyFo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9" fillId="9" borderId="3" xfId="1" applyNumberFormat="1" applyFont="1" applyFill="1" applyBorder="1" applyAlignment="1">
      <alignment horizontal="center" vertical="center"/>
    </xf>
    <xf numFmtId="164" fontId="9" fillId="9" borderId="3" xfId="1" applyNumberFormat="1" applyFont="1" applyFill="1" applyBorder="1" applyAlignment="1">
      <alignment vertical="center"/>
    </xf>
    <xf numFmtId="164" fontId="9" fillId="9" borderId="3" xfId="1" applyNumberFormat="1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1" fontId="7" fillId="1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0" fontId="2" fillId="0" borderId="0" xfId="0" applyFont="1"/>
    <xf numFmtId="0" fontId="7" fillId="0" borderId="3" xfId="0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44" fontId="8" fillId="12" borderId="0" xfId="2" applyFont="1" applyFill="1"/>
    <xf numFmtId="44" fontId="8" fillId="0" borderId="0" xfId="2" applyFont="1"/>
    <xf numFmtId="44" fontId="7" fillId="0" borderId="0" xfId="0" applyNumberFormat="1" applyFont="1"/>
    <xf numFmtId="44" fontId="0" fillId="0" borderId="0" xfId="0" applyNumberFormat="1"/>
    <xf numFmtId="164" fontId="4" fillId="13" borderId="2" xfId="0" applyNumberFormat="1" applyFont="1" applyFill="1" applyBorder="1" applyAlignment="1">
      <alignment vertical="center"/>
    </xf>
    <xf numFmtId="164" fontId="4" fillId="0" borderId="2" xfId="1" applyNumberFormat="1" applyFont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81E5-1CE3-44FD-A879-434C10B859BE}">
  <dimension ref="B1:S77"/>
  <sheetViews>
    <sheetView tabSelected="1" zoomScale="95" zoomScaleNormal="95" workbookViewId="0">
      <selection activeCell="C13" sqref="C13"/>
    </sheetView>
  </sheetViews>
  <sheetFormatPr defaultRowHeight="14.4" x14ac:dyDescent="0.3"/>
  <cols>
    <col min="1" max="1" width="4.44140625" customWidth="1"/>
    <col min="2" max="2" width="45.44140625" customWidth="1"/>
    <col min="3" max="4" width="13.77734375" bestFit="1" customWidth="1"/>
    <col min="5" max="5" width="11.21875" bestFit="1" customWidth="1"/>
    <col min="6" max="6" width="11.88671875" bestFit="1" customWidth="1"/>
    <col min="7" max="7" width="14.21875" customWidth="1"/>
    <col min="8" max="8" width="9.109375" bestFit="1" customWidth="1"/>
    <col min="9" max="9" width="13.5546875" customWidth="1"/>
    <col min="10" max="11" width="9.109375" bestFit="1" customWidth="1"/>
    <col min="12" max="12" width="13.6640625" customWidth="1"/>
    <col min="13" max="13" width="12.33203125" bestFit="1" customWidth="1"/>
    <col min="14" max="14" width="12.88671875" customWidth="1"/>
    <col min="15" max="16" width="12.6640625" customWidth="1"/>
    <col min="17" max="19" width="11.21875" bestFit="1" customWidth="1"/>
  </cols>
  <sheetData>
    <row r="1" spans="2:16" s="1" customFormat="1" ht="12.6" x14ac:dyDescent="0.3"/>
    <row r="2" spans="2:16" s="1" customFormat="1" ht="12.6" x14ac:dyDescent="0.3">
      <c r="B2" s="2" t="s">
        <v>0</v>
      </c>
      <c r="C2" s="3" t="s">
        <v>60</v>
      </c>
      <c r="D2" s="3" t="s">
        <v>1</v>
      </c>
      <c r="E2" s="4">
        <v>45658</v>
      </c>
      <c r="F2" s="4">
        <v>45689</v>
      </c>
      <c r="G2" s="4">
        <v>45717</v>
      </c>
      <c r="H2" s="4">
        <v>45748</v>
      </c>
      <c r="I2" s="4">
        <v>45778</v>
      </c>
      <c r="J2" s="4">
        <v>45809</v>
      </c>
      <c r="K2" s="4">
        <v>45839</v>
      </c>
      <c r="L2" s="4">
        <v>45870</v>
      </c>
      <c r="M2" s="4">
        <v>45901</v>
      </c>
      <c r="N2" s="4">
        <v>45931</v>
      </c>
      <c r="O2" s="4">
        <v>45962</v>
      </c>
      <c r="P2" s="4">
        <v>45992</v>
      </c>
    </row>
    <row r="3" spans="2:16" s="1" customFormat="1" ht="12.6" x14ac:dyDescent="0.3">
      <c r="B3" s="5" t="s">
        <v>59</v>
      </c>
      <c r="C3" s="6">
        <f t="shared" ref="C3:C14" si="0">SUM(E3:P3)</f>
        <v>337094.99999999994</v>
      </c>
      <c r="D3" s="7">
        <f>SUM(G3:L3)</f>
        <v>198170.99999999997</v>
      </c>
      <c r="E3" s="76"/>
      <c r="F3" s="76"/>
      <c r="G3" s="8">
        <f>'Forecast Plan'!C9*68.1</f>
        <v>105554.99999999999</v>
      </c>
      <c r="H3" s="8">
        <f>'Forecast Plan'!D9*68.1</f>
        <v>0</v>
      </c>
      <c r="I3" s="8">
        <f>'Forecast Plan'!E9*68.1</f>
        <v>46307.999999999993</v>
      </c>
      <c r="J3" s="8">
        <f>'Forecast Plan'!F9*68.1</f>
        <v>0</v>
      </c>
      <c r="K3" s="8">
        <f>'Forecast Plan'!G9*68.1</f>
        <v>0</v>
      </c>
      <c r="L3" s="8">
        <f>'Forecast Plan'!H9*68.1</f>
        <v>46307.999999999993</v>
      </c>
      <c r="M3" s="8">
        <f>'Forecast Plan'!I9*68.1</f>
        <v>46307.999999999993</v>
      </c>
      <c r="N3" s="8">
        <f>'Forecast Plan'!J9*68.1</f>
        <v>92615.999999999985</v>
      </c>
      <c r="O3" s="8">
        <f>'Forecast Plan'!K9*68.1</f>
        <v>0</v>
      </c>
      <c r="P3" s="8">
        <f>'Forecast Plan'!L9*68.1</f>
        <v>0</v>
      </c>
    </row>
    <row r="4" spans="2:16" s="1" customFormat="1" ht="12.6" x14ac:dyDescent="0.3">
      <c r="B4" s="5" t="s">
        <v>61</v>
      </c>
      <c r="C4" s="6">
        <f t="shared" si="0"/>
        <v>5899162499.999999</v>
      </c>
      <c r="D4" s="7">
        <f t="shared" ref="D4:D15" si="1">SUM(G4:L4)</f>
        <v>3467992499.9999995</v>
      </c>
      <c r="E4" s="76"/>
      <c r="F4" s="76"/>
      <c r="G4" s="9">
        <f>G3*$C$16</f>
        <v>1847212499.9999998</v>
      </c>
      <c r="H4" s="9">
        <f t="shared" ref="H4:P4" si="2">H3*$C$16</f>
        <v>0</v>
      </c>
      <c r="I4" s="9">
        <f t="shared" si="2"/>
        <v>810389999.99999988</v>
      </c>
      <c r="J4" s="9">
        <f t="shared" si="2"/>
        <v>0</v>
      </c>
      <c r="K4" s="9">
        <f t="shared" si="2"/>
        <v>0</v>
      </c>
      <c r="L4" s="9">
        <f t="shared" si="2"/>
        <v>810389999.99999988</v>
      </c>
      <c r="M4" s="9">
        <f t="shared" si="2"/>
        <v>810389999.99999988</v>
      </c>
      <c r="N4" s="9">
        <f t="shared" si="2"/>
        <v>1620779999.9999998</v>
      </c>
      <c r="O4" s="9">
        <f t="shared" si="2"/>
        <v>0</v>
      </c>
      <c r="P4" s="9">
        <f t="shared" si="2"/>
        <v>0</v>
      </c>
    </row>
    <row r="5" spans="2:16" s="1" customFormat="1" ht="12.6" x14ac:dyDescent="0.3">
      <c r="B5" s="5" t="s">
        <v>62</v>
      </c>
      <c r="C5" s="6">
        <f t="shared" si="0"/>
        <v>30854.749999999996</v>
      </c>
      <c r="D5" s="7">
        <f t="shared" si="1"/>
        <v>23908.55</v>
      </c>
      <c r="E5" s="76"/>
      <c r="F5" s="76"/>
      <c r="G5" s="9">
        <f>G3*5%</f>
        <v>5277.75</v>
      </c>
      <c r="H5" s="9">
        <f t="shared" ref="H5:P5" si="3">H3*5%</f>
        <v>0</v>
      </c>
      <c r="I5" s="9">
        <f t="shared" si="3"/>
        <v>2315.3999999999996</v>
      </c>
      <c r="J5" s="9">
        <f t="shared" si="3"/>
        <v>0</v>
      </c>
      <c r="K5" s="9">
        <f t="shared" si="3"/>
        <v>0</v>
      </c>
      <c r="L5" s="9">
        <f>(L3*5%)+14000</f>
        <v>16315.4</v>
      </c>
      <c r="M5" s="9">
        <f t="shared" si="3"/>
        <v>2315.3999999999996</v>
      </c>
      <c r="N5" s="9">
        <f>(N3*5%)</f>
        <v>4630.7999999999993</v>
      </c>
      <c r="O5" s="9">
        <f t="shared" si="3"/>
        <v>0</v>
      </c>
      <c r="P5" s="9">
        <f t="shared" si="3"/>
        <v>0</v>
      </c>
    </row>
    <row r="6" spans="2:16" s="1" customFormat="1" ht="12.6" x14ac:dyDescent="0.3">
      <c r="B6" s="5" t="s">
        <v>2</v>
      </c>
      <c r="C6" s="6">
        <f t="shared" si="0"/>
        <v>539958125</v>
      </c>
      <c r="D6" s="7">
        <f t="shared" si="1"/>
        <v>418399625</v>
      </c>
      <c r="E6" s="76"/>
      <c r="F6" s="76"/>
      <c r="G6" s="9">
        <f>G5*$C$16</f>
        <v>92360625</v>
      </c>
      <c r="H6" s="9">
        <f t="shared" ref="H6" si="4">H5*$C$16</f>
        <v>0</v>
      </c>
      <c r="I6" s="9">
        <f t="shared" ref="I6" si="5">I5*$C$16</f>
        <v>40519499.999999993</v>
      </c>
      <c r="J6" s="9">
        <f t="shared" ref="J6" si="6">J5*$C$16</f>
        <v>0</v>
      </c>
      <c r="K6" s="9">
        <f t="shared" ref="K6" si="7">K5*$C$16</f>
        <v>0</v>
      </c>
      <c r="L6" s="9">
        <f t="shared" ref="L6" si="8">L5*$C$16</f>
        <v>285519500</v>
      </c>
      <c r="M6" s="9">
        <f t="shared" ref="M6" si="9">M5*$C$16</f>
        <v>40519499.999999993</v>
      </c>
      <c r="N6" s="9">
        <f t="shared" ref="N6" si="10">N5*$C$16</f>
        <v>81038999.999999985</v>
      </c>
      <c r="O6" s="9">
        <f t="shared" ref="O6" si="11">O5*$C$16</f>
        <v>0</v>
      </c>
      <c r="P6" s="9">
        <f t="shared" ref="P6" si="12">P5*$C$16</f>
        <v>0</v>
      </c>
    </row>
    <row r="7" spans="2:16" s="1" customFormat="1" ht="12.6" x14ac:dyDescent="0.3">
      <c r="B7" s="10" t="s">
        <v>63</v>
      </c>
      <c r="C7" s="6">
        <f>SUM(E7:P7)</f>
        <v>198170.99999999997</v>
      </c>
      <c r="D7" s="7">
        <f t="shared" si="1"/>
        <v>198170.99999999997</v>
      </c>
      <c r="E7" s="76"/>
      <c r="F7" s="76"/>
      <c r="G7" s="8">
        <f>'Forecast Plan'!C9*68.1</f>
        <v>105554.99999999999</v>
      </c>
      <c r="H7" s="8">
        <f>'Forecast Plan'!D9*68.1</f>
        <v>0</v>
      </c>
      <c r="I7" s="8">
        <f>'Forecast Plan'!E9*68.1</f>
        <v>46307.999999999993</v>
      </c>
      <c r="J7" s="8">
        <f>'Forecast Plan'!F9*68.1</f>
        <v>0</v>
      </c>
      <c r="K7" s="8">
        <f>'Forecast Plan'!G9*68.1</f>
        <v>0</v>
      </c>
      <c r="L7" s="8">
        <f>'Forecast Plan'!H9*68.1</f>
        <v>46307.999999999993</v>
      </c>
      <c r="M7" s="8"/>
      <c r="N7" s="8"/>
      <c r="O7" s="8"/>
      <c r="P7" s="8"/>
    </row>
    <row r="8" spans="2:16" s="1" customFormat="1" ht="12.6" x14ac:dyDescent="0.3">
      <c r="B8" s="10" t="s">
        <v>3</v>
      </c>
      <c r="C8" s="6">
        <f>SUM(E8:P8)</f>
        <v>3467992499.9999995</v>
      </c>
      <c r="D8" s="7">
        <f t="shared" si="1"/>
        <v>3467992499.9999995</v>
      </c>
      <c r="E8" s="76"/>
      <c r="F8" s="76"/>
      <c r="G8" s="9">
        <f>G7*$C$16</f>
        <v>1847212499.9999998</v>
      </c>
      <c r="H8" s="9">
        <f t="shared" ref="H8" si="13">H7*$C$16</f>
        <v>0</v>
      </c>
      <c r="I8" s="9">
        <f t="shared" ref="I8" si="14">I7*$C$16</f>
        <v>810389999.99999988</v>
      </c>
      <c r="J8" s="9">
        <f t="shared" ref="J8" si="15">J7*$C$16</f>
        <v>0</v>
      </c>
      <c r="K8" s="9">
        <f t="shared" ref="K8" si="16">K7*$C$16</f>
        <v>0</v>
      </c>
      <c r="L8" s="9">
        <f t="shared" ref="L8" si="17">L7*$C$16</f>
        <v>810389999.99999988</v>
      </c>
      <c r="M8" s="9">
        <f t="shared" ref="H8:P8" si="18">M7*M$17</f>
        <v>0</v>
      </c>
      <c r="N8" s="9">
        <f t="shared" si="18"/>
        <v>0</v>
      </c>
      <c r="O8" s="9">
        <f t="shared" si="18"/>
        <v>0</v>
      </c>
      <c r="P8" s="9">
        <f t="shared" si="18"/>
        <v>0</v>
      </c>
    </row>
    <row r="9" spans="2:16" s="1" customFormat="1" ht="12.6" x14ac:dyDescent="0.3">
      <c r="B9" s="11" t="s">
        <v>4</v>
      </c>
      <c r="C9" s="12">
        <f t="shared" ref="C9:P9" si="19">IFERROR(C7/C3,0)</f>
        <v>0.58787878787878789</v>
      </c>
      <c r="D9" s="7">
        <f t="shared" si="1"/>
        <v>3</v>
      </c>
      <c r="E9" s="76"/>
      <c r="F9" s="76"/>
      <c r="G9" s="13">
        <f t="shared" si="19"/>
        <v>1</v>
      </c>
      <c r="H9" s="13">
        <f t="shared" si="19"/>
        <v>0</v>
      </c>
      <c r="I9" s="13">
        <f t="shared" si="19"/>
        <v>1</v>
      </c>
      <c r="J9" s="13">
        <f t="shared" si="19"/>
        <v>0</v>
      </c>
      <c r="K9" s="13">
        <f t="shared" si="19"/>
        <v>0</v>
      </c>
      <c r="L9" s="13">
        <f t="shared" si="19"/>
        <v>1</v>
      </c>
      <c r="M9" s="13">
        <f t="shared" si="19"/>
        <v>0</v>
      </c>
      <c r="N9" s="13">
        <f t="shared" si="19"/>
        <v>0</v>
      </c>
      <c r="O9" s="13">
        <f t="shared" si="19"/>
        <v>0</v>
      </c>
      <c r="P9" s="13">
        <f t="shared" si="19"/>
        <v>0</v>
      </c>
    </row>
    <row r="10" spans="2:16" s="1" customFormat="1" ht="12.6" x14ac:dyDescent="0.3">
      <c r="B10" s="14" t="s">
        <v>64</v>
      </c>
      <c r="C10" s="6">
        <f t="shared" si="0"/>
        <v>29725.649999999994</v>
      </c>
      <c r="D10" s="7">
        <f t="shared" si="1"/>
        <v>29725.649999999994</v>
      </c>
      <c r="E10" s="76"/>
      <c r="F10" s="76"/>
      <c r="G10" s="8">
        <f t="shared" ref="E10:O10" si="20">G7*15%</f>
        <v>15833.249999999996</v>
      </c>
      <c r="H10" s="8">
        <f t="shared" si="20"/>
        <v>0</v>
      </c>
      <c r="I10" s="8">
        <f t="shared" si="20"/>
        <v>6946.1999999999989</v>
      </c>
      <c r="J10" s="8">
        <f t="shared" si="20"/>
        <v>0</v>
      </c>
      <c r="K10" s="8">
        <f t="shared" si="20"/>
        <v>0</v>
      </c>
      <c r="L10" s="8">
        <f t="shared" si="20"/>
        <v>6946.1999999999989</v>
      </c>
      <c r="M10" s="8">
        <f t="shared" si="20"/>
        <v>0</v>
      </c>
      <c r="N10" s="8">
        <f t="shared" si="20"/>
        <v>0</v>
      </c>
      <c r="O10" s="8">
        <f t="shared" si="20"/>
        <v>0</v>
      </c>
      <c r="P10" s="8"/>
    </row>
    <row r="11" spans="2:16" s="1" customFormat="1" ht="12.6" x14ac:dyDescent="0.3">
      <c r="B11" s="14" t="s">
        <v>5</v>
      </c>
      <c r="C11" s="6">
        <f t="shared" si="0"/>
        <v>520198874.99999994</v>
      </c>
      <c r="D11" s="7">
        <f t="shared" si="1"/>
        <v>520198874.99999994</v>
      </c>
      <c r="E11" s="76"/>
      <c r="F11" s="76"/>
      <c r="G11" s="9">
        <f>G10*$C$16</f>
        <v>277081874.99999994</v>
      </c>
      <c r="H11" s="9">
        <f t="shared" ref="H11" si="21">H10*$C$16</f>
        <v>0</v>
      </c>
      <c r="I11" s="9">
        <f t="shared" ref="I11" si="22">I10*$C$16</f>
        <v>121558499.99999999</v>
      </c>
      <c r="J11" s="9">
        <f t="shared" ref="J11" si="23">J10*$C$16</f>
        <v>0</v>
      </c>
      <c r="K11" s="9">
        <f t="shared" ref="K11" si="24">K10*$C$16</f>
        <v>0</v>
      </c>
      <c r="L11" s="9">
        <f t="shared" ref="L11" si="25">L10*$C$16</f>
        <v>121558499.99999999</v>
      </c>
      <c r="M11" s="9">
        <f t="shared" ref="M11:P11" si="26">M10*M$17</f>
        <v>0</v>
      </c>
      <c r="N11" s="9">
        <f t="shared" si="26"/>
        <v>0</v>
      </c>
      <c r="O11" s="9">
        <f t="shared" si="26"/>
        <v>0</v>
      </c>
      <c r="P11" s="9">
        <f t="shared" si="26"/>
        <v>0</v>
      </c>
    </row>
    <row r="12" spans="2:16" s="1" customFormat="1" ht="12.6" x14ac:dyDescent="0.3">
      <c r="B12" s="11" t="s">
        <v>6</v>
      </c>
      <c r="C12" s="6">
        <f t="shared" si="0"/>
        <v>589916250</v>
      </c>
      <c r="D12" s="7">
        <f t="shared" si="1"/>
        <v>346799250</v>
      </c>
      <c r="E12" s="76"/>
      <c r="F12" s="76"/>
      <c r="G12" s="9">
        <f t="shared" ref="F12:P12" si="27">10%*G19</f>
        <v>184721250</v>
      </c>
      <c r="H12" s="9">
        <f t="shared" si="27"/>
        <v>0</v>
      </c>
      <c r="I12" s="9">
        <f t="shared" si="27"/>
        <v>81039000</v>
      </c>
      <c r="J12" s="9">
        <f t="shared" si="27"/>
        <v>0</v>
      </c>
      <c r="K12" s="9">
        <f t="shared" si="27"/>
        <v>0</v>
      </c>
      <c r="L12" s="9">
        <f t="shared" si="27"/>
        <v>81039000</v>
      </c>
      <c r="M12" s="9">
        <f t="shared" si="27"/>
        <v>81039000</v>
      </c>
      <c r="N12" s="9">
        <f t="shared" si="27"/>
        <v>162078000</v>
      </c>
      <c r="O12" s="9">
        <f t="shared" si="27"/>
        <v>0</v>
      </c>
      <c r="P12" s="9">
        <f t="shared" si="27"/>
        <v>0</v>
      </c>
    </row>
    <row r="13" spans="2:16" s="1" customFormat="1" ht="12.6" x14ac:dyDescent="0.3">
      <c r="B13" s="11"/>
      <c r="C13" s="6">
        <f>C12*0.75</f>
        <v>442437187.5</v>
      </c>
      <c r="D13" s="7">
        <f t="shared" si="1"/>
        <v>260099437.5</v>
      </c>
      <c r="E13" s="76"/>
      <c r="F13" s="76"/>
      <c r="G13" s="6">
        <f t="shared" ref="E13:P13" si="28">G12*0.75</f>
        <v>138540937.5</v>
      </c>
      <c r="H13" s="6">
        <f t="shared" si="28"/>
        <v>0</v>
      </c>
      <c r="I13" s="6">
        <f t="shared" si="28"/>
        <v>60779250</v>
      </c>
      <c r="J13" s="6">
        <f t="shared" si="28"/>
        <v>0</v>
      </c>
      <c r="K13" s="6">
        <f t="shared" si="28"/>
        <v>0</v>
      </c>
      <c r="L13" s="6">
        <f t="shared" si="28"/>
        <v>60779250</v>
      </c>
      <c r="M13" s="6">
        <f t="shared" si="28"/>
        <v>60779250</v>
      </c>
      <c r="N13" s="6">
        <f t="shared" si="28"/>
        <v>121558500</v>
      </c>
      <c r="O13" s="6">
        <f t="shared" si="28"/>
        <v>0</v>
      </c>
      <c r="P13" s="6">
        <f t="shared" si="28"/>
        <v>0</v>
      </c>
    </row>
    <row r="14" spans="2:16" s="1" customFormat="1" ht="12.6" x14ac:dyDescent="0.3">
      <c r="B14" s="11" t="s">
        <v>7</v>
      </c>
      <c r="C14" s="6">
        <f t="shared" si="0"/>
        <v>847405781.25</v>
      </c>
      <c r="D14" s="7">
        <f t="shared" si="1"/>
        <v>573899156.25</v>
      </c>
      <c r="E14" s="76"/>
      <c r="F14" s="76"/>
      <c r="G14" s="9">
        <f t="shared" ref="F14:P14" si="29">(G6+G12)*0.75</f>
        <v>207811406.25</v>
      </c>
      <c r="H14" s="9">
        <f t="shared" si="29"/>
        <v>0</v>
      </c>
      <c r="I14" s="9">
        <f t="shared" si="29"/>
        <v>91168875</v>
      </c>
      <c r="J14" s="9">
        <f t="shared" si="29"/>
        <v>0</v>
      </c>
      <c r="K14" s="9">
        <f t="shared" si="29"/>
        <v>0</v>
      </c>
      <c r="L14" s="9">
        <f t="shared" si="29"/>
        <v>274918875</v>
      </c>
      <c r="M14" s="9">
        <f t="shared" si="29"/>
        <v>91168875</v>
      </c>
      <c r="N14" s="9">
        <f t="shared" si="29"/>
        <v>182337750</v>
      </c>
      <c r="O14" s="9">
        <f t="shared" si="29"/>
        <v>0</v>
      </c>
      <c r="P14" s="9">
        <f t="shared" si="29"/>
        <v>0</v>
      </c>
    </row>
    <row r="15" spans="2:16" s="1" customFormat="1" ht="12.6" x14ac:dyDescent="0.3">
      <c r="B15" s="5" t="s">
        <v>8</v>
      </c>
      <c r="C15" s="6">
        <f>COUNTA(G15:P15)</f>
        <v>5</v>
      </c>
      <c r="D15" s="6">
        <f>COUNTA(G15:L15)</f>
        <v>3</v>
      </c>
      <c r="E15" s="76"/>
      <c r="F15" s="76"/>
      <c r="G15" s="9" t="s">
        <v>95</v>
      </c>
      <c r="H15" s="9"/>
      <c r="I15" s="9" t="s">
        <v>96</v>
      </c>
      <c r="J15" s="9"/>
      <c r="K15" s="9"/>
      <c r="L15" s="9" t="s">
        <v>96</v>
      </c>
      <c r="M15" s="9" t="s">
        <v>96</v>
      </c>
      <c r="N15" s="9" t="s">
        <v>95</v>
      </c>
      <c r="O15" s="8"/>
      <c r="P15" s="8"/>
    </row>
    <row r="16" spans="2:16" s="1" customFormat="1" ht="12.6" x14ac:dyDescent="0.3">
      <c r="B16" s="5" t="s">
        <v>65</v>
      </c>
      <c r="C16" s="7">
        <v>17500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2:16" s="1" customFormat="1" ht="12.6" x14ac:dyDescent="0.3">
      <c r="B17" s="15"/>
      <c r="C17" s="16"/>
      <c r="D17" s="17"/>
      <c r="E17" s="17"/>
      <c r="F17" s="17"/>
      <c r="G17" s="17"/>
      <c r="H17" s="17"/>
      <c r="I17" s="17"/>
      <c r="J17" s="18"/>
      <c r="K17" s="19"/>
      <c r="L17" s="19"/>
      <c r="M17" s="19"/>
      <c r="N17" s="19"/>
      <c r="O17" s="19"/>
      <c r="P17" s="19"/>
    </row>
    <row r="18" spans="2:16" s="1" customFormat="1" ht="12.6" x14ac:dyDescent="0.3">
      <c r="B18" s="20" t="s">
        <v>9</v>
      </c>
      <c r="C18" s="20" t="s">
        <v>10</v>
      </c>
      <c r="D18" s="21" t="s">
        <v>1</v>
      </c>
      <c r="E18" s="22">
        <f t="shared" ref="E18:P18" si="30">E2</f>
        <v>45658</v>
      </c>
      <c r="F18" s="22">
        <f t="shared" si="30"/>
        <v>45689</v>
      </c>
      <c r="G18" s="22">
        <f t="shared" si="30"/>
        <v>45717</v>
      </c>
      <c r="H18" s="22">
        <f t="shared" si="30"/>
        <v>45748</v>
      </c>
      <c r="I18" s="22">
        <f t="shared" si="30"/>
        <v>45778</v>
      </c>
      <c r="J18" s="22">
        <f t="shared" si="30"/>
        <v>45809</v>
      </c>
      <c r="K18" s="22">
        <f t="shared" si="30"/>
        <v>45839</v>
      </c>
      <c r="L18" s="22">
        <f t="shared" si="30"/>
        <v>45870</v>
      </c>
      <c r="M18" s="22">
        <f t="shared" si="30"/>
        <v>45901</v>
      </c>
      <c r="N18" s="22">
        <f t="shared" si="30"/>
        <v>45931</v>
      </c>
      <c r="O18" s="22">
        <f t="shared" si="30"/>
        <v>45962</v>
      </c>
      <c r="P18" s="22">
        <f t="shared" si="30"/>
        <v>45992</v>
      </c>
    </row>
    <row r="19" spans="2:16" s="1" customFormat="1" ht="12.6" x14ac:dyDescent="0.3">
      <c r="B19" s="5" t="s">
        <v>66</v>
      </c>
      <c r="C19" s="6">
        <f t="shared" ref="C19:C20" si="31">SUM(E19:P19)</f>
        <v>5899162499.999999</v>
      </c>
      <c r="D19" s="7"/>
      <c r="E19" s="76"/>
      <c r="F19" s="76"/>
      <c r="G19" s="8">
        <f>G4</f>
        <v>1847212499.9999998</v>
      </c>
      <c r="H19" s="8">
        <f t="shared" ref="H19:P19" si="32">H4</f>
        <v>0</v>
      </c>
      <c r="I19" s="8">
        <f t="shared" si="32"/>
        <v>810389999.99999988</v>
      </c>
      <c r="J19" s="8">
        <f t="shared" si="32"/>
        <v>0</v>
      </c>
      <c r="K19" s="8">
        <f t="shared" si="32"/>
        <v>0</v>
      </c>
      <c r="L19" s="8">
        <f t="shared" si="32"/>
        <v>810389999.99999988</v>
      </c>
      <c r="M19" s="8">
        <f t="shared" si="32"/>
        <v>810389999.99999988</v>
      </c>
      <c r="N19" s="8">
        <f t="shared" si="32"/>
        <v>1620779999.9999998</v>
      </c>
      <c r="O19" s="8">
        <f t="shared" si="32"/>
        <v>0</v>
      </c>
      <c r="P19" s="8">
        <f t="shared" si="32"/>
        <v>0</v>
      </c>
    </row>
    <row r="20" spans="2:16" s="1" customFormat="1" ht="12.6" x14ac:dyDescent="0.3">
      <c r="B20" s="10" t="s">
        <v>67</v>
      </c>
      <c r="C20" s="6">
        <f t="shared" si="31"/>
        <v>3467992499.9999995</v>
      </c>
      <c r="D20" s="7">
        <f>SUM(E20:P20)</f>
        <v>3467992499.9999995</v>
      </c>
      <c r="E20" s="76"/>
      <c r="F20" s="76"/>
      <c r="G20" s="77">
        <f>G8</f>
        <v>1847212499.9999998</v>
      </c>
      <c r="H20" s="77">
        <f t="shared" ref="H20:P20" si="33">H8</f>
        <v>0</v>
      </c>
      <c r="I20" s="77">
        <f t="shared" si="33"/>
        <v>810389999.99999988</v>
      </c>
      <c r="J20" s="77">
        <f t="shared" si="33"/>
        <v>0</v>
      </c>
      <c r="K20" s="77">
        <f t="shared" si="33"/>
        <v>0</v>
      </c>
      <c r="L20" s="77">
        <f t="shared" si="33"/>
        <v>810389999.99999988</v>
      </c>
      <c r="M20" s="77">
        <f t="shared" si="33"/>
        <v>0</v>
      </c>
      <c r="N20" s="77">
        <f t="shared" si="33"/>
        <v>0</v>
      </c>
      <c r="O20" s="77">
        <f t="shared" si="33"/>
        <v>0</v>
      </c>
      <c r="P20" s="77">
        <f t="shared" si="33"/>
        <v>0</v>
      </c>
    </row>
    <row r="21" spans="2:16" s="1" customFormat="1" ht="12.6" x14ac:dyDescent="0.3">
      <c r="B21" s="5" t="s">
        <v>4</v>
      </c>
      <c r="C21" s="23">
        <f t="shared" ref="C21:P21" si="34">IFERROR(C20/C19,0)</f>
        <v>0.58787878787878789</v>
      </c>
      <c r="D21" s="23">
        <f t="shared" si="34"/>
        <v>0</v>
      </c>
      <c r="E21" s="24">
        <f t="shared" si="34"/>
        <v>0</v>
      </c>
      <c r="F21" s="24">
        <f t="shared" si="34"/>
        <v>0</v>
      </c>
      <c r="G21" s="24">
        <f t="shared" si="34"/>
        <v>1</v>
      </c>
      <c r="H21" s="24">
        <f t="shared" si="34"/>
        <v>0</v>
      </c>
      <c r="I21" s="24">
        <f t="shared" si="34"/>
        <v>1</v>
      </c>
      <c r="J21" s="24">
        <f t="shared" si="34"/>
        <v>0</v>
      </c>
      <c r="K21" s="24">
        <f t="shared" si="34"/>
        <v>0</v>
      </c>
      <c r="L21" s="24">
        <f t="shared" si="34"/>
        <v>1</v>
      </c>
      <c r="M21" s="24">
        <f t="shared" si="34"/>
        <v>0</v>
      </c>
      <c r="N21" s="24">
        <f t="shared" si="34"/>
        <v>0</v>
      </c>
      <c r="O21" s="24">
        <f t="shared" si="34"/>
        <v>0</v>
      </c>
      <c r="P21" s="24">
        <f t="shared" si="34"/>
        <v>0</v>
      </c>
    </row>
    <row r="22" spans="2:16" s="1" customFormat="1" ht="12.6" x14ac:dyDescent="0.3">
      <c r="B22" s="15"/>
      <c r="C22" s="16"/>
      <c r="D22" s="25"/>
      <c r="E22" s="25"/>
      <c r="F22" s="25"/>
      <c r="G22" s="25"/>
      <c r="H22" s="25"/>
      <c r="I22" s="26"/>
      <c r="J22" s="26"/>
      <c r="K22" s="26"/>
      <c r="L22" s="26"/>
      <c r="M22" s="26"/>
      <c r="N22" s="26"/>
      <c r="O22" s="26"/>
      <c r="P22" s="26"/>
    </row>
    <row r="23" spans="2:16" s="1" customFormat="1" ht="12.6" x14ac:dyDescent="0.3">
      <c r="B23" s="27" t="s">
        <v>11</v>
      </c>
      <c r="C23" s="28" t="s">
        <v>12</v>
      </c>
      <c r="D23" s="27" t="s">
        <v>1</v>
      </c>
      <c r="E23" s="29">
        <f t="shared" ref="E23:P23" si="35">E2</f>
        <v>45658</v>
      </c>
      <c r="F23" s="29">
        <f t="shared" si="35"/>
        <v>45689</v>
      </c>
      <c r="G23" s="29">
        <f t="shared" si="35"/>
        <v>45717</v>
      </c>
      <c r="H23" s="29">
        <f t="shared" si="35"/>
        <v>45748</v>
      </c>
      <c r="I23" s="29">
        <f t="shared" si="35"/>
        <v>45778</v>
      </c>
      <c r="J23" s="29">
        <f t="shared" si="35"/>
        <v>45809</v>
      </c>
      <c r="K23" s="29">
        <f t="shared" si="35"/>
        <v>45839</v>
      </c>
      <c r="L23" s="29">
        <f t="shared" si="35"/>
        <v>45870</v>
      </c>
      <c r="M23" s="29">
        <f t="shared" si="35"/>
        <v>45901</v>
      </c>
      <c r="N23" s="29">
        <f t="shared" si="35"/>
        <v>45931</v>
      </c>
      <c r="O23" s="29">
        <f t="shared" si="35"/>
        <v>45962</v>
      </c>
      <c r="P23" s="29">
        <f t="shared" si="35"/>
        <v>45992</v>
      </c>
    </row>
    <row r="24" spans="2:16" s="1" customFormat="1" ht="12.6" x14ac:dyDescent="0.3">
      <c r="B24" s="30" t="s">
        <v>13</v>
      </c>
      <c r="C24" s="9">
        <f t="shared" ref="C24:C26" si="36">SUM(E24:P24)</f>
        <v>866998125</v>
      </c>
      <c r="D24" s="8">
        <f>SUM(E24:P24)</f>
        <v>866998125</v>
      </c>
      <c r="E24" s="9">
        <f>(E20*10%)+E11</f>
        <v>0</v>
      </c>
      <c r="F24" s="9">
        <f t="shared" ref="F24:P24" si="37">(F20*10%)+F11</f>
        <v>0</v>
      </c>
      <c r="G24" s="9">
        <f t="shared" si="37"/>
        <v>461803124.99999994</v>
      </c>
      <c r="H24" s="9">
        <f t="shared" si="37"/>
        <v>0</v>
      </c>
      <c r="I24" s="9">
        <f t="shared" si="37"/>
        <v>202597500</v>
      </c>
      <c r="J24" s="9">
        <f t="shared" si="37"/>
        <v>0</v>
      </c>
      <c r="K24" s="9">
        <f t="shared" si="37"/>
        <v>0</v>
      </c>
      <c r="L24" s="9">
        <f t="shared" si="37"/>
        <v>202597500</v>
      </c>
      <c r="M24" s="9">
        <f t="shared" si="37"/>
        <v>0</v>
      </c>
      <c r="N24" s="9">
        <f t="shared" si="37"/>
        <v>0</v>
      </c>
      <c r="O24" s="9">
        <f t="shared" si="37"/>
        <v>0</v>
      </c>
      <c r="P24" s="9">
        <f t="shared" si="37"/>
        <v>0</v>
      </c>
    </row>
    <row r="25" spans="2:16" s="1" customFormat="1" ht="12.6" x14ac:dyDescent="0.3">
      <c r="B25" s="5" t="s">
        <v>7</v>
      </c>
      <c r="C25" s="9">
        <f t="shared" si="36"/>
        <v>847405781.25</v>
      </c>
      <c r="D25" s="8"/>
      <c r="E25" s="8">
        <f>E14</f>
        <v>0</v>
      </c>
      <c r="F25" s="8">
        <f t="shared" ref="F25:P25" si="38">F14</f>
        <v>0</v>
      </c>
      <c r="G25" s="8">
        <f t="shared" si="38"/>
        <v>207811406.25</v>
      </c>
      <c r="H25" s="8">
        <f t="shared" si="38"/>
        <v>0</v>
      </c>
      <c r="I25" s="8">
        <f t="shared" si="38"/>
        <v>91168875</v>
      </c>
      <c r="J25" s="8">
        <f t="shared" si="38"/>
        <v>0</v>
      </c>
      <c r="K25" s="8">
        <f t="shared" si="38"/>
        <v>0</v>
      </c>
      <c r="L25" s="8">
        <f t="shared" si="38"/>
        <v>274918875</v>
      </c>
      <c r="M25" s="8">
        <f t="shared" si="38"/>
        <v>91168875</v>
      </c>
      <c r="N25" s="8">
        <f t="shared" si="38"/>
        <v>182337750</v>
      </c>
      <c r="O25" s="8">
        <f t="shared" si="38"/>
        <v>0</v>
      </c>
      <c r="P25" s="8">
        <f t="shared" si="38"/>
        <v>0</v>
      </c>
    </row>
    <row r="26" spans="2:16" s="1" customFormat="1" ht="12.6" x14ac:dyDescent="0.3">
      <c r="B26" s="5" t="s">
        <v>14</v>
      </c>
      <c r="C26" s="9">
        <f t="shared" si="36"/>
        <v>405615322</v>
      </c>
      <c r="D26" s="8">
        <f>SUM(E26:P26)</f>
        <v>405615322</v>
      </c>
      <c r="E26" s="8">
        <f t="shared" ref="E26:P26" si="39">H36</f>
        <v>0</v>
      </c>
      <c r="F26" s="8">
        <f t="shared" si="39"/>
        <v>135000000</v>
      </c>
      <c r="G26" s="8">
        <f t="shared" si="39"/>
        <v>0</v>
      </c>
      <c r="H26" s="8">
        <f t="shared" si="39"/>
        <v>0</v>
      </c>
      <c r="I26" s="8">
        <f t="shared" si="39"/>
        <v>0</v>
      </c>
      <c r="J26" s="8">
        <f t="shared" si="39"/>
        <v>0</v>
      </c>
      <c r="K26" s="8">
        <f t="shared" si="39"/>
        <v>0</v>
      </c>
      <c r="L26" s="8">
        <f t="shared" si="39"/>
        <v>0</v>
      </c>
      <c r="M26" s="8">
        <f t="shared" si="39"/>
        <v>14000000</v>
      </c>
      <c r="N26" s="8">
        <f t="shared" si="39"/>
        <v>92263490</v>
      </c>
      <c r="O26" s="8">
        <f t="shared" si="39"/>
        <v>97455402</v>
      </c>
      <c r="P26" s="8">
        <f t="shared" si="39"/>
        <v>66896430</v>
      </c>
    </row>
    <row r="27" spans="2:16" s="1" customFormat="1" ht="12.6" x14ac:dyDescent="0.3">
      <c r="B27" s="5" t="s">
        <v>15</v>
      </c>
      <c r="C27" s="24">
        <f t="shared" ref="C27:P27" si="40">IFERROR(C26/C25,0)</f>
        <v>0.47865536319764163</v>
      </c>
      <c r="D27" s="24">
        <f t="shared" si="40"/>
        <v>0</v>
      </c>
      <c r="E27" s="24">
        <f t="shared" si="40"/>
        <v>0</v>
      </c>
      <c r="F27" s="24">
        <f t="shared" si="40"/>
        <v>0</v>
      </c>
      <c r="G27" s="24">
        <f t="shared" si="40"/>
        <v>0</v>
      </c>
      <c r="H27" s="24">
        <f t="shared" si="40"/>
        <v>0</v>
      </c>
      <c r="I27" s="24">
        <f t="shared" si="40"/>
        <v>0</v>
      </c>
      <c r="J27" s="24">
        <f t="shared" si="40"/>
        <v>0</v>
      </c>
      <c r="K27" s="24">
        <f t="shared" si="40"/>
        <v>0</v>
      </c>
      <c r="L27" s="24">
        <f t="shared" si="40"/>
        <v>0</v>
      </c>
      <c r="M27" s="24">
        <f t="shared" si="40"/>
        <v>0.15356117973376329</v>
      </c>
      <c r="N27" s="24">
        <f t="shared" si="40"/>
        <v>0.50600322752693838</v>
      </c>
      <c r="O27" s="24">
        <f t="shared" si="40"/>
        <v>0</v>
      </c>
      <c r="P27" s="24">
        <f t="shared" si="40"/>
        <v>0</v>
      </c>
    </row>
    <row r="28" spans="2:16" s="1" customFormat="1" ht="12.6" x14ac:dyDescent="0.3">
      <c r="B28" s="5" t="s">
        <v>16</v>
      </c>
      <c r="C28" s="24">
        <f t="shared" ref="C28:P28" si="41">IFERROR(C26/C24,0)</f>
        <v>0.46783875339984154</v>
      </c>
      <c r="D28" s="24">
        <f t="shared" si="41"/>
        <v>0.46783875339984154</v>
      </c>
      <c r="E28" s="24">
        <f t="shared" si="41"/>
        <v>0</v>
      </c>
      <c r="F28" s="24">
        <f t="shared" si="41"/>
        <v>0</v>
      </c>
      <c r="G28" s="24">
        <f t="shared" si="41"/>
        <v>0</v>
      </c>
      <c r="H28" s="24">
        <f t="shared" si="41"/>
        <v>0</v>
      </c>
      <c r="I28" s="24">
        <f t="shared" si="41"/>
        <v>0</v>
      </c>
      <c r="J28" s="24">
        <f t="shared" si="41"/>
        <v>0</v>
      </c>
      <c r="K28" s="24">
        <f t="shared" si="41"/>
        <v>0</v>
      </c>
      <c r="L28" s="24">
        <f t="shared" si="41"/>
        <v>0</v>
      </c>
      <c r="M28" s="24">
        <f t="shared" si="41"/>
        <v>0</v>
      </c>
      <c r="N28" s="24">
        <f t="shared" si="41"/>
        <v>0</v>
      </c>
      <c r="O28" s="24">
        <f t="shared" si="41"/>
        <v>0</v>
      </c>
      <c r="P28" s="24">
        <f t="shared" si="41"/>
        <v>0</v>
      </c>
    </row>
    <row r="29" spans="2:16" s="1" customFormat="1" ht="12.6" x14ac:dyDescent="0.3">
      <c r="B29" s="10" t="s">
        <v>17</v>
      </c>
      <c r="C29" s="9">
        <f>SUM(E29:P29)</f>
        <v>0</v>
      </c>
      <c r="D29" s="8">
        <f>SUM(E29:P29)</f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2:16" s="1" customFormat="1" ht="12.6" x14ac:dyDescent="0.3">
      <c r="B30" s="5" t="s">
        <v>18</v>
      </c>
      <c r="C30" s="24">
        <f t="shared" ref="C30:P30" si="42">IFERROR(C29/C20,0)</f>
        <v>0</v>
      </c>
      <c r="D30" s="24">
        <f t="shared" si="42"/>
        <v>0</v>
      </c>
      <c r="E30" s="24">
        <f t="shared" si="42"/>
        <v>0</v>
      </c>
      <c r="F30" s="24">
        <f t="shared" si="42"/>
        <v>0</v>
      </c>
      <c r="G30" s="24">
        <f t="shared" si="42"/>
        <v>0</v>
      </c>
      <c r="H30" s="24">
        <f t="shared" si="42"/>
        <v>0</v>
      </c>
      <c r="I30" s="24">
        <f t="shared" si="42"/>
        <v>0</v>
      </c>
      <c r="J30" s="24">
        <f t="shared" si="42"/>
        <v>0</v>
      </c>
      <c r="K30" s="24">
        <f t="shared" si="42"/>
        <v>0</v>
      </c>
      <c r="L30" s="24">
        <f t="shared" si="42"/>
        <v>0</v>
      </c>
      <c r="M30" s="24">
        <f t="shared" si="42"/>
        <v>0</v>
      </c>
      <c r="N30" s="24">
        <f t="shared" si="42"/>
        <v>0</v>
      </c>
      <c r="O30" s="24">
        <f t="shared" si="42"/>
        <v>0</v>
      </c>
      <c r="P30" s="24">
        <f t="shared" si="42"/>
        <v>0</v>
      </c>
    </row>
    <row r="31" spans="2:16" s="1" customFormat="1" ht="12.6" x14ac:dyDescent="0.3">
      <c r="B31" s="10" t="s">
        <v>19</v>
      </c>
      <c r="C31" s="8">
        <f>SUM(I31:P31)</f>
        <v>0</v>
      </c>
      <c r="D31" s="9">
        <f>SUM(I31:M31)</f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2:16" s="1" customFormat="1" ht="12.6" x14ac:dyDescent="0.3">
      <c r="B32" s="5" t="s">
        <v>20</v>
      </c>
      <c r="C32" s="24">
        <f t="shared" ref="C32:P32" si="43">IFERROR(C31/C26,0)</f>
        <v>0</v>
      </c>
      <c r="D32" s="24">
        <f t="shared" si="43"/>
        <v>0</v>
      </c>
      <c r="E32" s="24">
        <f t="shared" si="43"/>
        <v>0</v>
      </c>
      <c r="F32" s="24">
        <f t="shared" si="43"/>
        <v>0</v>
      </c>
      <c r="G32" s="24">
        <f t="shared" si="43"/>
        <v>0</v>
      </c>
      <c r="H32" s="24">
        <f t="shared" si="43"/>
        <v>0</v>
      </c>
      <c r="I32" s="24">
        <f t="shared" si="43"/>
        <v>0</v>
      </c>
      <c r="J32" s="24">
        <f t="shared" si="43"/>
        <v>0</v>
      </c>
      <c r="K32" s="24">
        <f t="shared" si="43"/>
        <v>0</v>
      </c>
      <c r="L32" s="24">
        <f t="shared" si="43"/>
        <v>0</v>
      </c>
      <c r="M32" s="24">
        <f t="shared" si="43"/>
        <v>0</v>
      </c>
      <c r="N32" s="24">
        <f t="shared" si="43"/>
        <v>0</v>
      </c>
      <c r="O32" s="24">
        <f t="shared" si="43"/>
        <v>0</v>
      </c>
      <c r="P32" s="24">
        <f t="shared" si="43"/>
        <v>0</v>
      </c>
    </row>
    <row r="33" spans="2:19" s="1" customFormat="1" ht="12.6" x14ac:dyDescent="0.3">
      <c r="B33" s="5" t="s">
        <v>21</v>
      </c>
      <c r="C33" s="9">
        <f t="shared" ref="C33:P33" si="44">C24-C26</f>
        <v>461382803</v>
      </c>
      <c r="D33" s="9">
        <f t="shared" si="44"/>
        <v>461382803</v>
      </c>
      <c r="E33" s="9">
        <f t="shared" si="44"/>
        <v>0</v>
      </c>
      <c r="F33" s="9">
        <f t="shared" si="44"/>
        <v>-135000000</v>
      </c>
      <c r="G33" s="9">
        <f t="shared" si="44"/>
        <v>461803124.99999994</v>
      </c>
      <c r="H33" s="9">
        <f t="shared" si="44"/>
        <v>0</v>
      </c>
      <c r="I33" s="9">
        <f t="shared" si="44"/>
        <v>202597500</v>
      </c>
      <c r="J33" s="9">
        <f t="shared" si="44"/>
        <v>0</v>
      </c>
      <c r="K33" s="9">
        <f t="shared" si="44"/>
        <v>0</v>
      </c>
      <c r="L33" s="9">
        <f t="shared" si="44"/>
        <v>202597500</v>
      </c>
      <c r="M33" s="9">
        <f t="shared" si="44"/>
        <v>-14000000</v>
      </c>
      <c r="N33" s="9">
        <f t="shared" si="44"/>
        <v>-92263490</v>
      </c>
      <c r="O33" s="9">
        <f t="shared" si="44"/>
        <v>-97455402</v>
      </c>
      <c r="P33" s="9">
        <f t="shared" si="44"/>
        <v>-66896430</v>
      </c>
    </row>
    <row r="34" spans="2:19" s="1" customFormat="1" ht="12.6" x14ac:dyDescent="0.3">
      <c r="B34" s="31"/>
      <c r="C34" s="16"/>
      <c r="D34" s="19"/>
      <c r="E34" s="19"/>
      <c r="F34" s="19"/>
      <c r="G34" s="19"/>
      <c r="H34" s="19"/>
      <c r="I34" s="17"/>
      <c r="J34" s="18"/>
      <c r="K34" s="19"/>
      <c r="L34" s="19"/>
      <c r="M34" s="19"/>
      <c r="N34" s="17"/>
      <c r="O34" s="17"/>
      <c r="P34" s="17"/>
    </row>
    <row r="35" spans="2:19" s="1" customFormat="1" ht="37.799999999999997" x14ac:dyDescent="0.3">
      <c r="B35" s="32" t="s">
        <v>22</v>
      </c>
      <c r="C35" s="32"/>
      <c r="D35" s="32" t="s">
        <v>68</v>
      </c>
      <c r="E35" s="33" t="s">
        <v>69</v>
      </c>
      <c r="F35" s="33" t="s">
        <v>21</v>
      </c>
      <c r="G35" s="33" t="s">
        <v>23</v>
      </c>
      <c r="H35" s="34">
        <f t="shared" ref="H35:S35" si="45">E2</f>
        <v>45658</v>
      </c>
      <c r="I35" s="34">
        <f t="shared" si="45"/>
        <v>45689</v>
      </c>
      <c r="J35" s="34">
        <f t="shared" si="45"/>
        <v>45717</v>
      </c>
      <c r="K35" s="34">
        <f t="shared" si="45"/>
        <v>45748</v>
      </c>
      <c r="L35" s="34">
        <f t="shared" si="45"/>
        <v>45778</v>
      </c>
      <c r="M35" s="34">
        <f t="shared" si="45"/>
        <v>45809</v>
      </c>
      <c r="N35" s="34">
        <f t="shared" si="45"/>
        <v>45839</v>
      </c>
      <c r="O35" s="34">
        <f t="shared" si="45"/>
        <v>45870</v>
      </c>
      <c r="P35" s="34">
        <f t="shared" si="45"/>
        <v>45901</v>
      </c>
      <c r="Q35" s="34">
        <f t="shared" si="45"/>
        <v>45931</v>
      </c>
      <c r="R35" s="34">
        <f t="shared" si="45"/>
        <v>45962</v>
      </c>
      <c r="S35" s="34">
        <f t="shared" si="45"/>
        <v>45992</v>
      </c>
    </row>
    <row r="36" spans="2:19" s="1" customFormat="1" ht="12.6" x14ac:dyDescent="0.3">
      <c r="B36" s="35" t="s">
        <v>24</v>
      </c>
      <c r="C36" s="36">
        <f>C37+C46+C67+C70+C59</f>
        <v>1.0030000000000001</v>
      </c>
      <c r="D36" s="37">
        <f>D37+D46+D67+D70+D59</f>
        <v>406832167.96600002</v>
      </c>
      <c r="E36" s="37">
        <f>E37+E46+E67+E70+E59</f>
        <v>405615322</v>
      </c>
      <c r="F36" s="37">
        <f t="shared" ref="F36:F54" si="46">D36-E36</f>
        <v>1216845.9660000205</v>
      </c>
      <c r="G36" s="38">
        <f t="shared" ref="G36:G44" si="47">IFERROR(E36/D36,0)</f>
        <v>0.99700897308075764</v>
      </c>
      <c r="H36" s="37">
        <f t="shared" ref="H36:S36" si="48">H37+H46+H67+H70+H59</f>
        <v>0</v>
      </c>
      <c r="I36" s="37">
        <f t="shared" si="48"/>
        <v>135000000</v>
      </c>
      <c r="J36" s="37">
        <f t="shared" si="48"/>
        <v>0</v>
      </c>
      <c r="K36" s="37">
        <f t="shared" si="48"/>
        <v>0</v>
      </c>
      <c r="L36" s="37">
        <f t="shared" si="48"/>
        <v>0</v>
      </c>
      <c r="M36" s="37">
        <f t="shared" si="48"/>
        <v>0</v>
      </c>
      <c r="N36" s="37">
        <f t="shared" si="48"/>
        <v>0</v>
      </c>
      <c r="O36" s="37">
        <f t="shared" si="48"/>
        <v>0</v>
      </c>
      <c r="P36" s="37">
        <f t="shared" si="48"/>
        <v>14000000</v>
      </c>
      <c r="Q36" s="37">
        <f t="shared" si="48"/>
        <v>92263490</v>
      </c>
      <c r="R36" s="37">
        <f t="shared" si="48"/>
        <v>97455402</v>
      </c>
      <c r="S36" s="37">
        <f t="shared" si="48"/>
        <v>66896430</v>
      </c>
    </row>
    <row r="37" spans="2:19" s="1" customFormat="1" ht="12.6" x14ac:dyDescent="0.3">
      <c r="B37" s="39" t="s">
        <v>25</v>
      </c>
      <c r="C37" s="40">
        <f t="shared" ref="C37:E37" si="49">SUM(C38:C44)</f>
        <v>0.46199999999999997</v>
      </c>
      <c r="D37" s="41">
        <f t="shared" si="49"/>
        <v>187394278.764</v>
      </c>
      <c r="E37" s="41">
        <f t="shared" si="49"/>
        <v>186615322</v>
      </c>
      <c r="F37" s="41">
        <f t="shared" si="46"/>
        <v>778956.76399999857</v>
      </c>
      <c r="G37" s="42">
        <f t="shared" si="47"/>
        <v>0.99584322013917514</v>
      </c>
      <c r="H37" s="41">
        <f t="shared" ref="H37:S37" si="50">SUM(H38:H44)</f>
        <v>0</v>
      </c>
      <c r="I37" s="41">
        <f t="shared" si="50"/>
        <v>0</v>
      </c>
      <c r="J37" s="41">
        <f t="shared" si="50"/>
        <v>0</v>
      </c>
      <c r="K37" s="41">
        <f t="shared" si="50"/>
        <v>0</v>
      </c>
      <c r="L37" s="41">
        <f t="shared" si="50"/>
        <v>0</v>
      </c>
      <c r="M37" s="41">
        <f t="shared" si="50"/>
        <v>0</v>
      </c>
      <c r="N37" s="41">
        <f t="shared" si="50"/>
        <v>0</v>
      </c>
      <c r="O37" s="41">
        <f t="shared" si="50"/>
        <v>0</v>
      </c>
      <c r="P37" s="41">
        <f t="shared" si="50"/>
        <v>0</v>
      </c>
      <c r="Q37" s="41">
        <f t="shared" si="50"/>
        <v>62263490</v>
      </c>
      <c r="R37" s="41">
        <f t="shared" si="50"/>
        <v>57455402</v>
      </c>
      <c r="S37" s="41">
        <f t="shared" si="50"/>
        <v>66896430</v>
      </c>
    </row>
    <row r="38" spans="2:19" s="1" customFormat="1" ht="12.6" x14ac:dyDescent="0.3">
      <c r="B38" s="43" t="s">
        <v>26</v>
      </c>
      <c r="C38" s="44">
        <v>0.31</v>
      </c>
      <c r="D38" s="45">
        <f t="shared" ref="D38:D44" si="51">C38*$C$26</f>
        <v>125740749.81999999</v>
      </c>
      <c r="E38" s="45">
        <f t="shared" ref="E38:E44" si="52">SUM(H38:S38)</f>
        <v>125160172</v>
      </c>
      <c r="F38" s="45">
        <f t="shared" si="46"/>
        <v>580577.81999999285</v>
      </c>
      <c r="G38" s="46">
        <f t="shared" si="47"/>
        <v>0.9953827393201401</v>
      </c>
      <c r="H38" s="45"/>
      <c r="I38" s="45"/>
      <c r="J38" s="45"/>
      <c r="K38" s="45"/>
      <c r="L38" s="45"/>
      <c r="M38" s="45"/>
      <c r="N38" s="45"/>
      <c r="O38" s="45"/>
      <c r="P38" s="45"/>
      <c r="Q38" s="45">
        <v>43562050</v>
      </c>
      <c r="R38" s="45">
        <v>35633962</v>
      </c>
      <c r="S38" s="45">
        <v>45964160</v>
      </c>
    </row>
    <row r="39" spans="2:19" s="1" customFormat="1" ht="12.6" x14ac:dyDescent="0.3">
      <c r="B39" s="43" t="s">
        <v>27</v>
      </c>
      <c r="C39" s="44">
        <v>0</v>
      </c>
      <c r="D39" s="45">
        <f t="shared" si="51"/>
        <v>0</v>
      </c>
      <c r="E39" s="45">
        <f t="shared" si="52"/>
        <v>0</v>
      </c>
      <c r="F39" s="45">
        <f t="shared" si="46"/>
        <v>0</v>
      </c>
      <c r="G39" s="46">
        <f t="shared" si="47"/>
        <v>0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</row>
    <row r="40" spans="2:19" s="1" customFormat="1" ht="12.6" x14ac:dyDescent="0.3">
      <c r="B40" s="43" t="s">
        <v>28</v>
      </c>
      <c r="C40" s="44">
        <v>0</v>
      </c>
      <c r="D40" s="45">
        <f t="shared" si="51"/>
        <v>0</v>
      </c>
      <c r="E40" s="45">
        <f t="shared" si="52"/>
        <v>0</v>
      </c>
      <c r="F40" s="45">
        <f t="shared" si="46"/>
        <v>0</v>
      </c>
      <c r="G40" s="46">
        <f t="shared" si="47"/>
        <v>0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</row>
    <row r="41" spans="2:19" s="1" customFormat="1" ht="12.6" x14ac:dyDescent="0.3">
      <c r="B41" s="43" t="s">
        <v>29</v>
      </c>
      <c r="C41" s="44">
        <v>0.152</v>
      </c>
      <c r="D41" s="45">
        <f t="shared" si="51"/>
        <v>61653528.943999998</v>
      </c>
      <c r="E41" s="45">
        <f t="shared" si="52"/>
        <v>61455150</v>
      </c>
      <c r="F41" s="45">
        <f t="shared" si="46"/>
        <v>198378.94399999827</v>
      </c>
      <c r="G41" s="46">
        <f t="shared" si="47"/>
        <v>0.99678235865168097</v>
      </c>
      <c r="H41" s="45"/>
      <c r="I41" s="45"/>
      <c r="J41" s="45"/>
      <c r="K41" s="45"/>
      <c r="L41" s="45"/>
      <c r="M41" s="45"/>
      <c r="N41" s="45"/>
      <c r="O41" s="45"/>
      <c r="P41" s="45"/>
      <c r="Q41" s="45">
        <v>18701440</v>
      </c>
      <c r="R41" s="45">
        <v>21821440</v>
      </c>
      <c r="S41" s="45">
        <v>20932270</v>
      </c>
    </row>
    <row r="42" spans="2:19" s="1" customFormat="1" ht="12.6" x14ac:dyDescent="0.3">
      <c r="B42" s="43" t="s">
        <v>30</v>
      </c>
      <c r="C42" s="44">
        <v>0</v>
      </c>
      <c r="D42" s="45">
        <f t="shared" si="51"/>
        <v>0</v>
      </c>
      <c r="E42" s="45">
        <f t="shared" si="52"/>
        <v>0</v>
      </c>
      <c r="F42" s="45">
        <f t="shared" si="46"/>
        <v>0</v>
      </c>
      <c r="G42" s="46">
        <f t="shared" si="47"/>
        <v>0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</row>
    <row r="43" spans="2:19" s="1" customFormat="1" ht="12.6" x14ac:dyDescent="0.3">
      <c r="B43" s="43" t="s">
        <v>31</v>
      </c>
      <c r="C43" s="44">
        <v>0</v>
      </c>
      <c r="D43" s="45">
        <f t="shared" si="51"/>
        <v>0</v>
      </c>
      <c r="E43" s="45">
        <f t="shared" si="52"/>
        <v>0</v>
      </c>
      <c r="F43" s="45">
        <f t="shared" si="46"/>
        <v>0</v>
      </c>
      <c r="G43" s="46">
        <f t="shared" si="47"/>
        <v>0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</row>
    <row r="44" spans="2:19" s="1" customFormat="1" ht="12.6" x14ac:dyDescent="0.3">
      <c r="B44" s="43" t="s">
        <v>32</v>
      </c>
      <c r="C44" s="44">
        <v>0</v>
      </c>
      <c r="D44" s="45">
        <f t="shared" si="51"/>
        <v>0</v>
      </c>
      <c r="E44" s="45">
        <f t="shared" si="52"/>
        <v>0</v>
      </c>
      <c r="F44" s="45">
        <f t="shared" si="46"/>
        <v>0</v>
      </c>
      <c r="G44" s="46">
        <f t="shared" si="47"/>
        <v>0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</row>
    <row r="45" spans="2:19" s="1" customFormat="1" ht="12.6" x14ac:dyDescent="0.3">
      <c r="B45" s="43"/>
      <c r="C45" s="43"/>
      <c r="D45" s="45"/>
      <c r="E45" s="45"/>
      <c r="F45" s="45">
        <f t="shared" si="46"/>
        <v>0</v>
      </c>
      <c r="G45" s="46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</row>
    <row r="46" spans="2:19" s="1" customFormat="1" ht="12.6" x14ac:dyDescent="0.3">
      <c r="B46" s="39" t="s">
        <v>33</v>
      </c>
      <c r="C46" s="40">
        <f t="shared" ref="C46:D46" si="53">SUM(C47:C57)</f>
        <v>0.54100000000000004</v>
      </c>
      <c r="D46" s="41">
        <f t="shared" si="53"/>
        <v>219437889.20200002</v>
      </c>
      <c r="E46" s="41">
        <f>SUM(E47:E73)</f>
        <v>219000000</v>
      </c>
      <c r="F46" s="41">
        <f t="shared" si="46"/>
        <v>437889.20200002193</v>
      </c>
      <c r="G46" s="42">
        <f t="shared" ref="G46:G54" si="54">IFERROR(E46/D46,0)</f>
        <v>0.99800449592551022</v>
      </c>
      <c r="H46" s="41">
        <f t="shared" ref="H46:S46" si="55">SUM(H47:H57)</f>
        <v>0</v>
      </c>
      <c r="I46" s="41">
        <f t="shared" si="55"/>
        <v>135000000</v>
      </c>
      <c r="J46" s="41">
        <f t="shared" si="55"/>
        <v>0</v>
      </c>
      <c r="K46" s="41">
        <f t="shared" si="55"/>
        <v>0</v>
      </c>
      <c r="L46" s="41">
        <f t="shared" si="55"/>
        <v>0</v>
      </c>
      <c r="M46" s="41">
        <f t="shared" si="55"/>
        <v>0</v>
      </c>
      <c r="N46" s="41">
        <f t="shared" si="55"/>
        <v>0</v>
      </c>
      <c r="O46" s="41">
        <f t="shared" si="55"/>
        <v>0</v>
      </c>
      <c r="P46" s="41">
        <f t="shared" si="55"/>
        <v>14000000</v>
      </c>
      <c r="Q46" s="41">
        <f t="shared" si="55"/>
        <v>30000000</v>
      </c>
      <c r="R46" s="41">
        <f t="shared" si="55"/>
        <v>40000000</v>
      </c>
      <c r="S46" s="41">
        <f t="shared" si="55"/>
        <v>0</v>
      </c>
    </row>
    <row r="47" spans="2:19" s="1" customFormat="1" ht="12.6" x14ac:dyDescent="0.3">
      <c r="B47" s="43" t="s">
        <v>34</v>
      </c>
      <c r="C47" s="44">
        <v>0.124</v>
      </c>
      <c r="D47" s="45">
        <f t="shared" ref="D47:D57" si="56">C47*$C$26</f>
        <v>50296299.928000003</v>
      </c>
      <c r="E47" s="45">
        <f t="shared" ref="E47:E57" si="57">SUM(H47:S47)</f>
        <v>50000000</v>
      </c>
      <c r="F47" s="45">
        <f t="shared" si="46"/>
        <v>296299.9280000031</v>
      </c>
      <c r="G47" s="46">
        <f t="shared" si="54"/>
        <v>0.99410891201889284</v>
      </c>
      <c r="H47" s="45"/>
      <c r="I47" s="45"/>
      <c r="J47" s="45"/>
      <c r="K47" s="45"/>
      <c r="L47" s="45"/>
      <c r="M47" s="45"/>
      <c r="N47" s="45"/>
      <c r="O47" s="45"/>
      <c r="P47" s="45"/>
      <c r="Q47" s="45">
        <v>10000000</v>
      </c>
      <c r="R47" s="45">
        <v>40000000</v>
      </c>
      <c r="S47" s="45"/>
    </row>
    <row r="48" spans="2:19" s="1" customFormat="1" ht="12.6" x14ac:dyDescent="0.3">
      <c r="B48" s="43" t="s">
        <v>35</v>
      </c>
      <c r="C48" s="44">
        <v>8.4000000000000005E-2</v>
      </c>
      <c r="D48" s="45">
        <f t="shared" si="56"/>
        <v>34071687.048</v>
      </c>
      <c r="E48" s="45">
        <f t="shared" si="57"/>
        <v>34000000</v>
      </c>
      <c r="F48" s="45">
        <f t="shared" si="46"/>
        <v>71687.048000000417</v>
      </c>
      <c r="G48" s="46">
        <f t="shared" si="54"/>
        <v>0.99789599358848868</v>
      </c>
      <c r="H48" s="45"/>
      <c r="I48" s="45"/>
      <c r="J48" s="45"/>
      <c r="K48" s="45"/>
      <c r="L48" s="45"/>
      <c r="M48" s="45"/>
      <c r="N48" s="45"/>
      <c r="O48" s="45"/>
      <c r="P48" s="45">
        <v>14000000</v>
      </c>
      <c r="Q48" s="45">
        <v>20000000</v>
      </c>
      <c r="R48" s="45"/>
      <c r="S48" s="45"/>
    </row>
    <row r="49" spans="2:19" s="1" customFormat="1" ht="12.6" x14ac:dyDescent="0.3">
      <c r="B49" s="43" t="s">
        <v>36</v>
      </c>
      <c r="C49" s="44">
        <v>0</v>
      </c>
      <c r="D49" s="45">
        <f t="shared" si="56"/>
        <v>0</v>
      </c>
      <c r="E49" s="45">
        <f t="shared" si="57"/>
        <v>0</v>
      </c>
      <c r="F49" s="45">
        <f t="shared" si="46"/>
        <v>0</v>
      </c>
      <c r="G49" s="46">
        <f t="shared" si="54"/>
        <v>0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</row>
    <row r="50" spans="2:19" s="1" customFormat="1" ht="12.6" x14ac:dyDescent="0.3">
      <c r="B50" s="43" t="s">
        <v>37</v>
      </c>
      <c r="C50" s="44">
        <v>0.33300000000000002</v>
      </c>
      <c r="D50" s="45">
        <f t="shared" si="56"/>
        <v>135069902.22600001</v>
      </c>
      <c r="E50" s="45">
        <f t="shared" si="57"/>
        <v>135000000</v>
      </c>
      <c r="F50" s="45">
        <f t="shared" si="46"/>
        <v>69902.226000010967</v>
      </c>
      <c r="G50" s="46">
        <f t="shared" si="54"/>
        <v>0.99948247370548138</v>
      </c>
      <c r="H50" s="45"/>
      <c r="I50" s="45">
        <v>135000000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</row>
    <row r="51" spans="2:19" s="1" customFormat="1" ht="12.6" x14ac:dyDescent="0.3">
      <c r="B51" s="43" t="s">
        <v>38</v>
      </c>
      <c r="C51" s="44">
        <v>0</v>
      </c>
      <c r="D51" s="45">
        <f t="shared" si="56"/>
        <v>0</v>
      </c>
      <c r="E51" s="45">
        <f t="shared" si="57"/>
        <v>0</v>
      </c>
      <c r="F51" s="45">
        <f t="shared" si="46"/>
        <v>0</v>
      </c>
      <c r="G51" s="46">
        <f t="shared" si="54"/>
        <v>0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</row>
    <row r="52" spans="2:19" s="1" customFormat="1" ht="12.6" x14ac:dyDescent="0.3">
      <c r="B52" s="43" t="s">
        <v>39</v>
      </c>
      <c r="C52" s="44">
        <v>0</v>
      </c>
      <c r="D52" s="45">
        <f t="shared" si="56"/>
        <v>0</v>
      </c>
      <c r="E52" s="45">
        <f t="shared" si="57"/>
        <v>0</v>
      </c>
      <c r="F52" s="45">
        <f t="shared" si="46"/>
        <v>0</v>
      </c>
      <c r="G52" s="46">
        <f t="shared" si="54"/>
        <v>0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</row>
    <row r="53" spans="2:19" s="1" customFormat="1" ht="12.6" x14ac:dyDescent="0.3">
      <c r="B53" s="43" t="s">
        <v>40</v>
      </c>
      <c r="C53" s="44">
        <v>0</v>
      </c>
      <c r="D53" s="45">
        <f t="shared" si="56"/>
        <v>0</v>
      </c>
      <c r="E53" s="45">
        <f t="shared" si="57"/>
        <v>0</v>
      </c>
      <c r="F53" s="45">
        <f t="shared" si="46"/>
        <v>0</v>
      </c>
      <c r="G53" s="46">
        <f t="shared" si="54"/>
        <v>0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</row>
    <row r="54" spans="2:19" s="1" customFormat="1" ht="12.6" x14ac:dyDescent="0.3">
      <c r="B54" s="43" t="s">
        <v>41</v>
      </c>
      <c r="C54" s="44">
        <v>0</v>
      </c>
      <c r="D54" s="45">
        <f t="shared" si="56"/>
        <v>0</v>
      </c>
      <c r="E54" s="45">
        <f t="shared" si="57"/>
        <v>0</v>
      </c>
      <c r="F54" s="45">
        <f t="shared" si="46"/>
        <v>0</v>
      </c>
      <c r="G54" s="46">
        <f t="shared" si="54"/>
        <v>0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</row>
    <row r="55" spans="2:19" s="1" customFormat="1" ht="12.6" x14ac:dyDescent="0.3">
      <c r="B55" s="43" t="s">
        <v>42</v>
      </c>
      <c r="C55" s="44">
        <v>0</v>
      </c>
      <c r="D55" s="45">
        <f t="shared" si="56"/>
        <v>0</v>
      </c>
      <c r="E55" s="45">
        <f t="shared" si="57"/>
        <v>0</v>
      </c>
      <c r="F55" s="45"/>
      <c r="G55" s="46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</row>
    <row r="56" spans="2:19" s="1" customFormat="1" ht="12.6" x14ac:dyDescent="0.3">
      <c r="B56" s="43" t="s">
        <v>43</v>
      </c>
      <c r="C56" s="44">
        <v>0</v>
      </c>
      <c r="D56" s="45">
        <f t="shared" si="56"/>
        <v>0</v>
      </c>
      <c r="E56" s="45">
        <f t="shared" si="57"/>
        <v>0</v>
      </c>
      <c r="F56" s="45"/>
      <c r="G56" s="46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</row>
    <row r="57" spans="2:19" s="1" customFormat="1" ht="12.6" x14ac:dyDescent="0.3">
      <c r="B57" s="43" t="s">
        <v>44</v>
      </c>
      <c r="C57" s="44">
        <v>0</v>
      </c>
      <c r="D57" s="45">
        <f t="shared" si="56"/>
        <v>0</v>
      </c>
      <c r="E57" s="45">
        <f t="shared" si="57"/>
        <v>0</v>
      </c>
      <c r="F57" s="45">
        <f t="shared" ref="F57:F76" si="58">D57-E57</f>
        <v>0</v>
      </c>
      <c r="G57" s="46">
        <f>IFERROR(E57/D57,0)</f>
        <v>0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</row>
    <row r="58" spans="2:19" s="1" customFormat="1" ht="12.6" x14ac:dyDescent="0.3">
      <c r="B58" s="43"/>
      <c r="C58" s="43"/>
      <c r="D58" s="45"/>
      <c r="E58" s="45"/>
      <c r="F58" s="45">
        <f t="shared" si="58"/>
        <v>0</v>
      </c>
      <c r="G58" s="46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s="1" customFormat="1" ht="12.6" x14ac:dyDescent="0.3">
      <c r="B59" s="39" t="s">
        <v>45</v>
      </c>
      <c r="C59" s="40">
        <f t="shared" ref="C59:E59" si="59">SUM(C60:C65)</f>
        <v>0</v>
      </c>
      <c r="D59" s="47">
        <f t="shared" si="59"/>
        <v>0</v>
      </c>
      <c r="E59" s="47">
        <f t="shared" si="59"/>
        <v>0</v>
      </c>
      <c r="F59" s="47">
        <f t="shared" si="58"/>
        <v>0</v>
      </c>
      <c r="G59" s="48">
        <f t="shared" ref="G59:G65" si="60">IFERROR(E59/D59,0)</f>
        <v>0</v>
      </c>
      <c r="H59" s="49">
        <f t="shared" ref="H59:S59" si="61">SUM(H62:H65)</f>
        <v>0</v>
      </c>
      <c r="I59" s="49">
        <f t="shared" si="61"/>
        <v>0</v>
      </c>
      <c r="J59" s="49">
        <f t="shared" si="61"/>
        <v>0</v>
      </c>
      <c r="K59" s="49">
        <f t="shared" si="61"/>
        <v>0</v>
      </c>
      <c r="L59" s="49">
        <f t="shared" si="61"/>
        <v>0</v>
      </c>
      <c r="M59" s="49">
        <f t="shared" si="61"/>
        <v>0</v>
      </c>
      <c r="N59" s="49">
        <f t="shared" si="61"/>
        <v>0</v>
      </c>
      <c r="O59" s="49">
        <f t="shared" si="61"/>
        <v>0</v>
      </c>
      <c r="P59" s="49">
        <f t="shared" si="61"/>
        <v>0</v>
      </c>
      <c r="Q59" s="49">
        <f t="shared" si="61"/>
        <v>0</v>
      </c>
      <c r="R59" s="49">
        <f t="shared" si="61"/>
        <v>0</v>
      </c>
      <c r="S59" s="49">
        <f t="shared" si="61"/>
        <v>0</v>
      </c>
    </row>
    <row r="60" spans="2:19" s="1" customFormat="1" ht="12.6" x14ac:dyDescent="0.3">
      <c r="B60" s="43" t="s">
        <v>46</v>
      </c>
      <c r="C60" s="44">
        <v>0</v>
      </c>
      <c r="D60" s="45">
        <f t="shared" ref="D60:D65" si="62">C60*$C$26</f>
        <v>0</v>
      </c>
      <c r="E60" s="45">
        <f t="shared" ref="E60:E65" si="63">SUM(H60:S60)</f>
        <v>0</v>
      </c>
      <c r="F60" s="45">
        <f t="shared" si="58"/>
        <v>0</v>
      </c>
      <c r="G60" s="46">
        <f t="shared" si="60"/>
        <v>0</v>
      </c>
      <c r="H60" s="45"/>
      <c r="I60" s="45"/>
      <c r="J60" s="45"/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5"/>
    </row>
    <row r="61" spans="2:19" s="1" customFormat="1" ht="12.6" x14ac:dyDescent="0.3">
      <c r="B61" s="43" t="s">
        <v>47</v>
      </c>
      <c r="C61" s="44">
        <v>0</v>
      </c>
      <c r="D61" s="45">
        <f t="shared" si="62"/>
        <v>0</v>
      </c>
      <c r="E61" s="45">
        <f t="shared" si="63"/>
        <v>0</v>
      </c>
      <c r="F61" s="45">
        <f t="shared" si="58"/>
        <v>0</v>
      </c>
      <c r="G61" s="46">
        <f t="shared" si="60"/>
        <v>0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</row>
    <row r="62" spans="2:19" s="1" customFormat="1" ht="12.6" x14ac:dyDescent="0.3">
      <c r="B62" s="43" t="s">
        <v>48</v>
      </c>
      <c r="C62" s="44">
        <v>0</v>
      </c>
      <c r="D62" s="45">
        <f t="shared" si="62"/>
        <v>0</v>
      </c>
      <c r="E62" s="45">
        <f t="shared" si="63"/>
        <v>0</v>
      </c>
      <c r="F62" s="45">
        <f t="shared" si="58"/>
        <v>0</v>
      </c>
      <c r="G62" s="46">
        <f t="shared" si="60"/>
        <v>0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</row>
    <row r="63" spans="2:19" s="1" customFormat="1" ht="12.6" x14ac:dyDescent="0.3">
      <c r="B63" s="43" t="s">
        <v>49</v>
      </c>
      <c r="C63" s="44">
        <v>0</v>
      </c>
      <c r="D63" s="45">
        <f t="shared" si="62"/>
        <v>0</v>
      </c>
      <c r="E63" s="45">
        <f t="shared" si="63"/>
        <v>0</v>
      </c>
      <c r="F63" s="45">
        <f t="shared" si="58"/>
        <v>0</v>
      </c>
      <c r="G63" s="46">
        <f t="shared" si="60"/>
        <v>0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</row>
    <row r="64" spans="2:19" s="1" customFormat="1" ht="12.6" x14ac:dyDescent="0.3">
      <c r="B64" s="43" t="s">
        <v>50</v>
      </c>
      <c r="C64" s="44">
        <v>0</v>
      </c>
      <c r="D64" s="45">
        <f t="shared" si="62"/>
        <v>0</v>
      </c>
      <c r="E64" s="45">
        <f t="shared" si="63"/>
        <v>0</v>
      </c>
      <c r="F64" s="45">
        <f t="shared" si="58"/>
        <v>0</v>
      </c>
      <c r="G64" s="46">
        <f t="shared" si="60"/>
        <v>0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</row>
    <row r="65" spans="2:19" s="1" customFormat="1" ht="12.6" x14ac:dyDescent="0.3">
      <c r="B65" s="43" t="s">
        <v>51</v>
      </c>
      <c r="C65" s="44">
        <v>0</v>
      </c>
      <c r="D65" s="45">
        <f t="shared" si="62"/>
        <v>0</v>
      </c>
      <c r="E65" s="45">
        <f t="shared" si="63"/>
        <v>0</v>
      </c>
      <c r="F65" s="45">
        <f t="shared" si="58"/>
        <v>0</v>
      </c>
      <c r="G65" s="46">
        <f t="shared" si="60"/>
        <v>0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</row>
    <row r="66" spans="2:19" s="1" customFormat="1" ht="12.6" x14ac:dyDescent="0.3">
      <c r="B66" s="43"/>
      <c r="C66" s="44"/>
      <c r="D66" s="45"/>
      <c r="E66" s="45"/>
      <c r="F66" s="45"/>
      <c r="G66" s="46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</row>
    <row r="67" spans="2:19" s="1" customFormat="1" ht="12.6" x14ac:dyDescent="0.3">
      <c r="B67" s="39" t="s">
        <v>52</v>
      </c>
      <c r="C67" s="40">
        <f t="shared" ref="C67:E67" si="64">C68</f>
        <v>0</v>
      </c>
      <c r="D67" s="47">
        <f t="shared" si="64"/>
        <v>0</v>
      </c>
      <c r="E67" s="47">
        <f t="shared" si="64"/>
        <v>0</v>
      </c>
      <c r="F67" s="47">
        <f t="shared" si="58"/>
        <v>0</v>
      </c>
      <c r="G67" s="48">
        <f t="shared" ref="G67:S67" si="65">G68</f>
        <v>0</v>
      </c>
      <c r="H67" s="49">
        <f t="shared" si="65"/>
        <v>0</v>
      </c>
      <c r="I67" s="49">
        <f t="shared" si="65"/>
        <v>0</v>
      </c>
      <c r="J67" s="49">
        <f t="shared" si="65"/>
        <v>0</v>
      </c>
      <c r="K67" s="49">
        <f t="shared" si="65"/>
        <v>0</v>
      </c>
      <c r="L67" s="49">
        <f t="shared" si="65"/>
        <v>0</v>
      </c>
      <c r="M67" s="49">
        <f t="shared" si="65"/>
        <v>0</v>
      </c>
      <c r="N67" s="49">
        <f t="shared" si="65"/>
        <v>0</v>
      </c>
      <c r="O67" s="49">
        <f t="shared" si="65"/>
        <v>0</v>
      </c>
      <c r="P67" s="49">
        <f t="shared" si="65"/>
        <v>0</v>
      </c>
      <c r="Q67" s="49">
        <f t="shared" si="65"/>
        <v>0</v>
      </c>
      <c r="R67" s="49">
        <f t="shared" si="65"/>
        <v>0</v>
      </c>
      <c r="S67" s="49">
        <f t="shared" si="65"/>
        <v>0</v>
      </c>
    </row>
    <row r="68" spans="2:19" s="1" customFormat="1" ht="12.6" x14ac:dyDescent="0.3">
      <c r="B68" s="43" t="s">
        <v>52</v>
      </c>
      <c r="C68" s="44">
        <v>0</v>
      </c>
      <c r="D68" s="45">
        <f>C68*$C$26</f>
        <v>0</v>
      </c>
      <c r="E68" s="45">
        <f>SUM(H68:S68)</f>
        <v>0</v>
      </c>
      <c r="F68" s="45">
        <f t="shared" si="58"/>
        <v>0</v>
      </c>
      <c r="G68" s="46">
        <f>IFERROR(E68/D68,0)</f>
        <v>0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</row>
    <row r="69" spans="2:19" s="1" customFormat="1" ht="12.6" x14ac:dyDescent="0.3">
      <c r="B69" s="43"/>
      <c r="C69" s="43"/>
      <c r="D69" s="45"/>
      <c r="E69" s="45"/>
      <c r="F69" s="45">
        <f t="shared" si="58"/>
        <v>0</v>
      </c>
      <c r="G69" s="46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</row>
    <row r="70" spans="2:19" s="1" customFormat="1" ht="12.6" x14ac:dyDescent="0.3">
      <c r="B70" s="39" t="s">
        <v>53</v>
      </c>
      <c r="C70" s="40">
        <f>SUM(C71:C75)</f>
        <v>0</v>
      </c>
      <c r="D70" s="47">
        <f t="shared" ref="D70:E70" si="66">SUM(D71:D73)</f>
        <v>0</v>
      </c>
      <c r="E70" s="47">
        <f t="shared" si="66"/>
        <v>0</v>
      </c>
      <c r="F70" s="47">
        <f t="shared" si="58"/>
        <v>0</v>
      </c>
      <c r="G70" s="48">
        <f t="shared" ref="G70:S70" si="67">G71</f>
        <v>0</v>
      </c>
      <c r="H70" s="49">
        <f t="shared" si="67"/>
        <v>0</v>
      </c>
      <c r="I70" s="49">
        <f t="shared" si="67"/>
        <v>0</v>
      </c>
      <c r="J70" s="49">
        <f t="shared" si="67"/>
        <v>0</v>
      </c>
      <c r="K70" s="49">
        <f t="shared" si="67"/>
        <v>0</v>
      </c>
      <c r="L70" s="49">
        <f t="shared" si="67"/>
        <v>0</v>
      </c>
      <c r="M70" s="49">
        <f t="shared" si="67"/>
        <v>0</v>
      </c>
      <c r="N70" s="49">
        <f t="shared" si="67"/>
        <v>0</v>
      </c>
      <c r="O70" s="49">
        <f t="shared" si="67"/>
        <v>0</v>
      </c>
      <c r="P70" s="49">
        <f t="shared" si="67"/>
        <v>0</v>
      </c>
      <c r="Q70" s="49">
        <f t="shared" si="67"/>
        <v>0</v>
      </c>
      <c r="R70" s="49">
        <f t="shared" si="67"/>
        <v>0</v>
      </c>
      <c r="S70" s="49">
        <f t="shared" si="67"/>
        <v>0</v>
      </c>
    </row>
    <row r="71" spans="2:19" s="1" customFormat="1" ht="12.6" x14ac:dyDescent="0.3">
      <c r="B71" s="43" t="s">
        <v>54</v>
      </c>
      <c r="C71" s="44">
        <v>0</v>
      </c>
      <c r="D71" s="45">
        <f t="shared" ref="D71:D75" si="68">C71*$C$26</f>
        <v>0</v>
      </c>
      <c r="E71" s="45">
        <f t="shared" ref="E71:E73" si="69">SUM(H71:S71)</f>
        <v>0</v>
      </c>
      <c r="F71" s="45">
        <f t="shared" si="58"/>
        <v>0</v>
      </c>
      <c r="G71" s="46">
        <f t="shared" ref="G71:G75" si="70">IFERROR(E71/D71,0)</f>
        <v>0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2" spans="2:19" s="1" customFormat="1" ht="12.6" x14ac:dyDescent="0.3">
      <c r="B72" s="43" t="s">
        <v>55</v>
      </c>
      <c r="C72" s="44">
        <v>0</v>
      </c>
      <c r="D72" s="45">
        <f t="shared" si="68"/>
        <v>0</v>
      </c>
      <c r="E72" s="45">
        <f t="shared" si="69"/>
        <v>0</v>
      </c>
      <c r="F72" s="45">
        <f t="shared" si="58"/>
        <v>0</v>
      </c>
      <c r="G72" s="46">
        <f t="shared" si="70"/>
        <v>0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2:19" s="1" customFormat="1" ht="12.6" x14ac:dyDescent="0.3">
      <c r="B73" s="43" t="s">
        <v>56</v>
      </c>
      <c r="C73" s="44">
        <v>0</v>
      </c>
      <c r="D73" s="45">
        <f t="shared" si="68"/>
        <v>0</v>
      </c>
      <c r="E73" s="45">
        <f t="shared" si="69"/>
        <v>0</v>
      </c>
      <c r="F73" s="45">
        <f t="shared" si="58"/>
        <v>0</v>
      </c>
      <c r="G73" s="46">
        <f t="shared" si="70"/>
        <v>0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2:19" s="1" customFormat="1" ht="12.6" x14ac:dyDescent="0.3">
      <c r="B74" s="43" t="s">
        <v>57</v>
      </c>
      <c r="C74" s="44">
        <v>0</v>
      </c>
      <c r="D74" s="45">
        <f t="shared" si="68"/>
        <v>0</v>
      </c>
      <c r="E74" s="45">
        <f t="shared" ref="E74:E75" si="71">SUM(H74:S74)</f>
        <v>0</v>
      </c>
      <c r="F74" s="45">
        <f t="shared" si="58"/>
        <v>0</v>
      </c>
      <c r="G74" s="46">
        <f t="shared" si="70"/>
        <v>0</v>
      </c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5" spans="2:19" s="1" customFormat="1" ht="12.6" x14ac:dyDescent="0.3">
      <c r="B75" s="43" t="s">
        <v>58</v>
      </c>
      <c r="C75" s="44">
        <v>0</v>
      </c>
      <c r="D75" s="45">
        <f t="shared" si="68"/>
        <v>0</v>
      </c>
      <c r="E75" s="45">
        <f t="shared" si="71"/>
        <v>0</v>
      </c>
      <c r="F75" s="45">
        <f t="shared" si="58"/>
        <v>0</v>
      </c>
      <c r="G75" s="46">
        <f t="shared" si="70"/>
        <v>0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2:19" s="1" customFormat="1" ht="12.6" x14ac:dyDescent="0.3">
      <c r="B76" s="43"/>
      <c r="C76" s="43"/>
      <c r="D76" s="45"/>
      <c r="E76" s="45"/>
      <c r="F76" s="45">
        <f t="shared" si="58"/>
        <v>0</v>
      </c>
      <c r="G76" s="46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</row>
    <row r="77" spans="2:19" s="50" customFormat="1" ht="12.6" x14ac:dyDescent="0.3"/>
  </sheetData>
  <conditionalFormatting sqref="F38:F45 F47:F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AB93-17D8-4D5C-A1A4-888C5BD6E229}">
  <dimension ref="B3:R14"/>
  <sheetViews>
    <sheetView zoomScale="85" zoomScaleNormal="85" workbookViewId="0">
      <selection activeCell="M23" sqref="M23"/>
    </sheetView>
  </sheetViews>
  <sheetFormatPr defaultRowHeight="14.4" x14ac:dyDescent="0.3"/>
  <cols>
    <col min="2" max="2" width="32.44140625" bestFit="1" customWidth="1"/>
    <col min="3" max="3" width="9.21875" customWidth="1"/>
    <col min="4" max="5" width="9.109375" customWidth="1"/>
    <col min="6" max="6" width="9.21875" customWidth="1"/>
    <col min="7" max="7" width="9.109375" customWidth="1"/>
    <col min="8" max="15" width="9.21875" customWidth="1"/>
    <col min="17" max="17" width="10.109375" customWidth="1"/>
    <col min="18" max="18" width="16.5546875" customWidth="1"/>
  </cols>
  <sheetData>
    <row r="3" spans="2:18" ht="15" x14ac:dyDescent="0.35">
      <c r="B3" s="51" t="s">
        <v>70</v>
      </c>
      <c r="C3" s="51"/>
      <c r="D3" s="51"/>
    </row>
    <row r="4" spans="2:18" ht="15" x14ac:dyDescent="0.35">
      <c r="B4" s="52"/>
      <c r="C4" s="53">
        <v>2025</v>
      </c>
      <c r="D4" s="53"/>
      <c r="E4" s="53"/>
      <c r="F4" s="53"/>
      <c r="G4" s="53"/>
      <c r="H4" s="53"/>
      <c r="I4" s="53"/>
      <c r="J4" s="53"/>
      <c r="K4" s="53"/>
      <c r="L4" s="53"/>
      <c r="M4" s="54">
        <v>2026</v>
      </c>
      <c r="N4" s="55"/>
      <c r="O4" s="56"/>
      <c r="P4" s="57" t="s">
        <v>71</v>
      </c>
      <c r="Q4" s="57" t="s">
        <v>90</v>
      </c>
      <c r="R4" s="66">
        <v>2025</v>
      </c>
    </row>
    <row r="5" spans="2:18" ht="15" x14ac:dyDescent="0.3">
      <c r="B5" s="58" t="s">
        <v>72</v>
      </c>
      <c r="C5" s="59" t="s">
        <v>73</v>
      </c>
      <c r="D5" s="59" t="s">
        <v>74</v>
      </c>
      <c r="E5" s="59" t="s">
        <v>75</v>
      </c>
      <c r="F5" s="59" t="s">
        <v>76</v>
      </c>
      <c r="G5" s="59" t="s">
        <v>77</v>
      </c>
      <c r="H5" s="59" t="s">
        <v>78</v>
      </c>
      <c r="I5" s="59" t="s">
        <v>79</v>
      </c>
      <c r="J5" s="59" t="s">
        <v>80</v>
      </c>
      <c r="K5" s="59" t="s">
        <v>81</v>
      </c>
      <c r="L5" s="59" t="s">
        <v>82</v>
      </c>
      <c r="M5" s="59" t="s">
        <v>83</v>
      </c>
      <c r="N5" s="59" t="s">
        <v>84</v>
      </c>
      <c r="O5" s="59" t="s">
        <v>73</v>
      </c>
      <c r="P5" s="57"/>
      <c r="Q5" s="57"/>
      <c r="R5" s="59" t="s">
        <v>91</v>
      </c>
    </row>
    <row r="6" spans="2:18" ht="15" x14ac:dyDescent="0.35">
      <c r="B6" s="60" t="s">
        <v>85</v>
      </c>
      <c r="C6" s="61">
        <v>775</v>
      </c>
      <c r="D6" s="62">
        <v>0</v>
      </c>
      <c r="E6" s="61">
        <v>300</v>
      </c>
      <c r="F6" s="62">
        <v>0</v>
      </c>
      <c r="G6" s="62">
        <v>0</v>
      </c>
      <c r="H6" s="61">
        <v>240</v>
      </c>
      <c r="I6" s="61">
        <v>240</v>
      </c>
      <c r="J6" s="61">
        <v>520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  <c r="P6" s="61">
        <f>SUM(C6:O6)</f>
        <v>2075</v>
      </c>
      <c r="Q6" s="70">
        <v>68.099999999999994</v>
      </c>
      <c r="R6" s="71">
        <f>(SUM(C6:L6))*Q6</f>
        <v>141307.5</v>
      </c>
    </row>
    <row r="7" spans="2:18" ht="15" x14ac:dyDescent="0.35">
      <c r="B7" s="60" t="s">
        <v>86</v>
      </c>
      <c r="C7" s="61">
        <v>775</v>
      </c>
      <c r="D7" s="62">
        <v>0</v>
      </c>
      <c r="E7" s="61">
        <v>150</v>
      </c>
      <c r="F7" s="62">
        <v>0</v>
      </c>
      <c r="G7" s="62">
        <v>0</v>
      </c>
      <c r="H7" s="61">
        <v>220</v>
      </c>
      <c r="I7" s="61">
        <v>280</v>
      </c>
      <c r="J7" s="61">
        <v>550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1">
        <f>SUM(C7:O7)</f>
        <v>1975</v>
      </c>
      <c r="Q7" s="70">
        <v>68.099999999999994</v>
      </c>
      <c r="R7" s="71">
        <f>(SUM(C7:L7))*Q7</f>
        <v>134497.5</v>
      </c>
    </row>
    <row r="8" spans="2:18" ht="15" x14ac:dyDescent="0.35">
      <c r="B8" s="60" t="s">
        <v>87</v>
      </c>
      <c r="C8" s="63">
        <v>0</v>
      </c>
      <c r="D8" s="62">
        <v>0</v>
      </c>
      <c r="E8" s="61">
        <v>230</v>
      </c>
      <c r="F8" s="62">
        <v>0</v>
      </c>
      <c r="G8" s="62">
        <v>0</v>
      </c>
      <c r="H8" s="61">
        <v>220</v>
      </c>
      <c r="I8" s="61">
        <v>160</v>
      </c>
      <c r="J8" s="61">
        <v>290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  <c r="P8" s="64">
        <f>SUM(C8:O8)</f>
        <v>900</v>
      </c>
      <c r="Q8" s="70">
        <v>68.099999999999994</v>
      </c>
      <c r="R8" s="71">
        <f>(SUM(C8:L8))*Q8</f>
        <v>61289.999999999993</v>
      </c>
    </row>
    <row r="9" spans="2:18" ht="15" x14ac:dyDescent="0.35">
      <c r="B9" s="65" t="s">
        <v>88</v>
      </c>
      <c r="C9" s="66">
        <f>SUM(C6:C8)</f>
        <v>1550</v>
      </c>
      <c r="D9" s="67">
        <f t="shared" ref="D9:R9" si="0">SUM(D6:D8)</f>
        <v>0</v>
      </c>
      <c r="E9" s="66">
        <f t="shared" si="0"/>
        <v>680</v>
      </c>
      <c r="F9" s="67">
        <f t="shared" si="0"/>
        <v>0</v>
      </c>
      <c r="G9" s="67">
        <f t="shared" si="0"/>
        <v>0</v>
      </c>
      <c r="H9" s="66">
        <f t="shared" si="0"/>
        <v>680</v>
      </c>
      <c r="I9" s="66">
        <f t="shared" si="0"/>
        <v>680</v>
      </c>
      <c r="J9" s="66">
        <f t="shared" si="0"/>
        <v>1360</v>
      </c>
      <c r="K9" s="67">
        <f t="shared" si="0"/>
        <v>0</v>
      </c>
      <c r="L9" s="67">
        <f t="shared" si="0"/>
        <v>0</v>
      </c>
      <c r="M9" s="67">
        <f t="shared" si="0"/>
        <v>0</v>
      </c>
      <c r="N9" s="67">
        <f t="shared" si="0"/>
        <v>0</v>
      </c>
      <c r="O9" s="67">
        <f t="shared" si="0"/>
        <v>0</v>
      </c>
      <c r="P9" s="66">
        <f t="shared" si="0"/>
        <v>4950</v>
      </c>
      <c r="Q9" s="66">
        <f t="shared" si="0"/>
        <v>204.29999999999998</v>
      </c>
      <c r="R9" s="68">
        <f t="shared" si="0"/>
        <v>337095</v>
      </c>
    </row>
    <row r="10" spans="2:18" ht="15" hidden="1" x14ac:dyDescent="0.35">
      <c r="B10" s="65" t="s">
        <v>89</v>
      </c>
      <c r="C10" s="68">
        <f>C9*68.1*4%*16800</f>
        <v>70932960</v>
      </c>
      <c r="D10" s="68">
        <f t="shared" ref="D10:N10" si="1">D9*68.1*4%*16800</f>
        <v>0</v>
      </c>
      <c r="E10" s="68">
        <f t="shared" si="1"/>
        <v>31118975.999999996</v>
      </c>
      <c r="F10" s="68">
        <f t="shared" si="1"/>
        <v>0</v>
      </c>
      <c r="G10" s="68">
        <f t="shared" si="1"/>
        <v>0</v>
      </c>
      <c r="H10" s="68">
        <f t="shared" si="1"/>
        <v>31118975.999999996</v>
      </c>
      <c r="I10" s="68">
        <f t="shared" si="1"/>
        <v>31118975.999999996</v>
      </c>
      <c r="J10" s="68">
        <f t="shared" si="1"/>
        <v>62237951.999999993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/>
      <c r="P10" s="66"/>
      <c r="Q10" s="66"/>
      <c r="R10" s="68"/>
    </row>
    <row r="11" spans="2:18" ht="15" x14ac:dyDescent="0.35">
      <c r="B11" s="52" t="s">
        <v>92</v>
      </c>
      <c r="P11" s="51" t="s">
        <v>93</v>
      </c>
      <c r="Q11" s="51"/>
      <c r="R11" s="72">
        <f>5%*R9</f>
        <v>16854.75</v>
      </c>
    </row>
    <row r="12" spans="2:18" ht="15" x14ac:dyDescent="0.35">
      <c r="B12" s="52"/>
      <c r="P12" s="69" t="s">
        <v>94</v>
      </c>
      <c r="Q12" s="69"/>
      <c r="R12" s="73">
        <v>14000</v>
      </c>
    </row>
    <row r="13" spans="2:18" ht="15" x14ac:dyDescent="0.35">
      <c r="R13" s="74"/>
    </row>
    <row r="14" spans="2:18" x14ac:dyDescent="0.3">
      <c r="R14" s="75"/>
    </row>
  </sheetData>
  <mergeCells count="4">
    <mergeCell ref="C4:L4"/>
    <mergeCell ref="M4:O4"/>
    <mergeCell ref="P4:P5"/>
    <mergeCell ref="Q4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(2025)</vt:lpstr>
      <vt:lpstr>Forecast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KATHLEEN</cp:lastModifiedBy>
  <dcterms:created xsi:type="dcterms:W3CDTF">2025-09-25T07:49:13Z</dcterms:created>
  <dcterms:modified xsi:type="dcterms:W3CDTF">2025-09-25T09:22:45Z</dcterms:modified>
</cp:coreProperties>
</file>