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AB085FAD-8DAB-43E4-9B66-DD98C905792E}" xr6:coauthVersionLast="47" xr6:coauthVersionMax="47" xr10:uidLastSave="{00000000-0000-0000-0000-000000000000}"/>
  <bookViews>
    <workbookView xWindow="22932" yWindow="-108" windowWidth="23256" windowHeight="12456" activeTab="6" xr2:uid="{00000000-000D-0000-FFFF-FFFF00000000}"/>
  </bookViews>
  <sheets>
    <sheet name="2023.07" sheetId="1" r:id="rId1"/>
    <sheet name="2023.08" sheetId="3" r:id="rId2"/>
    <sheet name="2023.09 " sheetId="4" r:id="rId3"/>
    <sheet name="2023.10" sheetId="7" r:id="rId4"/>
    <sheet name="2023.11" sheetId="8" r:id="rId5"/>
    <sheet name="2023.12" sheetId="9" r:id="rId6"/>
    <sheet name="年度总结" sheetId="10" r:id="rId7"/>
    <sheet name="年度总结1" sheetId="2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L3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M26" i="3"/>
  <c r="N26" i="3" s="1"/>
  <c r="M27" i="3"/>
  <c r="M28" i="3"/>
  <c r="M29" i="3"/>
  <c r="M30" i="3"/>
  <c r="M31" i="3"/>
  <c r="M32" i="3"/>
  <c r="C7" i="10"/>
  <c r="D7" i="10"/>
  <c r="E7" i="10"/>
  <c r="F7" i="10"/>
  <c r="G7" i="10"/>
  <c r="H7" i="10"/>
  <c r="I7" i="10"/>
  <c r="J7" i="10"/>
  <c r="K7" i="10"/>
  <c r="L7" i="10"/>
  <c r="M7" i="10"/>
  <c r="N7" i="10"/>
  <c r="B7" i="10"/>
  <c r="C6" i="10"/>
  <c r="D6" i="10"/>
  <c r="E6" i="10"/>
  <c r="F6" i="10"/>
  <c r="G6" i="10"/>
  <c r="H6" i="10"/>
  <c r="I6" i="10"/>
  <c r="J6" i="10"/>
  <c r="K6" i="10"/>
  <c r="L6" i="10"/>
  <c r="M6" i="10"/>
  <c r="N6" i="10"/>
  <c r="B6" i="10"/>
  <c r="C5" i="10"/>
  <c r="D5" i="10"/>
  <c r="E5" i="10"/>
  <c r="F5" i="10"/>
  <c r="G5" i="10"/>
  <c r="H5" i="10"/>
  <c r="I5" i="10"/>
  <c r="J5" i="10"/>
  <c r="K5" i="10"/>
  <c r="L5" i="10"/>
  <c r="M5" i="10"/>
  <c r="N5" i="10"/>
  <c r="B5" i="10"/>
  <c r="C4" i="10"/>
  <c r="D4" i="10"/>
  <c r="E4" i="10"/>
  <c r="F4" i="10"/>
  <c r="G4" i="10"/>
  <c r="H4" i="10"/>
  <c r="I4" i="10"/>
  <c r="J4" i="10"/>
  <c r="K4" i="10"/>
  <c r="L4" i="10"/>
  <c r="M4" i="10"/>
  <c r="N4" i="10"/>
  <c r="B4" i="10"/>
  <c r="C3" i="10"/>
  <c r="D3" i="10"/>
  <c r="E3" i="10"/>
  <c r="F3" i="10"/>
  <c r="G3" i="10"/>
  <c r="H3" i="10"/>
  <c r="I3" i="10"/>
  <c r="J3" i="10"/>
  <c r="K3" i="10"/>
  <c r="L3" i="10"/>
  <c r="B3" i="10"/>
  <c r="B8" i="10"/>
  <c r="D2" i="10"/>
  <c r="E2" i="10"/>
  <c r="F2" i="10"/>
  <c r="G2" i="10"/>
  <c r="H2" i="10"/>
  <c r="I2" i="10"/>
  <c r="J2" i="10"/>
  <c r="K2" i="10"/>
  <c r="K8" i="10" s="1"/>
  <c r="L2" i="10"/>
  <c r="M2" i="10"/>
  <c r="N2" i="10"/>
  <c r="C2" i="10"/>
  <c r="B2" i="10"/>
  <c r="L8" i="10"/>
  <c r="D8" i="10"/>
  <c r="C8" i="10"/>
  <c r="B32" i="9"/>
  <c r="B31" i="9"/>
  <c r="B30" i="9"/>
  <c r="B29" i="9"/>
  <c r="B26" i="9"/>
  <c r="E11" i="9"/>
  <c r="B10" i="9"/>
  <c r="B8" i="9"/>
  <c r="B7" i="9"/>
  <c r="B5" i="9"/>
  <c r="B4" i="9"/>
  <c r="B3" i="9"/>
  <c r="B2" i="9"/>
  <c r="M2" i="9" s="1"/>
  <c r="M31" i="9"/>
  <c r="N31" i="9" s="1"/>
  <c r="L33" i="9"/>
  <c r="K33" i="9"/>
  <c r="J33" i="9"/>
  <c r="I33" i="9"/>
  <c r="H33" i="9"/>
  <c r="G33" i="9"/>
  <c r="F33" i="9"/>
  <c r="E33" i="9"/>
  <c r="C33" i="9"/>
  <c r="M32" i="9"/>
  <c r="N32" i="9" s="1"/>
  <c r="M30" i="9"/>
  <c r="N30" i="9" s="1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D33" i="9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M4" i="9"/>
  <c r="N4" i="9" s="1"/>
  <c r="M3" i="9"/>
  <c r="N3" i="9" s="1"/>
  <c r="B27" i="8"/>
  <c r="B20" i="8"/>
  <c r="D20" i="8"/>
  <c r="D19" i="8"/>
  <c r="B19" i="8"/>
  <c r="M19" i="8"/>
  <c r="N19" i="8" s="1"/>
  <c r="L32" i="8"/>
  <c r="K32" i="8"/>
  <c r="J32" i="8"/>
  <c r="I32" i="8"/>
  <c r="H32" i="8"/>
  <c r="G32" i="8"/>
  <c r="F32" i="8"/>
  <c r="E32" i="8"/>
  <c r="C32" i="8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5" i="8"/>
  <c r="N25" i="8" s="1"/>
  <c r="M24" i="8"/>
  <c r="N24" i="8" s="1"/>
  <c r="M23" i="8"/>
  <c r="N23" i="8" s="1"/>
  <c r="M22" i="8"/>
  <c r="N22" i="8" s="1"/>
  <c r="M21" i="8"/>
  <c r="N21" i="8" s="1"/>
  <c r="M20" i="8"/>
  <c r="N20" i="8" s="1"/>
  <c r="M18" i="8"/>
  <c r="N18" i="8" s="1"/>
  <c r="M17" i="8"/>
  <c r="N17" i="8" s="1"/>
  <c r="M16" i="8"/>
  <c r="N16" i="8" s="1"/>
  <c r="M15" i="8"/>
  <c r="N15" i="8" s="1"/>
  <c r="M14" i="8"/>
  <c r="N14" i="8" s="1"/>
  <c r="M13" i="8"/>
  <c r="N13" i="8" s="1"/>
  <c r="M12" i="8"/>
  <c r="N12" i="8" s="1"/>
  <c r="M11" i="8"/>
  <c r="N11" i="8" s="1"/>
  <c r="M10" i="8"/>
  <c r="N10" i="8" s="1"/>
  <c r="M9" i="8"/>
  <c r="N9" i="8" s="1"/>
  <c r="M8" i="8"/>
  <c r="N8" i="8" s="1"/>
  <c r="M7" i="8"/>
  <c r="N7" i="8" s="1"/>
  <c r="M6" i="8"/>
  <c r="N6" i="8" s="1"/>
  <c r="M4" i="8"/>
  <c r="N4" i="8" s="1"/>
  <c r="M3" i="8"/>
  <c r="N3" i="8" s="1"/>
  <c r="M2" i="8"/>
  <c r="N2" i="8" s="1"/>
  <c r="B25" i="7"/>
  <c r="B23" i="7"/>
  <c r="B24" i="7"/>
  <c r="B21" i="7"/>
  <c r="B2" i="4"/>
  <c r="B18" i="7"/>
  <c r="B30" i="4"/>
  <c r="B16" i="7"/>
  <c r="B17" i="7"/>
  <c r="B12" i="7"/>
  <c r="B11" i="7"/>
  <c r="B9" i="7"/>
  <c r="B8" i="7"/>
  <c r="B33" i="7" s="1"/>
  <c r="H3" i="7"/>
  <c r="H4" i="7"/>
  <c r="H5" i="7"/>
  <c r="H6" i="7"/>
  <c r="H7" i="7"/>
  <c r="H8" i="7"/>
  <c r="H9" i="7"/>
  <c r="H33" i="7" s="1"/>
  <c r="H10" i="7"/>
  <c r="M10" i="7" s="1"/>
  <c r="N10" i="7" s="1"/>
  <c r="H11" i="7"/>
  <c r="H12" i="7"/>
  <c r="H13" i="7"/>
  <c r="H14" i="7"/>
  <c r="H15" i="7"/>
  <c r="H16" i="7"/>
  <c r="M16" i="7" s="1"/>
  <c r="N16" i="7" s="1"/>
  <c r="H17" i="7"/>
  <c r="M17" i="7" s="1"/>
  <c r="N17" i="7" s="1"/>
  <c r="H18" i="7"/>
  <c r="M18" i="7" s="1"/>
  <c r="N18" i="7" s="1"/>
  <c r="H19" i="7"/>
  <c r="H20" i="7"/>
  <c r="H21" i="7"/>
  <c r="H22" i="7"/>
  <c r="H23" i="7"/>
  <c r="H24" i="7"/>
  <c r="H25" i="7"/>
  <c r="M25" i="7" s="1"/>
  <c r="N25" i="7" s="1"/>
  <c r="H26" i="7"/>
  <c r="M26" i="7" s="1"/>
  <c r="N26" i="7" s="1"/>
  <c r="H27" i="7"/>
  <c r="H28" i="7"/>
  <c r="H29" i="7"/>
  <c r="H30" i="7"/>
  <c r="H31" i="7"/>
  <c r="H32" i="7"/>
  <c r="H2" i="7"/>
  <c r="M9" i="7"/>
  <c r="N9" i="7" s="1"/>
  <c r="D5" i="7"/>
  <c r="B5" i="7"/>
  <c r="D4" i="7"/>
  <c r="M4" i="7" s="1"/>
  <c r="N4" i="7" s="1"/>
  <c r="B4" i="7"/>
  <c r="D3" i="7"/>
  <c r="B3" i="7"/>
  <c r="M31" i="7"/>
  <c r="N31" i="7" s="1"/>
  <c r="E33" i="7"/>
  <c r="M14" i="7"/>
  <c r="N14" i="7" s="1"/>
  <c r="M15" i="7"/>
  <c r="N15" i="7" s="1"/>
  <c r="M20" i="7"/>
  <c r="N20" i="7" s="1"/>
  <c r="M23" i="7"/>
  <c r="N23" i="7" s="1"/>
  <c r="M24" i="7"/>
  <c r="N24" i="7" s="1"/>
  <c r="C33" i="7"/>
  <c r="F33" i="7"/>
  <c r="G33" i="7"/>
  <c r="I33" i="7"/>
  <c r="J33" i="7"/>
  <c r="K33" i="7"/>
  <c r="L33" i="7"/>
  <c r="M21" i="7"/>
  <c r="N21" i="7" s="1"/>
  <c r="M19" i="7"/>
  <c r="N19" i="7" s="1"/>
  <c r="M13" i="7"/>
  <c r="N13" i="7" s="1"/>
  <c r="M12" i="7"/>
  <c r="N12" i="7" s="1"/>
  <c r="M8" i="7"/>
  <c r="N8" i="7" s="1"/>
  <c r="M7" i="7"/>
  <c r="N7" i="7" s="1"/>
  <c r="M2" i="7"/>
  <c r="D31" i="4"/>
  <c r="B31" i="4"/>
  <c r="D30" i="4"/>
  <c r="D29" i="4"/>
  <c r="B29" i="4"/>
  <c r="D28" i="4"/>
  <c r="B28" i="4"/>
  <c r="D27" i="4"/>
  <c r="B27" i="4"/>
  <c r="D22" i="4"/>
  <c r="B24" i="4"/>
  <c r="B23" i="4"/>
  <c r="B22" i="4"/>
  <c r="B21" i="4"/>
  <c r="B20" i="4"/>
  <c r="B19" i="4"/>
  <c r="B18" i="4"/>
  <c r="M29" i="4"/>
  <c r="N29" i="4" s="1"/>
  <c r="B14" i="4"/>
  <c r="B13" i="4"/>
  <c r="B12" i="4"/>
  <c r="B11" i="4"/>
  <c r="E11" i="4"/>
  <c r="B9" i="4"/>
  <c r="B7" i="4"/>
  <c r="B6" i="4"/>
  <c r="E2" i="4"/>
  <c r="H3" i="4"/>
  <c r="H4" i="4"/>
  <c r="H5" i="4"/>
  <c r="H6" i="4"/>
  <c r="H7" i="4"/>
  <c r="H8" i="4"/>
  <c r="M8" i="4" s="1"/>
  <c r="N8" i="4" s="1"/>
  <c r="H9" i="4"/>
  <c r="H10" i="4"/>
  <c r="H11" i="4"/>
  <c r="H12" i="4"/>
  <c r="H13" i="4"/>
  <c r="H14" i="4"/>
  <c r="H15" i="4"/>
  <c r="H16" i="4"/>
  <c r="H17" i="4"/>
  <c r="H18" i="4"/>
  <c r="M18" i="4" s="1"/>
  <c r="N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M2" i="4"/>
  <c r="N2" i="4" s="1"/>
  <c r="M3" i="4"/>
  <c r="N3" i="4" s="1"/>
  <c r="M4" i="4"/>
  <c r="N4" i="4" s="1"/>
  <c r="M5" i="4"/>
  <c r="N5" i="4" s="1"/>
  <c r="M6" i="4"/>
  <c r="N6" i="4" s="1"/>
  <c r="M7" i="4"/>
  <c r="N7" i="4" s="1"/>
  <c r="M9" i="4"/>
  <c r="N9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9" i="4"/>
  <c r="N19" i="4" s="1"/>
  <c r="M20" i="4"/>
  <c r="N20" i="4" s="1"/>
  <c r="M21" i="4"/>
  <c r="N21" i="4" s="1"/>
  <c r="M22" i="4"/>
  <c r="N22" i="4" s="1"/>
  <c r="C32" i="4"/>
  <c r="M24" i="4"/>
  <c r="N24" i="4" s="1"/>
  <c r="M25" i="4"/>
  <c r="N25" i="4" s="1"/>
  <c r="M26" i="4"/>
  <c r="N26" i="4" s="1"/>
  <c r="M27" i="4"/>
  <c r="N27" i="4" s="1"/>
  <c r="M28" i="4"/>
  <c r="N28" i="4" s="1"/>
  <c r="M30" i="4"/>
  <c r="N30" i="4" s="1"/>
  <c r="M31" i="4"/>
  <c r="N31" i="4" s="1"/>
  <c r="L32" i="4"/>
  <c r="K32" i="4"/>
  <c r="J32" i="4"/>
  <c r="I32" i="4"/>
  <c r="G32" i="4"/>
  <c r="F32" i="4"/>
  <c r="E32" i="4"/>
  <c r="D33" i="3"/>
  <c r="B32" i="3"/>
  <c r="B30" i="3"/>
  <c r="B26" i="3"/>
  <c r="B25" i="3"/>
  <c r="C23" i="3"/>
  <c r="B24" i="3"/>
  <c r="B23" i="3"/>
  <c r="D22" i="3"/>
  <c r="B22" i="3"/>
  <c r="B21" i="3"/>
  <c r="D21" i="3"/>
  <c r="D20" i="3"/>
  <c r="B20" i="3"/>
  <c r="B19" i="3"/>
  <c r="B17" i="3"/>
  <c r="B15" i="3"/>
  <c r="B12" i="3"/>
  <c r="B10" i="3"/>
  <c r="B9" i="3"/>
  <c r="C7" i="3"/>
  <c r="N7" i="3" s="1"/>
  <c r="C6" i="3"/>
  <c r="B5" i="3"/>
  <c r="B3" i="3"/>
  <c r="N3" i="3" s="1"/>
  <c r="B2" i="3"/>
  <c r="B4" i="3"/>
  <c r="N8" i="3"/>
  <c r="N11" i="3"/>
  <c r="N17" i="3"/>
  <c r="N19" i="3"/>
  <c r="N25" i="3"/>
  <c r="N27" i="3"/>
  <c r="M2" i="3"/>
  <c r="N2" i="3" s="1"/>
  <c r="B32" i="1"/>
  <c r="B33" i="1"/>
  <c r="D2" i="3"/>
  <c r="B31" i="1"/>
  <c r="H3" i="3"/>
  <c r="H4" i="3"/>
  <c r="N4" i="3" s="1"/>
  <c r="H5" i="3"/>
  <c r="N5" i="3" s="1"/>
  <c r="H6" i="3"/>
  <c r="N6" i="3" s="1"/>
  <c r="H7" i="3"/>
  <c r="H8" i="3"/>
  <c r="H9" i="3"/>
  <c r="H10" i="3"/>
  <c r="H11" i="3"/>
  <c r="H12" i="3"/>
  <c r="N12" i="3" s="1"/>
  <c r="H13" i="3"/>
  <c r="N13" i="3" s="1"/>
  <c r="H14" i="3"/>
  <c r="N14" i="3" s="1"/>
  <c r="H15" i="3"/>
  <c r="H16" i="3"/>
  <c r="N16" i="3" s="1"/>
  <c r="H17" i="3"/>
  <c r="H18" i="3"/>
  <c r="H19" i="3"/>
  <c r="H20" i="3"/>
  <c r="N20" i="3" s="1"/>
  <c r="H21" i="3"/>
  <c r="N21" i="3" s="1"/>
  <c r="H22" i="3"/>
  <c r="N22" i="3" s="1"/>
  <c r="H23" i="3"/>
  <c r="N23" i="3" s="1"/>
  <c r="H24" i="3"/>
  <c r="N24" i="3" s="1"/>
  <c r="H25" i="3"/>
  <c r="H26" i="3"/>
  <c r="H27" i="3"/>
  <c r="H28" i="3"/>
  <c r="N28" i="3" s="1"/>
  <c r="H29" i="3"/>
  <c r="N29" i="3" s="1"/>
  <c r="H30" i="3"/>
  <c r="N30" i="3" s="1"/>
  <c r="H31" i="3"/>
  <c r="N31" i="3" s="1"/>
  <c r="H32" i="3"/>
  <c r="N32" i="3" s="1"/>
  <c r="H2" i="3"/>
  <c r="B4" i="1"/>
  <c r="E10" i="1"/>
  <c r="L33" i="3"/>
  <c r="K33" i="3"/>
  <c r="J33" i="3"/>
  <c r="G33" i="3"/>
  <c r="F33" i="3"/>
  <c r="E33" i="3"/>
  <c r="I33" i="3"/>
  <c r="C33" i="3"/>
  <c r="B30" i="1"/>
  <c r="C30" i="1"/>
  <c r="B29" i="1"/>
  <c r="B28" i="1"/>
  <c r="B27" i="1"/>
  <c r="E16" i="1"/>
  <c r="B26" i="1"/>
  <c r="B25" i="1"/>
  <c r="B22" i="1"/>
  <c r="I2" i="1"/>
  <c r="C24" i="1"/>
  <c r="B21" i="1"/>
  <c r="D33" i="1"/>
  <c r="B20" i="1"/>
  <c r="M20" i="1" s="1"/>
  <c r="N20" i="1" s="1"/>
  <c r="B8" i="1"/>
  <c r="B18" i="1"/>
  <c r="B19" i="1"/>
  <c r="E18" i="1"/>
  <c r="M18" i="1"/>
  <c r="N18" i="1" s="1"/>
  <c r="K33" i="1"/>
  <c r="C17" i="1"/>
  <c r="B15" i="1"/>
  <c r="C14" i="1"/>
  <c r="B14" i="1"/>
  <c r="L33" i="1"/>
  <c r="J33" i="1"/>
  <c r="C10" i="1"/>
  <c r="E33" i="1"/>
  <c r="B10" i="1"/>
  <c r="M10" i="1" s="1"/>
  <c r="N10" i="1" s="1"/>
  <c r="B7" i="1"/>
  <c r="B6" i="1"/>
  <c r="E5" i="1"/>
  <c r="B5" i="1"/>
  <c r="E4" i="1"/>
  <c r="M4" i="1" s="1"/>
  <c r="N4" i="1" s="1"/>
  <c r="C2" i="1"/>
  <c r="C33" i="1" s="1"/>
  <c r="B2" i="1"/>
  <c r="B13" i="1"/>
  <c r="B12" i="1"/>
  <c r="C12" i="1"/>
  <c r="F33" i="1"/>
  <c r="G33" i="1"/>
  <c r="H33" i="1"/>
  <c r="I33" i="1"/>
  <c r="M3" i="1"/>
  <c r="N3" i="1" s="1"/>
  <c r="M5" i="1"/>
  <c r="N5" i="1" s="1"/>
  <c r="M6" i="1"/>
  <c r="N6" i="1" s="1"/>
  <c r="M7" i="1"/>
  <c r="N7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9" i="1"/>
  <c r="N19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B11" i="1"/>
  <c r="D11" i="1"/>
  <c r="N10" i="3" l="1"/>
  <c r="G8" i="10"/>
  <c r="F8" i="10"/>
  <c r="E8" i="10"/>
  <c r="J8" i="10"/>
  <c r="I8" i="10"/>
  <c r="H8" i="10"/>
  <c r="L9" i="10"/>
  <c r="M33" i="9"/>
  <c r="N33" i="9" s="1"/>
  <c r="N2" i="9"/>
  <c r="B33" i="9"/>
  <c r="L34" i="9" s="1"/>
  <c r="B32" i="8"/>
  <c r="M5" i="8"/>
  <c r="N5" i="8" s="1"/>
  <c r="D32" i="8"/>
  <c r="D33" i="7"/>
  <c r="M3" i="7"/>
  <c r="N3" i="7" s="1"/>
  <c r="M28" i="7"/>
  <c r="N28" i="7" s="1"/>
  <c r="M11" i="7"/>
  <c r="N11" i="7" s="1"/>
  <c r="M32" i="7"/>
  <c r="N32" i="7" s="1"/>
  <c r="M6" i="7"/>
  <c r="N6" i="7" s="1"/>
  <c r="M30" i="7"/>
  <c r="N30" i="7" s="1"/>
  <c r="M27" i="7"/>
  <c r="N27" i="7" s="1"/>
  <c r="N2" i="7"/>
  <c r="M22" i="7"/>
  <c r="N22" i="7" s="1"/>
  <c r="M29" i="7"/>
  <c r="N29" i="7" s="1"/>
  <c r="M5" i="7"/>
  <c r="N5" i="7" s="1"/>
  <c r="M17" i="4"/>
  <c r="N17" i="4" s="1"/>
  <c r="M10" i="4"/>
  <c r="N10" i="4" s="1"/>
  <c r="M23" i="4"/>
  <c r="N23" i="4" s="1"/>
  <c r="B32" i="4"/>
  <c r="D32" i="4"/>
  <c r="H32" i="4"/>
  <c r="N15" i="3"/>
  <c r="N9" i="3"/>
  <c r="B33" i="3"/>
  <c r="L34" i="1"/>
  <c r="M2" i="1"/>
  <c r="N2" i="1" s="1"/>
  <c r="M11" i="1"/>
  <c r="N11" i="1" s="1"/>
  <c r="M32" i="8" l="1"/>
  <c r="N32" i="8" s="1"/>
  <c r="L33" i="8"/>
  <c r="M33" i="7"/>
  <c r="N33" i="7" s="1"/>
  <c r="L34" i="7"/>
  <c r="L33" i="4"/>
  <c r="M32" i="4"/>
  <c r="N32" i="4" s="1"/>
  <c r="M33" i="3"/>
  <c r="M33" i="1"/>
  <c r="N33" i="1" s="1"/>
  <c r="H33" i="3"/>
  <c r="N33" i="3" l="1"/>
  <c r="N3" i="10" s="1"/>
  <c r="M8" i="10"/>
  <c r="N8" i="10" s="1"/>
</calcChain>
</file>

<file path=xl/sharedStrings.xml><?xml version="1.0" encoding="utf-8"?>
<sst xmlns="http://schemas.openxmlformats.org/spreadsheetml/2006/main" count="112" uniqueCount="24">
  <si>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</si>
  <si>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</si>
  <si>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</si>
  <si>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</si>
  <si>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</si>
  <si>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</si>
  <si>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</si>
  <si>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</si>
  <si>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</si>
  <si>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</si>
  <si>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</si>
  <si>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</si>
  <si>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</si>
  <si>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</si>
  <si>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</si>
  <si>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2.515.04</t>
    <phoneticPr fontId="1" type="noConversion"/>
  </si>
  <si>
    <t>月度</t>
    <phoneticPr fontId="1" type="noConversion"/>
  </si>
  <si>
    <t>2023.10</t>
    <phoneticPr fontId="1" type="noConversion"/>
  </si>
  <si>
    <t>2023.11</t>
    <phoneticPr fontId="1" type="noConversion"/>
  </si>
  <si>
    <t>2023.12</t>
    <phoneticPr fontId="1" type="noConversion"/>
  </si>
  <si>
    <t>2023.07</t>
    <phoneticPr fontId="1" type="noConversion"/>
  </si>
  <si>
    <t>2023.08</t>
    <phoneticPr fontId="1" type="noConversion"/>
  </si>
  <si>
    <t>2023.09</t>
    <phoneticPr fontId="1" type="noConversion"/>
  </si>
  <si>
    <t>年度总结（Sum）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</si>
</sst>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218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月消费走势图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267186285745031E-2"/>
          <c:y val="7.6480740068651784E-2"/>
          <c:w val="0.92153322850015229"/>
          <c:h val="0.82868971555831916"/>
        </c:manualLayout>
      </c:layout>
      <c:lineChart>
        <c:grouping val="standard"/>
        <c:varyColors val="0"/>
        <c:ser>
          <c:idx val="0"/>
          <c:order val="0"/>
          <c:tx>
            <c:strRef>
              <c:f>年度总结!$B$1</c:f>
              <c:strCache>
                <c:ptCount val="1"/>
                <c:pt idx="0">
                  <c:v>吃饭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年度总结!$B$2:$B$7</c:f>
              <c:numCache>
                <c:formatCode>"¥"#,##0.00_);[Red]\("¥"#,##0.00\)</c:formatCode>
                <c:ptCount val="6"/>
                <c:pt idx="0">
                  <c:v>1150.5300000000002</c:v>
                </c:pt>
                <c:pt idx="1">
                  <c:v>1130.04</c:v>
                </c:pt>
                <c:pt idx="2">
                  <c:v>1681.47</c:v>
                </c:pt>
                <c:pt idx="3">
                  <c:v>1430.7449999999997</c:v>
                </c:pt>
                <c:pt idx="4">
                  <c:v>947.70999999999981</c:v>
                </c:pt>
                <c:pt idx="5">
                  <c:v>1511.12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9-4B3F-9B87-01DF82722157}"/>
            </c:ext>
          </c:extLst>
        </c:ser>
        <c:ser>
          <c:idx val="1"/>
          <c:order val="1"/>
          <c:tx>
            <c:strRef>
              <c:f>年度总结!$C$1</c:f>
              <c:strCache>
                <c:ptCount val="1"/>
                <c:pt idx="0">
                  <c:v>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年度总结!$C$2:$C$7</c:f>
              <c:numCache>
                <c:formatCode>"¥"#,##0.00_);[Red]\("¥"#,##0.00\)</c:formatCode>
                <c:ptCount val="6"/>
                <c:pt idx="0">
                  <c:v>249</c:v>
                </c:pt>
                <c:pt idx="1">
                  <c:v>219.77</c:v>
                </c:pt>
                <c:pt idx="2">
                  <c:v>76.7</c:v>
                </c:pt>
                <c:pt idx="3">
                  <c:v>88</c:v>
                </c:pt>
                <c:pt idx="4">
                  <c:v>34.5</c:v>
                </c:pt>
                <c:pt idx="5">
                  <c:v>140.37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9-4B3F-9B87-01DF82722157}"/>
            </c:ext>
          </c:extLst>
        </c:ser>
        <c:ser>
          <c:idx val="2"/>
          <c:order val="2"/>
          <c:tx>
            <c:strRef>
              <c:f>年度总结!$D$1</c:f>
              <c:strCache>
                <c:ptCount val="1"/>
                <c:pt idx="0">
                  <c:v>小余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年度总结!$D$2:$D$7</c:f>
              <c:numCache>
                <c:formatCode>"¥"#,##0.00_);[Red]\("¥"#,##0.00\)</c:formatCode>
                <c:ptCount val="6"/>
                <c:pt idx="0">
                  <c:v>401.99</c:v>
                </c:pt>
                <c:pt idx="1">
                  <c:v>913.5200000000001</c:v>
                </c:pt>
                <c:pt idx="2">
                  <c:v>1613.3999999999999</c:v>
                </c:pt>
                <c:pt idx="3">
                  <c:v>1021.7249999999999</c:v>
                </c:pt>
                <c:pt idx="4">
                  <c:v>773.05</c:v>
                </c:pt>
                <c:pt idx="5">
                  <c:v>936.69999999999993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9-4B3F-9B87-01DF82722157}"/>
            </c:ext>
          </c:extLst>
        </c:ser>
        <c:ser>
          <c:idx val="3"/>
          <c:order val="3"/>
          <c:tx>
            <c:strRef>
              <c:f>年度总结!$E$1</c:f>
              <c:strCache>
                <c:ptCount val="1"/>
                <c:pt idx="0">
                  <c:v>生活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年度总结!$E$2:$E$7</c:f>
              <c:numCache>
                <c:formatCode>"¥"#,##0.00_);[Red]\("¥"#,##0.00\)</c:formatCode>
                <c:ptCount val="6"/>
                <c:pt idx="0">
                  <c:v>2092.42</c:v>
                </c:pt>
                <c:pt idx="1">
                  <c:v>323.20999999999992</c:v>
                </c:pt>
                <c:pt idx="2">
                  <c:v>529.09999999999991</c:v>
                </c:pt>
                <c:pt idx="3">
                  <c:v>316.93</c:v>
                </c:pt>
                <c:pt idx="4">
                  <c:v>1356.4</c:v>
                </c:pt>
                <c:pt idx="5">
                  <c:v>1207.55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9-4B3F-9B87-01DF82722157}"/>
            </c:ext>
          </c:extLst>
        </c:ser>
        <c:ser>
          <c:idx val="4"/>
          <c:order val="4"/>
          <c:tx>
            <c:strRef>
              <c:f>年度总结!$F$1</c:f>
              <c:strCache>
                <c:ptCount val="1"/>
                <c:pt idx="0">
                  <c:v>交通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年度总结!$F$2:$F$7</c:f>
              <c:numCache>
                <c:formatCode>"¥"#,##0.00_);[Red]\("¥"#,##0.00\)</c:formatCode>
                <c:ptCount val="6"/>
                <c:pt idx="0">
                  <c:v>96.88</c:v>
                </c:pt>
                <c:pt idx="1">
                  <c:v>82.89</c:v>
                </c:pt>
                <c:pt idx="2">
                  <c:v>60.23</c:v>
                </c:pt>
                <c:pt idx="3">
                  <c:v>97.92</c:v>
                </c:pt>
                <c:pt idx="4">
                  <c:v>94.7</c:v>
                </c:pt>
                <c:pt idx="5">
                  <c:v>164.6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9-4B3F-9B87-01DF82722157}"/>
            </c:ext>
          </c:extLst>
        </c:ser>
        <c:ser>
          <c:idx val="5"/>
          <c:order val="5"/>
          <c:tx>
            <c:strRef>
              <c:f>年度总结!$G$1</c:f>
              <c:strCache>
                <c:ptCount val="1"/>
                <c:pt idx="0">
                  <c:v>爱好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年度总结!$G$2:$G$7</c:f>
              <c:numCache>
                <c:formatCode>"¥"#,##0.00_);[Red]\("¥"#,##0.00\)</c:formatCode>
                <c:ptCount val="6"/>
                <c:pt idx="0">
                  <c:v>33.5</c:v>
                </c:pt>
                <c:pt idx="1">
                  <c:v>8.5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29-4B3F-9B87-01DF82722157}"/>
            </c:ext>
          </c:extLst>
        </c:ser>
        <c:ser>
          <c:idx val="6"/>
          <c:order val="6"/>
          <c:tx>
            <c:strRef>
              <c:f>年度总结!$H$1</c:f>
              <c:strCache>
                <c:ptCount val="1"/>
                <c:pt idx="0">
                  <c:v>房租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年度总结!$H$2:$H$7</c:f>
              <c:numCache>
                <c:formatCode>"¥"#,##0.00_);[Red]\("¥"#,##0.00\)</c:formatCode>
                <c:ptCount val="6"/>
                <c:pt idx="0">
                  <c:v>1365.9999999999989</c:v>
                </c:pt>
                <c:pt idx="1">
                  <c:v>1270.0000000000007</c:v>
                </c:pt>
                <c:pt idx="2">
                  <c:v>1366.6599999999996</c:v>
                </c:pt>
                <c:pt idx="3">
                  <c:v>1361.0000000000002</c:v>
                </c:pt>
                <c:pt idx="4">
                  <c:v>1367.0000000000002</c:v>
                </c:pt>
                <c:pt idx="5">
                  <c:v>1270.0000000000007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29-4B3F-9B87-01DF82722157}"/>
            </c:ext>
          </c:extLst>
        </c:ser>
        <c:ser>
          <c:idx val="7"/>
          <c:order val="7"/>
          <c:tx>
            <c:strRef>
              <c:f>年度总结!$I$1</c:f>
              <c:strCache>
                <c:ptCount val="1"/>
                <c:pt idx="0">
                  <c:v>水电话费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年度总结!$I$2:$I$7</c:f>
              <c:numCache>
                <c:formatCode>"¥"#,##0.00_);[Red]\("¥"#,##0.00\)</c:formatCode>
                <c:ptCount val="6"/>
                <c:pt idx="0">
                  <c:v>116.17</c:v>
                </c:pt>
                <c:pt idx="1">
                  <c:v>134</c:v>
                </c:pt>
                <c:pt idx="2">
                  <c:v>114</c:v>
                </c:pt>
                <c:pt idx="3">
                  <c:v>110</c:v>
                </c:pt>
                <c:pt idx="4">
                  <c:v>175.5</c:v>
                </c:pt>
                <c:pt idx="5">
                  <c:v>165.5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29-4B3F-9B87-01DF82722157}"/>
            </c:ext>
          </c:extLst>
        </c:ser>
        <c:ser>
          <c:idx val="8"/>
          <c:order val="8"/>
          <c:tx>
            <c:strRef>
              <c:f>年度总结!$J$1</c:f>
              <c:strCache>
                <c:ptCount val="1"/>
                <c:pt idx="0">
                  <c:v>懒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年度总结!$J$2:$J$7</c:f>
              <c:numCache>
                <c:formatCode>"¥"#,##0.00_);[Red]\("¥"#,##0.00\)</c:formatCode>
                <c:ptCount val="6"/>
                <c:pt idx="0">
                  <c:v>14.2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29-4B3F-9B87-01DF82722157}"/>
            </c:ext>
          </c:extLst>
        </c:ser>
        <c:ser>
          <c:idx val="9"/>
          <c:order val="9"/>
          <c:tx>
            <c:strRef>
              <c:f>年度总结!$K$1</c:f>
              <c:strCache>
                <c:ptCount val="1"/>
                <c:pt idx="0">
                  <c:v>玩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年度总结!$K$2:$K$7</c:f>
              <c:numCache>
                <c:formatCode>"¥"#,##0.00_);[Red]\("¥"#,##0.00\)</c:formatCode>
                <c:ptCount val="6"/>
                <c:pt idx="0">
                  <c:v>14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29-4B3F-9B87-01DF82722157}"/>
            </c:ext>
          </c:extLst>
        </c:ser>
        <c:ser>
          <c:idx val="10"/>
          <c:order val="10"/>
          <c:tx>
            <c:strRef>
              <c:f>年度总结!$L$1</c:f>
              <c:strCache>
                <c:ptCount val="1"/>
                <c:pt idx="0">
                  <c:v>学习阅读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年度总结!$A$2:$A$7</c:f>
              <c:strCache>
                <c:ptCount val="6"/>
                <c:pt idx="0">
                  <c:v>2023.07</c:v>
                </c:pt>
                <c:pt idx="1">
                  <c:v>2023.08</c:v>
                </c:pt>
                <c:pt idx="2">
                  <c:v>2023.09</c:v>
                </c:pt>
                <c:pt idx="3">
                  <c:v>2023.10</c:v>
                </c:pt>
                <c:pt idx="4">
                  <c:v>2023.11</c:v>
                </c:pt>
                <c:pt idx="5">
                  <c:v>2023.12</c:v>
                </c:pt>
              </c:strCache>
            </c:strRef>
          </c:cat>
          <c:val>
            <c:numRef>
              <c:f>年度总结!$L$2:$L$7</c:f>
              <c:numCache>
                <c:formatCode>"¥"#,##0.00_);[Red]\("¥"#,##0.00\)</c:formatCode>
                <c:ptCount val="6"/>
                <c:pt idx="0">
                  <c:v>0</c:v>
                </c:pt>
                <c:pt idx="1">
                  <c:v>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29-4B3F-9B87-01DF8272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91440"/>
        <c:axId val="1982891856"/>
      </c:lineChart>
      <c:catAx>
        <c:axId val="19828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891856"/>
        <c:crosses val="autoZero"/>
        <c:auto val="1"/>
        <c:lblAlgn val="ctr"/>
        <c:lblOffset val="100"/>
        <c:noMultiLvlLbl val="0"/>
      </c:catAx>
      <c:valAx>
        <c:axId val="1982891856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8914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年度总体消费对比图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年度总结!$B$1</c:f>
              <c:strCache>
                <c:ptCount val="1"/>
                <c:pt idx="0">
                  <c:v>吃饭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年度总结!$B$8</c:f>
              <c:numCache>
                <c:formatCode>"¥"#,##0.00_);[Red]\("¥"#,##0.00\)</c:formatCode>
                <c:ptCount val="1"/>
                <c:pt idx="0">
                  <c:v>7851.6149999999998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A1C-952A-DACD73195218}"/>
            </c:ext>
          </c:extLst>
        </c:ser>
        <c:ser>
          <c:idx val="1"/>
          <c:order val="1"/>
          <c:tx>
            <c:strRef>
              <c:f>年度总结!$C$1</c:f>
              <c:strCache>
                <c:ptCount val="1"/>
                <c:pt idx="0">
                  <c:v>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年度总结!$C$8</c:f>
              <c:numCache>
                <c:formatCode>"¥"#,##0.00_);[Red]\("¥"#,##0.00\)</c:formatCode>
                <c:ptCount val="1"/>
                <c:pt idx="0">
                  <c:v>808.34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4-4A1C-952A-DACD73195218}"/>
            </c:ext>
          </c:extLst>
        </c:ser>
        <c:ser>
          <c:idx val="2"/>
          <c:order val="2"/>
          <c:tx>
            <c:strRef>
              <c:f>年度总结!$D$1</c:f>
              <c:strCache>
                <c:ptCount val="1"/>
                <c:pt idx="0">
                  <c:v>小余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年度总结!$D$8</c:f>
              <c:numCache>
                <c:formatCode>"¥"#,##0.00_);[Red]\("¥"#,##0.00\)</c:formatCode>
                <c:ptCount val="1"/>
                <c:pt idx="0">
                  <c:v>5660.3849999999993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4-4A1C-952A-DACD73195218}"/>
            </c:ext>
          </c:extLst>
        </c:ser>
        <c:ser>
          <c:idx val="3"/>
          <c:order val="3"/>
          <c:tx>
            <c:strRef>
              <c:f>年度总结!$E$1</c:f>
              <c:strCache>
                <c:ptCount val="1"/>
                <c:pt idx="0">
                  <c:v>生活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年度总结!$E$8</c:f>
              <c:numCache>
                <c:formatCode>"¥"#,##0.00_);[Red]\("¥"#,##0.00\)</c:formatCode>
                <c:ptCount val="1"/>
                <c:pt idx="0">
                  <c:v>5825.61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4-4A1C-952A-DACD73195218}"/>
            </c:ext>
          </c:extLst>
        </c:ser>
        <c:ser>
          <c:idx val="4"/>
          <c:order val="4"/>
          <c:tx>
            <c:strRef>
              <c:f>年度总结!$F$1</c:f>
              <c:strCache>
                <c:ptCount val="1"/>
                <c:pt idx="0">
                  <c:v>交通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年度总结!$F$8</c:f>
              <c:numCache>
                <c:formatCode>"¥"#,##0.00_);[Red]\("¥"#,##0.00\)</c:formatCode>
                <c:ptCount val="1"/>
                <c:pt idx="0">
                  <c:v>597.21999999999991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4-4A1C-952A-DACD73195218}"/>
            </c:ext>
          </c:extLst>
        </c:ser>
        <c:ser>
          <c:idx val="5"/>
          <c:order val="5"/>
          <c:tx>
            <c:strRef>
              <c:f>年度总结!$G$1</c:f>
              <c:strCache>
                <c:ptCount val="1"/>
                <c:pt idx="0">
                  <c:v>爱好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年度总结!$G$8</c:f>
              <c:numCache>
                <c:formatCode>"¥"#,##0.00_);[Red]\("¥"#,##0.00\)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4-4A1C-952A-DACD73195218}"/>
            </c:ext>
          </c:extLst>
        </c:ser>
        <c:ser>
          <c:idx val="6"/>
          <c:order val="6"/>
          <c:tx>
            <c:strRef>
              <c:f>年度总结!$H$1</c:f>
              <c:strCache>
                <c:ptCount val="1"/>
                <c:pt idx="0">
                  <c:v>房租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年度总结!$H$8</c:f>
              <c:numCache>
                <c:formatCode>"¥"#,##0.00_);[Red]\("¥"#,##0.00\)</c:formatCode>
                <c:ptCount val="1"/>
                <c:pt idx="0">
                  <c:v>8000.66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4-4A1C-952A-DACD73195218}"/>
            </c:ext>
          </c:extLst>
        </c:ser>
        <c:ser>
          <c:idx val="7"/>
          <c:order val="7"/>
          <c:tx>
            <c:strRef>
              <c:f>年度总结!$I$1</c:f>
              <c:strCache>
                <c:ptCount val="1"/>
                <c:pt idx="0">
                  <c:v>水电话费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年度总结!$I$8</c:f>
              <c:numCache>
                <c:formatCode>"¥"#,##0.00_);[Red]\("¥"#,##0.00\)</c:formatCode>
                <c:ptCount val="1"/>
                <c:pt idx="0">
                  <c:v>815.17000000000007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14-4A1C-952A-DACD73195218}"/>
            </c:ext>
          </c:extLst>
        </c:ser>
        <c:ser>
          <c:idx val="8"/>
          <c:order val="8"/>
          <c:tx>
            <c:strRef>
              <c:f>年度总结!$J$1</c:f>
              <c:strCache>
                <c:ptCount val="1"/>
                <c:pt idx="0">
                  <c:v>懒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年度总结!$J$8</c:f>
              <c:numCache>
                <c:formatCode>"¥"#,##0.00_);[Red]\("¥"#,##0.00\)</c:formatCode>
                <c:ptCount val="1"/>
                <c:pt idx="0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14-4A1C-952A-DACD73195218}"/>
            </c:ext>
          </c:extLst>
        </c:ser>
        <c:ser>
          <c:idx val="9"/>
          <c:order val="9"/>
          <c:tx>
            <c:strRef>
              <c:f>年度总结!$K$1</c:f>
              <c:strCache>
                <c:ptCount val="1"/>
                <c:pt idx="0">
                  <c:v>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年度总结!$K$8</c:f>
              <c:numCache>
                <c:formatCode>"¥"#,##0.00_);[Red]\("¥"#,##0.00\)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14-4A1C-952A-DACD73195218}"/>
            </c:ext>
          </c:extLst>
        </c:ser>
        <c:ser>
          <c:idx val="10"/>
          <c:order val="10"/>
          <c:tx>
            <c:strRef>
              <c:f>年度总结!$L$1</c:f>
              <c:strCache>
                <c:ptCount val="1"/>
                <c:pt idx="0">
                  <c:v>学习阅读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年度总结!$L$8</c:f>
              <c:numCache>
                <c:formatCode>"¥"#,##0.00_);[Red]\("¥"#,##0.00\)</c:formatCode>
                <c:ptCount val="1"/>
                <c:pt idx="0">
                  <c:v>472.8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4-4A1C-952A-DACD7319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4507936"/>
        <c:axId val="2064505440"/>
        <c:axId val="0"/>
      </c:bar3DChart>
      <c:catAx>
        <c:axId val="206450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4505440"/>
        <c:crosses val="autoZero"/>
        <c:auto val="1"/>
        <c:lblAlgn val="ctr"/>
        <c:lblOffset val="100"/>
        <c:noMultiLvlLbl val="0"/>
      </c:catAx>
      <c:valAx>
        <c:axId val="20645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5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12</xdr:col>
      <xdr:colOff>83820</xdr:colOff>
      <xdr:row>46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258FED-C88C-4B0C-B902-9376F806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</xdr:colOff>
      <xdr:row>48</xdr:row>
      <xdr:rowOff>1270</xdr:rowOff>
    </xdr:from>
    <xdr:to>
      <xdr:col>12</xdr:col>
      <xdr:colOff>106680</xdr:colOff>
      <xdr:row>80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B25349-F59B-4B7B-9162-28D4851CE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217" dataDxfId="216">
  <autoFilter ref="A1:N33" xr:uid="{62DBF428-EA6E-4F16-A2E5-492FB36A65B6}"/>
  <tableColumns count="14">
    <tableColumn id="1" xr3:uid="{59D84569-A8BB-46A5-9CBC-5EF68588EE35}" name="日期" dataDxfId="215" totalsRowDxfId="214"/>
    <tableColumn id="2" xr3:uid="{2C662677-3D8C-4D8B-AE1F-E2248B7ABFF7}" name="吃饭" dataDxfId="213" totalsRowDxfId="212"/>
    <tableColumn id="3" xr3:uid="{AE70D7D4-9857-40D5-8BEB-34BF0C4CCA7A}" name="馋" dataDxfId="211" totalsRowDxfId="210"/>
    <tableColumn id="4" xr3:uid="{F3975E93-63B6-478C-B0F2-56460FBF1A23}" name="小余" dataDxfId="209" totalsRowDxfId="208"/>
    <tableColumn id="5" xr3:uid="{94F8752A-FBB0-4CE8-9D51-6324D8BBC87E}" name="生活" dataDxfId="207" totalsRowDxfId="206"/>
    <tableColumn id="15" xr3:uid="{30FDD512-0876-4E61-969E-6DA35E286B2C}" name="交通" dataDxfId="205" totalsRowDxfId="204"/>
    <tableColumn id="6" xr3:uid="{5C513997-5C16-4839-95D1-22245123DE2F}" name="爱好" dataDxfId="203" totalsRowDxfId="202"/>
    <tableColumn id="7" xr3:uid="{9E859D1E-EC02-49A9-BD03-97B27BCE859E}" name="房租" dataDxfId="201" totalsRowDxfId="200"/>
    <tableColumn id="8" xr3:uid="{EB58BFC7-02DA-46D2-AAFC-A0BA1323BE9D}" name="水电话费" dataDxfId="199" totalsRowDxfId="198"/>
    <tableColumn id="9" xr3:uid="{A2A17D77-95A1-459A-90A9-931CF7EEAF21}" name="懒" dataDxfId="197" totalsRowDxfId="196"/>
    <tableColumn id="11" xr3:uid="{FFABE2C4-74EE-4656-838D-CB10D6D9D4E8}" name="玩" dataDxfId="195" totalsRowDxfId="194"/>
    <tableColumn id="10" xr3:uid="{570141E9-E92B-4C59-AD38-CCA1569BD90C}" name="学习阅读" totalsRowFunction="custom" dataDxfId="193" totalsRowDxfId="192">
      <totalsRowFormula>SUM(B33:L33)</totalsRowFormula>
    </tableColumn>
    <tableColumn id="13" xr3:uid="{39BD7172-0D5C-49D9-87F6-B35B3F5628DB}" name="合计" dataDxfId="191" totalsRowDxfId="190"/>
    <tableColumn id="12" xr3:uid="{D46BD491-9DFD-4738-8C08-9D38C5B47D89}" name="合计（）" dataDxfId="189" totalsRowDxfId="188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79AE8-8FE8-4D5C-A353-102BE1BAAE12}" name="表2_2" displayName="表2_2" ref="A1:N34" totalsRowCount="1" headerRowDxfId="187" dataDxfId="186">
  <autoFilter ref="A1:N33" xr:uid="{62DBF428-EA6E-4F16-A2E5-492FB36A65B6}"/>
  <tableColumns count="14">
    <tableColumn id="1" xr3:uid="{8EFDB2AF-8F71-473F-952D-5B3939994D62}" name="日期" dataDxfId="185" totalsRowDxfId="41"/>
    <tableColumn id="2" xr3:uid="{67957270-9623-4926-BD21-279E13650B9D}" name="吃饭" dataDxfId="184" totalsRowDxfId="40"/>
    <tableColumn id="3" xr3:uid="{CF94BF01-577B-4D56-9718-2A882C67816C}" name="馋" dataDxfId="183" totalsRowDxfId="39"/>
    <tableColumn id="4" xr3:uid="{9AC0B1D1-A18C-408F-B2A5-F84F037716A3}" name="小余" dataDxfId="182" totalsRowDxfId="38"/>
    <tableColumn id="5" xr3:uid="{A686B635-30A8-4007-8CF3-3DB3011DAF77}" name="生活" dataDxfId="181" totalsRowDxfId="37"/>
    <tableColumn id="15" xr3:uid="{6CFBBB07-C37C-4D79-A12C-414587534DA0}" name="交通" dataDxfId="180" totalsRowDxfId="36"/>
    <tableColumn id="6" xr3:uid="{24D9EDA0-727A-46BE-80BC-74C02A3CB95E}" name="爱好" dataDxfId="179" totalsRowDxfId="35"/>
    <tableColumn id="7" xr3:uid="{0E84B44C-BDDA-4215-B9F4-774FF36E7966}" name="房租" dataDxfId="178" totalsRowDxfId="34"/>
    <tableColumn id="8" xr3:uid="{54FCCFC1-3319-44AA-AC44-A145B99BE9C0}" name="水电话费" dataDxfId="177" totalsRowDxfId="33"/>
    <tableColumn id="9" xr3:uid="{8343B566-6FA6-4DE5-83A7-C25582E57B8F}" name="懒" dataDxfId="176" totalsRowDxfId="32"/>
    <tableColumn id="11" xr3:uid="{890B9F61-AE91-4F7B-B12A-0E9647351958}" name="玩" dataDxfId="175" totalsRowDxfId="31"/>
    <tableColumn id="10" xr3:uid="{6351BEBD-EE7C-4CBA-B22C-DB27DC0C3AE5}" name="学习阅读" totalsRowFunction="custom" dataDxfId="174" totalsRowDxfId="30">
      <totalsRowFormula>SUM(B33:L33)</totalsRowFormula>
    </tableColumn>
    <tableColumn id="13" xr3:uid="{CADD3192-7B6B-481D-A759-D50120453C7E}" name="合计" dataDxfId="173" totalsRowDxfId="29"/>
    <tableColumn id="12" xr3:uid="{A2A2A465-6515-47EA-A81E-495686796A22}" name="合计（）" dataDxfId="172" totalsRowDxfId="28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BFF27-E561-4214-A8E0-6C5272726145}" name="表2_24" displayName="表2_24" ref="A1:N33" totalsRowCount="1" headerRowDxfId="171" dataDxfId="170">
  <autoFilter ref="A1:N32" xr:uid="{62DBF428-EA6E-4F16-A2E5-492FB36A65B6}"/>
  <tableColumns count="14">
    <tableColumn id="1" xr3:uid="{12A557A4-37D4-4B75-BD69-6373B0982791}" name="日期" dataDxfId="169" totalsRowDxfId="168"/>
    <tableColumn id="2" xr3:uid="{F9DE0F72-159C-46F5-A111-18EF4A51AFC6}" name="吃饭" dataDxfId="167" totalsRowDxfId="166"/>
    <tableColumn id="3" xr3:uid="{072E4046-1750-4E7D-890E-BF2F960ED741}" name="馋" dataDxfId="165" totalsRowDxfId="164"/>
    <tableColumn id="4" xr3:uid="{795FAAD6-D384-470B-87FA-13EB0BFECBD7}" name="小余" dataDxfId="163" totalsRowDxfId="162"/>
    <tableColumn id="5" xr3:uid="{5755CAFB-5F2F-4EF0-96B0-EB9500A1F71C}" name="生活" dataDxfId="161" totalsRowDxfId="160"/>
    <tableColumn id="15" xr3:uid="{A4E1AE10-D3A7-4F0C-8C5F-43BE6370BCD7}" name="交通" dataDxfId="159" totalsRowDxfId="158"/>
    <tableColumn id="6" xr3:uid="{10FBBB45-316A-43ED-A672-B17F4C77E3A5}" name="爱好" dataDxfId="157" totalsRowDxfId="156"/>
    <tableColumn id="7" xr3:uid="{D8455C6C-91D9-4A92-805E-19417DC0BFA3}" name="房租" dataDxfId="155" totalsRowDxfId="154"/>
    <tableColumn id="8" xr3:uid="{672DEEF9-7132-4D99-86C1-DB8FEA73C90E}" name="水电话费" dataDxfId="153" totalsRowDxfId="152"/>
    <tableColumn id="9" xr3:uid="{B24B003F-4F93-4EA2-BD0D-E55842A5021F}" name="懒" dataDxfId="151" totalsRowDxfId="150"/>
    <tableColumn id="11" xr3:uid="{BB63150B-31A8-4C77-BDCD-2539BE3989F5}" name="玩" dataDxfId="149" totalsRowDxfId="148"/>
    <tableColumn id="10" xr3:uid="{4D400E2D-8DB3-4E95-9DD8-6C8EF3F855BE}" name="学习阅读" totalsRowFunction="custom" dataDxfId="147" totalsRowDxfId="146">
      <totalsRowFormula>SUM(B32:L32)</totalsRowFormula>
    </tableColumn>
    <tableColumn id="13" xr3:uid="{C40C81D7-6670-4FC4-81B6-53A6D6D6E02B}" name="合计" dataDxfId="145" totalsRowDxfId="144"/>
    <tableColumn id="12" xr3:uid="{7ACA1FA8-6236-411B-B075-06470E3DC582}" name="合计（）" dataDxfId="143" totalsRowDxfId="142">
      <calculatedColumnFormula>表2_24[[#This Row],[合计]]-表2_24[[#This Row],[房租]]-表2_24[[#This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3C4CFF-9427-41D2-A7E4-26DA9A222B24}" name="表2_245" displayName="表2_245" ref="A1:N34" totalsRowCount="1" headerRowDxfId="141" dataDxfId="140">
  <autoFilter ref="A1:N33" xr:uid="{62DBF428-EA6E-4F16-A2E5-492FB36A65B6}"/>
  <tableColumns count="14">
    <tableColumn id="1" xr3:uid="{BADAD2B9-9ED5-40BB-A4A5-C22B8806407D}" name="日期" dataDxfId="139" totalsRowDxfId="138"/>
    <tableColumn id="2" xr3:uid="{1D5F679B-A6E2-4B60-B743-B74AB58B76C4}" name="吃饭" dataDxfId="137" totalsRowDxfId="136"/>
    <tableColumn id="3" xr3:uid="{708EE2DA-2B5A-4D0B-96BE-025A50746FE6}" name="馋" dataDxfId="135" totalsRowDxfId="134"/>
    <tableColumn id="4" xr3:uid="{8460E3B3-F845-4AAB-87FB-1DA9C3B721C6}" name="小余" dataDxfId="133" totalsRowDxfId="132"/>
    <tableColumn id="5" xr3:uid="{EB1CC1E1-6EA1-493B-A334-95ABA8AC88DC}" name="生活" dataDxfId="131" totalsRowDxfId="130"/>
    <tableColumn id="15" xr3:uid="{A6BB4AA1-8671-4A45-B860-816704C2DBEF}" name="交通" dataDxfId="129" totalsRowDxfId="128"/>
    <tableColumn id="6" xr3:uid="{45CB8D36-9939-4525-9253-CD7134B6E46E}" name="爱好" dataDxfId="127" totalsRowDxfId="126"/>
    <tableColumn id="7" xr3:uid="{742F323A-759E-4D83-89F6-F0355A11CE31}" name="房租" dataDxfId="125" totalsRowDxfId="124"/>
    <tableColumn id="8" xr3:uid="{95DBE18C-44FF-439B-B65E-4B103B07C26C}" name="水电话费" dataDxfId="123" totalsRowDxfId="122"/>
    <tableColumn id="9" xr3:uid="{1843A6E9-0740-48B4-9B10-C3A9C24893E0}" name="懒" dataDxfId="121" totalsRowDxfId="120"/>
    <tableColumn id="11" xr3:uid="{D975B387-FEB5-41C2-BA3B-3C15996E518E}" name="玩" dataDxfId="119" totalsRowDxfId="118"/>
    <tableColumn id="10" xr3:uid="{D25213AA-B18F-4027-AF98-F75296167BD2}" name="学习阅读" totalsRowFunction="custom" dataDxfId="117" totalsRowDxfId="116">
      <totalsRowFormula>SUM(B33:L33)</totalsRowFormula>
    </tableColumn>
    <tableColumn id="13" xr3:uid="{721C7A11-7CA8-4E39-9DDC-C58DE88AB7A9}" name="合计" dataDxfId="115" totalsRowDxfId="114"/>
    <tableColumn id="12" xr3:uid="{416B5A97-D2CF-43C5-B78E-F5ABF0009C56}" name="合计（）" dataDxfId="113" totalsRowDxfId="112">
      <calculatedColumnFormula>表2_245[[#This Row],[合计]]-表2_245[[#This Row],[房租]]-表2_245[[#This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DA3B7C-7D38-47F2-AB45-B316E05826A9}" name="表2_2456" displayName="表2_2456" ref="A1:N33" totalsRowCount="1" headerRowDxfId="111" dataDxfId="110">
  <autoFilter ref="A1:N32" xr:uid="{62DBF428-EA6E-4F16-A2E5-492FB36A65B6}"/>
  <tableColumns count="14">
    <tableColumn id="1" xr3:uid="{54F739A6-DD39-4821-B754-EFD2C7D8FBC4}" name="日期" dataDxfId="109" totalsRowDxfId="108"/>
    <tableColumn id="2" xr3:uid="{ECAB8DC0-1CA5-4B59-9AFD-FB900ADAE71F}" name="吃饭" dataDxfId="107" totalsRowDxfId="106"/>
    <tableColumn id="3" xr3:uid="{CE2A4F8E-3991-4E2D-9D2F-79ADBB099739}" name="馋" dataDxfId="105" totalsRowDxfId="104"/>
    <tableColumn id="4" xr3:uid="{32D40996-091E-4979-8580-0787CA858EA1}" name="小余" dataDxfId="103" totalsRowDxfId="102"/>
    <tableColumn id="5" xr3:uid="{F38C0546-0B03-4C8D-9A32-4CD45229DCB3}" name="生活" dataDxfId="101" totalsRowDxfId="100"/>
    <tableColumn id="15" xr3:uid="{3F10C1F1-3205-4230-8284-B4AE62E7AD14}" name="交通" dataDxfId="99" totalsRowDxfId="98"/>
    <tableColumn id="6" xr3:uid="{AB7822B8-DD59-4B24-A378-0F85401EEFB7}" name="爱好" dataDxfId="97" totalsRowDxfId="96"/>
    <tableColumn id="7" xr3:uid="{8D324426-09D5-4B5D-99AF-B9D7316B2DAB}" name="房租" dataDxfId="95" totalsRowDxfId="94"/>
    <tableColumn id="8" xr3:uid="{7D2D7A2F-747C-4CAF-9548-EF7A614E6094}" name="水电话费" dataDxfId="93" totalsRowDxfId="92"/>
    <tableColumn id="9" xr3:uid="{D09D551D-EC95-44F4-B581-68DEA0E0F9DE}" name="懒" dataDxfId="91" totalsRowDxfId="90"/>
    <tableColumn id="11" xr3:uid="{DC79CBE4-5F73-41CF-812F-C6FCFAC6B1C7}" name="玩" dataDxfId="89" totalsRowDxfId="88"/>
    <tableColumn id="10" xr3:uid="{C93BD280-236D-464F-BE8F-F24884B2DA05}" name="学习阅读" totalsRowFunction="custom" dataDxfId="87" totalsRowDxfId="86">
      <totalsRowFormula>SUM(B32:L32)</totalsRowFormula>
    </tableColumn>
    <tableColumn id="13" xr3:uid="{DC69B625-2D52-4903-99A9-8A53837A6D70}" name="合计" dataDxfId="85" totalsRowDxfId="84"/>
    <tableColumn id="12" xr3:uid="{536FB29A-1D74-431C-8508-F4424E56D017}" name="合计（）" dataDxfId="83" totalsRowDxfId="82">
      <calculatedColumnFormula>表2_2456[[#This Row],[合计]]-表2_2456[[#This Row],[房租]]-表2_2456[[#This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F9FFE8-6795-48C8-9EBA-B113378FB269}" name="表2_24567" displayName="表2_24567" ref="A1:N34" totalsRowCount="1" headerRowDxfId="81" dataDxfId="80">
  <autoFilter ref="A1:N33" xr:uid="{62DBF428-EA6E-4F16-A2E5-492FB36A65B6}"/>
  <tableColumns count="14">
    <tableColumn id="1" xr3:uid="{D3067EB3-BE6E-4AF3-9FFD-B95EBDDB6167}" name="日期" dataDxfId="79" totalsRowDxfId="65"/>
    <tableColumn id="2" xr3:uid="{56879282-C674-4F48-8A73-93DB4DCBA57C}" name="吃饭" dataDxfId="78" totalsRowDxfId="64"/>
    <tableColumn id="3" xr3:uid="{73F8E3F3-570D-41D8-8A3E-C20A18F65FF3}" name="馋" dataDxfId="77" totalsRowDxfId="63"/>
    <tableColumn id="4" xr3:uid="{3D6BEBF6-CBC9-4DCA-982E-037795A0416D}" name="小余" dataDxfId="76" totalsRowDxfId="62"/>
    <tableColumn id="5" xr3:uid="{D02FE755-BE8E-4211-8175-E50301AE3D9E}" name="生活" dataDxfId="75" totalsRowDxfId="61"/>
    <tableColumn id="15" xr3:uid="{E09550C0-A64C-4254-BF45-F6A7AA47EDC1}" name="交通" dataDxfId="74" totalsRowDxfId="60"/>
    <tableColumn id="6" xr3:uid="{9CF2F6D8-C510-4267-8338-51B43CE01635}" name="爱好" dataDxfId="73" totalsRowDxfId="59"/>
    <tableColumn id="7" xr3:uid="{97C5943D-D4AE-41FC-8CFE-C2445E66AF78}" name="房租" dataDxfId="72" totalsRowDxfId="58"/>
    <tableColumn id="8" xr3:uid="{AB3E8242-5B23-45E8-97EE-FB697A4B27F5}" name="水电话费" dataDxfId="71" totalsRowDxfId="57"/>
    <tableColumn id="9" xr3:uid="{EC33E131-F516-4D87-96FA-062866BE43DE}" name="懒" dataDxfId="70" totalsRowDxfId="56"/>
    <tableColumn id="11" xr3:uid="{BB406706-4B30-474E-B931-1202AB61CAD0}" name="玩" dataDxfId="69" totalsRowDxfId="55"/>
    <tableColumn id="10" xr3:uid="{6ADF4757-E07B-409F-90A7-DDC2276A35E1}" name="学习阅读" totalsRowFunction="custom" dataDxfId="68" totalsRowDxfId="54">
      <totalsRowFormula>SUM(B33:L33)</totalsRowFormula>
    </tableColumn>
    <tableColumn id="13" xr3:uid="{355B5109-A822-436C-93F5-AD51956EB3EF}" name="合计" dataDxfId="67" totalsRowDxfId="53"/>
    <tableColumn id="12" xr3:uid="{56B97B3B-3044-4844-9344-D64DE3479E53}" name="合计（）" dataDxfId="66" totalsRowDxfId="52">
      <calculatedColumnFormula>表2_24567[[#This Row],[合计]]-表2_24567[[#This Row],[房租]]-表2_24567[[#This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4F9201-28C4-454E-BA4A-AE90C3633692}" name="表2_245678" displayName="表2_245678" ref="A1:N9" totalsRowCount="1" headerRowDxfId="51" dataDxfId="50">
  <autoFilter ref="A1:N8" xr:uid="{62DBF428-EA6E-4F16-A2E5-492FB36A65B6}"/>
  <tableColumns count="14">
    <tableColumn id="1" xr3:uid="{08D5E669-ECD3-4C2C-873A-FBF82834949F}" name="月度" dataDxfId="27" totalsRowDxfId="13"/>
    <tableColumn id="2" xr3:uid="{A123257A-0348-4F0E-9D19-69D4FC45F0AF}" name="吃饭" dataDxfId="26" totalsRowDxfId="12"/>
    <tableColumn id="3" xr3:uid="{4B4EB9E9-6F58-4A0C-940B-D65B7CC42C4F}" name="馋" dataDxfId="25" totalsRowDxfId="11"/>
    <tableColumn id="4" xr3:uid="{6555F076-43FE-454A-A90C-8A3AF187E09D}" name="小余" dataDxfId="24" totalsRowDxfId="10"/>
    <tableColumn id="5" xr3:uid="{7B662F0E-BA4E-4A7B-BC73-552D8EB281B1}" name="生活" dataDxfId="23" totalsRowDxfId="9"/>
    <tableColumn id="15" xr3:uid="{9C8E9BBD-9CFA-4F9F-BC81-6C94F56D5048}" name="交通" dataDxfId="22" totalsRowDxfId="8"/>
    <tableColumn id="6" xr3:uid="{9FEB7BD9-D17C-4CC0-A8CF-A3C41F7569F0}" name="爱好" dataDxfId="21" totalsRowDxfId="7"/>
    <tableColumn id="7" xr3:uid="{B5A40B52-7A72-4068-A4CC-0E1C06F1407D}" name="房租" dataDxfId="20" totalsRowDxfId="6"/>
    <tableColumn id="8" xr3:uid="{C8A27AE1-BE55-4944-9763-89C1D49F8DF0}" name="水电话费" dataDxfId="19" totalsRowDxfId="5"/>
    <tableColumn id="9" xr3:uid="{4B6719CC-7FBD-46E4-830B-9DECCB52AFB2}" name="懒" dataDxfId="18" totalsRowDxfId="4"/>
    <tableColumn id="11" xr3:uid="{4C73394F-9B42-4268-9F7B-F226B491833C}" name="玩" dataDxfId="17" totalsRowDxfId="3"/>
    <tableColumn id="10" xr3:uid="{BD15D2F1-3562-40EB-9181-36A7168FE299}" name="学习阅读" totalsRowFunction="custom" dataDxfId="16" totalsRowDxfId="2">
      <totalsRowFormula>SUM(B8:L8)</totalsRowFormula>
    </tableColumn>
    <tableColumn id="13" xr3:uid="{7B7BB388-0F8D-4061-9E28-F93F0B0F50A5}" name="合计" dataDxfId="15" totalsRowDxfId="1"/>
    <tableColumn id="12" xr3:uid="{141A6E07-7CB0-41A8-A1B7-58F575932CF8}" name="合计（）" dataDxfId="14" totalsRowDxfId="0">
      <calculatedColumnFormula>表2_245678[[#This Row],[合计]]-表2_245678[[#This Row],[房租]]-表2_245678[[#This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9" zoomScaleNormal="100" workbookViewId="0">
      <selection activeCell="B44" sqref="B44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49.9+19.96+9.98+1.33</f>
        <v>81.17</v>
      </c>
      <c r="J2" s="3"/>
      <c r="K2" s="3"/>
      <c r="L2" s="3"/>
      <c r="M2" s="3">
        <f>SUM(表2[[#This Row],[吃饭]:[学习阅读]])</f>
        <v>287.43451612903226</v>
      </c>
      <c r="N2" s="3">
        <f>表2[[#This Row],[合计]]-表2[[#This Row],[房租]]-表2[[#This Row],[水电话费]]</f>
        <v>162.19999999999999</v>
      </c>
    </row>
    <row r="3" spans="1:14" x14ac:dyDescent="0.3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  <c r="N3" s="3">
        <f>表2[[#This Row],[合计]]-表2[[#This Row],[房租]]-表2[[#This Row],[水电话费]]</f>
        <v>18</v>
      </c>
    </row>
    <row r="4" spans="1:14" x14ac:dyDescent="0.3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  <c r="N4" s="3">
        <f>表2[[#This Row],[合计]]-表2[[#This Row],[房租]]-表2[[#This Row],[水电话费]]</f>
        <v>171.29</v>
      </c>
    </row>
    <row r="5" spans="1:14" x14ac:dyDescent="0.3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  <c r="N5" s="3">
        <f>表2[[#This Row],[合计]]-表2[[#This Row],[房租]]-表2[[#This Row],[水电话费]]</f>
        <v>73.2</v>
      </c>
    </row>
    <row r="6" spans="1:14" x14ac:dyDescent="0.3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  <c r="N6" s="3">
        <f>表2[[#This Row],[合计]]-表2[[#This Row],[房租]]-表2[[#This Row],[水电话费]]</f>
        <v>29.599999999999994</v>
      </c>
    </row>
    <row r="7" spans="1:14" x14ac:dyDescent="0.3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  <c r="N7" s="3">
        <f>表2[[#This Row],[合计]]-表2[[#This Row],[房租]]-表2[[#This Row],[水电话费]]</f>
        <v>71.7</v>
      </c>
    </row>
    <row r="8" spans="1:14" x14ac:dyDescent="0.3">
      <c r="A8" s="1">
        <v>45114</v>
      </c>
      <c r="B8" s="3">
        <f>3.5+9.9+100</f>
        <v>113.4</v>
      </c>
      <c r="C8" s="3">
        <v>3.5</v>
      </c>
      <c r="D8" s="3">
        <v>200</v>
      </c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362.96451612903223</v>
      </c>
      <c r="N8" s="3">
        <f>表2[[#This Row],[合计]]-表2[[#This Row],[房租]]-表2[[#This Row],[水电话费]]</f>
        <v>318.89999999999998</v>
      </c>
    </row>
    <row r="9" spans="1:14" x14ac:dyDescent="0.3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  <c r="N9" s="3">
        <f>表2[[#This Row],[合计]]-表2[[#This Row],[房租]]-表2[[#This Row],[水电话费]]</f>
        <v>44</v>
      </c>
    </row>
    <row r="10" spans="1:14" x14ac:dyDescent="0.3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  <c r="N10" s="3">
        <f>表2[[#This Row],[合计]]-表2[[#This Row],[房租]]-表2[[#This Row],[水电话费]]</f>
        <v>173.56</v>
      </c>
    </row>
    <row r="11" spans="1:14" x14ac:dyDescent="0.3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  <c r="N11" s="3">
        <f>表2[[#This Row],[合计]]-表2[[#This Row],[房租]]-表2[[#This Row],[水电话费]]</f>
        <v>254.5</v>
      </c>
    </row>
    <row r="12" spans="1:14" x14ac:dyDescent="0.3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  <c r="N12" s="3">
        <f>表2[[#This Row],[合计]]-表2[[#This Row],[房租]]-表2[[#This Row],[水电话费]]</f>
        <v>54.900000000000006</v>
      </c>
    </row>
    <row r="13" spans="1:14" x14ac:dyDescent="0.3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  <c r="N13" s="3">
        <f>表2[[#This Row],[合计]]-表2[[#This Row],[房租]]-表2[[#This Row],[水电话费]]</f>
        <v>22.599999999999994</v>
      </c>
    </row>
    <row r="14" spans="1:14" x14ac:dyDescent="0.3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  <c r="N14" s="3">
        <f>表2[[#This Row],[合计]]-表2[[#This Row],[房租]]-表2[[#This Row],[水电话费]]</f>
        <v>72.650000000000006</v>
      </c>
    </row>
    <row r="15" spans="1:14" x14ac:dyDescent="0.3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  <c r="N15" s="3">
        <f>表2[[#This Row],[合计]]-表2[[#This Row],[房租]]-表2[[#This Row],[水电话费]]</f>
        <v>35.090000000000003</v>
      </c>
    </row>
    <row r="16" spans="1:14" x14ac:dyDescent="0.3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  <c r="N16" s="3">
        <f>表2[[#This Row],[合计]]-表2[[#This Row],[房租]]-表2[[#This Row],[水电话费]]</f>
        <v>1621.88</v>
      </c>
    </row>
    <row r="17" spans="1:14" x14ac:dyDescent="0.3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  <c r="N17" s="3">
        <f>表2[[#This Row],[合计]]-表2[[#This Row],[房租]]-表2[[#This Row],[水电话费]]</f>
        <v>21.599999999999994</v>
      </c>
    </row>
    <row r="18" spans="1:14" x14ac:dyDescent="0.3">
      <c r="A18" s="1">
        <v>45124</v>
      </c>
      <c r="B18" s="3">
        <f>10.3+2.5+21.56</f>
        <v>34.36</v>
      </c>
      <c r="C18" s="3">
        <v>2</v>
      </c>
      <c r="D18" s="3"/>
      <c r="E18" s="3">
        <f>1</f>
        <v>1</v>
      </c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81.424516129032256</v>
      </c>
      <c r="N18" s="3">
        <f>表2[[#This Row],[合计]]-表2[[#This Row],[房租]]-表2[[#This Row],[水电话费]]</f>
        <v>37.36</v>
      </c>
    </row>
    <row r="19" spans="1:14" x14ac:dyDescent="0.3">
      <c r="A19" s="1">
        <v>45125</v>
      </c>
      <c r="B19" s="3">
        <f>3.8+2.5+10.42</f>
        <v>16.72</v>
      </c>
      <c r="C19" s="3">
        <v>3</v>
      </c>
      <c r="D19" s="3"/>
      <c r="E19" s="3">
        <v>3.99</v>
      </c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67.774516129032264</v>
      </c>
      <c r="N19" s="3">
        <f>表2[[#This Row],[合计]]-表2[[#This Row],[房租]]-表2[[#This Row],[水电话费]]</f>
        <v>23.710000000000008</v>
      </c>
    </row>
    <row r="20" spans="1:14" x14ac:dyDescent="0.3">
      <c r="A20" s="1">
        <v>45126</v>
      </c>
      <c r="B20" s="3">
        <f>4.5+2.5+64</f>
        <v>71</v>
      </c>
      <c r="C20" s="3">
        <v>8.5</v>
      </c>
      <c r="D20" s="3">
        <v>30</v>
      </c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153.56451612903226</v>
      </c>
      <c r="N20" s="3">
        <f>表2[[#This Row],[合计]]-表2[[#This Row],[房租]]-表2[[#This Row],[水电话费]]</f>
        <v>109.5</v>
      </c>
    </row>
    <row r="21" spans="1:14" x14ac:dyDescent="0.3">
      <c r="A21" s="1">
        <v>45127</v>
      </c>
      <c r="B21" s="3">
        <f>16.7+14.5+2.9+30</f>
        <v>64.099999999999994</v>
      </c>
      <c r="C21" s="3">
        <v>2</v>
      </c>
      <c r="D21" s="3"/>
      <c r="E21" s="3"/>
      <c r="F21" s="3">
        <v>16</v>
      </c>
      <c r="G21" s="3"/>
      <c r="H21" s="3">
        <v>44.064516129032256</v>
      </c>
      <c r="I21" s="3"/>
      <c r="J21" s="3"/>
      <c r="K21" s="3">
        <v>10</v>
      </c>
      <c r="L21" s="3"/>
      <c r="M21" s="3">
        <f>SUM(表2[[#This Row],[吃饭]:[学习阅读]])</f>
        <v>136.16451612903225</v>
      </c>
      <c r="N21" s="3">
        <f>表2[[#This Row],[合计]]-表2[[#This Row],[房租]]-表2[[#This Row],[水电话费]]</f>
        <v>92.1</v>
      </c>
    </row>
    <row r="22" spans="1:14" x14ac:dyDescent="0.3">
      <c r="A22" s="1">
        <v>45128</v>
      </c>
      <c r="B22" s="3">
        <f>5+12.99+10</f>
        <v>27.990000000000002</v>
      </c>
      <c r="C22" s="3">
        <v>6</v>
      </c>
      <c r="D22" s="3"/>
      <c r="E22" s="3"/>
      <c r="F22" s="3">
        <v>8.8800000000000008</v>
      </c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86.934516129032261</v>
      </c>
      <c r="N22" s="3">
        <f>表2[[#This Row],[合计]]-表2[[#This Row],[房租]]-表2[[#This Row],[水电话费]]</f>
        <v>42.870000000000005</v>
      </c>
    </row>
    <row r="23" spans="1:14" x14ac:dyDescent="0.3">
      <c r="A23" s="1">
        <v>45129</v>
      </c>
      <c r="B23" s="3">
        <v>17.7</v>
      </c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61.764516129032259</v>
      </c>
      <c r="N23" s="3">
        <f>表2[[#This Row],[合计]]-表2[[#This Row],[房租]]-表2[[#This Row],[水电话费]]</f>
        <v>17.700000000000003</v>
      </c>
    </row>
    <row r="24" spans="1:14" x14ac:dyDescent="0.3">
      <c r="A24" s="1">
        <v>45130</v>
      </c>
      <c r="B24" s="3">
        <v>19.100000000000001</v>
      </c>
      <c r="C24" s="3">
        <f>4+17.3</f>
        <v>21.3</v>
      </c>
      <c r="D24" s="3"/>
      <c r="E24" s="3">
        <v>30</v>
      </c>
      <c r="F24" s="3">
        <v>7</v>
      </c>
      <c r="G24" s="3">
        <v>6.5</v>
      </c>
      <c r="H24" s="3">
        <v>44.064516129032256</v>
      </c>
      <c r="I24" s="3"/>
      <c r="J24" s="3"/>
      <c r="K24" s="3"/>
      <c r="L24" s="3"/>
      <c r="M24" s="3">
        <f>SUM(表2[[#This Row],[吃饭]:[学习阅读]])</f>
        <v>127.96451612903226</v>
      </c>
      <c r="N24" s="3">
        <f>表2[[#This Row],[合计]]-表2[[#This Row],[房租]]-表2[[#This Row],[水电话费]]</f>
        <v>83.9</v>
      </c>
    </row>
    <row r="25" spans="1:14" x14ac:dyDescent="0.3">
      <c r="A25" s="1">
        <v>45131</v>
      </c>
      <c r="B25" s="3">
        <f>9.3+2.5+1+25.55</f>
        <v>38.35</v>
      </c>
      <c r="C25" s="3">
        <v>2</v>
      </c>
      <c r="D25" s="3"/>
      <c r="E25" s="3">
        <v>32.799999999999997</v>
      </c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117.21451612903226</v>
      </c>
      <c r="N25" s="3">
        <f>表2[[#This Row],[合计]]-表2[[#This Row],[房租]]-表2[[#This Row],[水电话费]]</f>
        <v>73.150000000000006</v>
      </c>
    </row>
    <row r="26" spans="1:14" x14ac:dyDescent="0.3">
      <c r="A26" s="1">
        <v>45132</v>
      </c>
      <c r="B26" s="3">
        <f>7.5+2.5+5+8.5+7</f>
        <v>30.5</v>
      </c>
      <c r="C26" s="3">
        <v>7</v>
      </c>
      <c r="D26" s="3">
        <v>15</v>
      </c>
      <c r="E26" s="3"/>
      <c r="F26" s="3"/>
      <c r="G26" s="3"/>
      <c r="H26" s="3">
        <v>44.064516129032256</v>
      </c>
      <c r="I26" s="3"/>
      <c r="J26" s="3"/>
      <c r="K26" s="3">
        <v>2</v>
      </c>
      <c r="L26" s="3"/>
      <c r="M26" s="3">
        <f>SUM(表2[[#This Row],[吃饭]:[学习阅读]])</f>
        <v>98.564516129032256</v>
      </c>
      <c r="N26" s="3">
        <f>表2[[#This Row],[合计]]-表2[[#This Row],[房租]]-表2[[#This Row],[水电话费]]</f>
        <v>54.5</v>
      </c>
    </row>
    <row r="27" spans="1:14" x14ac:dyDescent="0.3">
      <c r="A27" s="1">
        <v>45133</v>
      </c>
      <c r="B27" s="3">
        <f>3.8+9.5+14.9+25.99+16.4</f>
        <v>70.59</v>
      </c>
      <c r="C27" s="3">
        <v>3</v>
      </c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117.65451612903226</v>
      </c>
      <c r="N27" s="3">
        <f>表2[[#This Row],[合计]]-表2[[#This Row],[房租]]-表2[[#This Row],[水电话费]]</f>
        <v>73.59</v>
      </c>
    </row>
    <row r="28" spans="1:14" x14ac:dyDescent="0.3">
      <c r="A28" s="1">
        <v>45134</v>
      </c>
      <c r="B28" s="3">
        <f>9.8+25+20+2.5+5</f>
        <v>62.3</v>
      </c>
      <c r="C28" s="3"/>
      <c r="D28" s="3">
        <v>20</v>
      </c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126.36451612903225</v>
      </c>
      <c r="N28" s="3">
        <f>表2[[#This Row],[合计]]-表2[[#This Row],[房租]]-表2[[#This Row],[水电话费]]</f>
        <v>82.3</v>
      </c>
    </row>
    <row r="29" spans="1:14" x14ac:dyDescent="0.3">
      <c r="A29" s="1">
        <v>45135</v>
      </c>
      <c r="B29" s="3">
        <f>3.5+15.9</f>
        <v>19.399999999999999</v>
      </c>
      <c r="C29" s="3"/>
      <c r="D29" s="3"/>
      <c r="E29" s="3">
        <v>2</v>
      </c>
      <c r="F29" s="3">
        <v>16</v>
      </c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81.464516129032262</v>
      </c>
      <c r="N29" s="3">
        <f>表2[[#This Row],[合计]]-表2[[#This Row],[房租]]-表2[[#This Row],[水电话费]]</f>
        <v>37.400000000000006</v>
      </c>
    </row>
    <row r="30" spans="1:14" x14ac:dyDescent="0.3">
      <c r="A30" s="1">
        <v>45136</v>
      </c>
      <c r="B30" s="3">
        <f>15+20+25+4.5+12.5+2+17</f>
        <v>96</v>
      </c>
      <c r="C30" s="3">
        <f>13+15</f>
        <v>28</v>
      </c>
      <c r="D30" s="3">
        <v>12.6</v>
      </c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180.66451612903225</v>
      </c>
      <c r="N30" s="3">
        <f>表2[[#This Row],[合计]]-表2[[#This Row],[房租]]-表2[[#This Row],[水电话费]]</f>
        <v>136.6</v>
      </c>
    </row>
    <row r="31" spans="1:14" x14ac:dyDescent="0.3">
      <c r="A31" s="1">
        <v>45137</v>
      </c>
      <c r="B31" s="3">
        <f>6.67+4</f>
        <v>10.67</v>
      </c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54.734516129032258</v>
      </c>
      <c r="N31" s="3">
        <f>表2[[#This Row],[合计]]-表2[[#This Row],[房租]]-表2[[#This Row],[水电话费]]</f>
        <v>10.670000000000002</v>
      </c>
    </row>
    <row r="32" spans="1:14" x14ac:dyDescent="0.3">
      <c r="A32" s="1">
        <v>45138</v>
      </c>
      <c r="B32" s="3">
        <f>4+2.5+18</f>
        <v>24.5</v>
      </c>
      <c r="C32" s="3">
        <v>7</v>
      </c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75.564516129032256</v>
      </c>
      <c r="N32" s="3">
        <f>表2[[#This Row],[合计]]-表2[[#This Row],[房租]]-表2[[#This Row],[水电话费]]</f>
        <v>31.5</v>
      </c>
    </row>
    <row r="33" spans="1:14" ht="37.25" customHeight="1" x14ac:dyDescent="0.3">
      <c r="A33" s="4" t="s">
        <v>11</v>
      </c>
      <c r="B33" s="3">
        <f>SUM(B2:B32)</f>
        <v>1150.5300000000002</v>
      </c>
      <c r="C33" s="3">
        <f t="shared" ref="C33:I33" si="0">SUM(C2:C32)</f>
        <v>249</v>
      </c>
      <c r="D33" s="3">
        <f>SUM(D2:D32)</f>
        <v>401.99</v>
      </c>
      <c r="E33" s="3">
        <f t="shared" si="0"/>
        <v>2092.42</v>
      </c>
      <c r="F33" s="3">
        <f>SUM(F2:F32)</f>
        <v>96.88</v>
      </c>
      <c r="G33" s="3">
        <f t="shared" si="0"/>
        <v>33.5</v>
      </c>
      <c r="H33" s="3">
        <f t="shared" si="0"/>
        <v>1365.9999999999989</v>
      </c>
      <c r="I33" s="3">
        <f t="shared" si="0"/>
        <v>116.17</v>
      </c>
      <c r="J33" s="3">
        <f>SUM(J2:J32)</f>
        <v>14.2</v>
      </c>
      <c r="K33" s="3">
        <f>SUM(K2:K32)</f>
        <v>14</v>
      </c>
      <c r="L33" s="3">
        <f>SUM(L2:L32)</f>
        <v>0</v>
      </c>
      <c r="M33" s="5">
        <f>SUM(M2:M32)</f>
        <v>5534.6899999999987</v>
      </c>
      <c r="N33" s="3">
        <f>表2[[#This Row],[合计]]-表2[[#This Row],[房租]]-表2[[#This Row],[水电话费]]</f>
        <v>4052.5199999999995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5534.69</v>
      </c>
      <c r="M34" s="3"/>
    </row>
  </sheetData>
  <phoneticPr fontId="1" type="noConversion"/>
  <conditionalFormatting sqref="N2:N32">
    <cfRule type="cellIs" dxfId="4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41-0545-4E98-A165-FDDA4B913E86}">
  <dimension ref="A1:P41"/>
  <sheetViews>
    <sheetView topLeftCell="A8" zoomScaleNormal="100" workbookViewId="0">
      <selection activeCell="M23" sqref="M23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45139</v>
      </c>
      <c r="B2" s="3">
        <f>9.8+2.25</f>
        <v>12.05</v>
      </c>
      <c r="C2" s="3"/>
      <c r="D2" s="3">
        <f>46.5+194</f>
        <v>240.5</v>
      </c>
      <c r="E2" s="3">
        <v>91.33</v>
      </c>
      <c r="F2" s="3"/>
      <c r="G2" s="3"/>
      <c r="H2" s="3">
        <f>1270/31</f>
        <v>40.967741935483872</v>
      </c>
      <c r="I2" s="3">
        <v>70</v>
      </c>
      <c r="J2" s="3"/>
      <c r="K2" s="3"/>
      <c r="L2" s="3"/>
      <c r="M2" s="3">
        <f>SUM(表2_2[[#This Row],[吃饭]:[学习阅读]])</f>
        <v>454.8477419354839</v>
      </c>
      <c r="N2" s="3">
        <f>表2_2[[#This Row],[合计]]-表2_2[[#This Row],[房租]]-表2_2[[#This Row],[水电话费]]</f>
        <v>343.88</v>
      </c>
    </row>
    <row r="3" spans="1:16" x14ac:dyDescent="0.3">
      <c r="A3" s="1">
        <v>45140</v>
      </c>
      <c r="B3" s="3">
        <f>2.8+6+2.5+23.81</f>
        <v>35.11</v>
      </c>
      <c r="C3" s="3"/>
      <c r="D3" s="3"/>
      <c r="E3" s="3"/>
      <c r="F3" s="3"/>
      <c r="G3" s="3"/>
      <c r="H3" s="3">
        <f t="shared" ref="H3:H32" si="0">1270/31</f>
        <v>40.967741935483872</v>
      </c>
      <c r="I3" s="3"/>
      <c r="J3" s="3"/>
      <c r="K3" s="3"/>
      <c r="L3" s="3"/>
      <c r="M3" s="3">
        <f>SUM(表2_2[[#This Row],[吃饭]:[学习阅读]])</f>
        <v>76.077741935483871</v>
      </c>
      <c r="N3" s="3">
        <f>表2_2[[#This Row],[合计]]-表2_2[[#This Row],[房租]]-表2_2[[#This Row],[水电话费]]</f>
        <v>35.11</v>
      </c>
    </row>
    <row r="4" spans="1:16" x14ac:dyDescent="0.3">
      <c r="A4" s="1">
        <v>45141</v>
      </c>
      <c r="B4" s="3">
        <f>2.8+2.5+5.79</f>
        <v>11.09</v>
      </c>
      <c r="C4" s="3">
        <v>7</v>
      </c>
      <c r="D4" s="3">
        <v>12.6</v>
      </c>
      <c r="E4" s="3"/>
      <c r="F4" s="3"/>
      <c r="G4" s="3"/>
      <c r="H4" s="3">
        <f t="shared" si="0"/>
        <v>40.967741935483872</v>
      </c>
      <c r="I4" s="3"/>
      <c r="J4" s="3"/>
      <c r="K4" s="3"/>
      <c r="L4" s="3"/>
      <c r="M4" s="3">
        <f>SUM(表2_2[[#This Row],[吃饭]:[学习阅读]])</f>
        <v>71.65774193548387</v>
      </c>
      <c r="N4" s="3">
        <f>表2_2[[#This Row],[合计]]-表2_2[[#This Row],[房租]]-表2_2[[#This Row],[水电话费]]</f>
        <v>30.689999999999998</v>
      </c>
    </row>
    <row r="5" spans="1:16" x14ac:dyDescent="0.3">
      <c r="A5" s="1">
        <v>45142</v>
      </c>
      <c r="B5" s="3">
        <f>30+25.82</f>
        <v>55.82</v>
      </c>
      <c r="C5" s="3"/>
      <c r="D5" s="3"/>
      <c r="E5" s="3"/>
      <c r="F5" s="3"/>
      <c r="G5" s="3"/>
      <c r="H5" s="3">
        <f t="shared" si="0"/>
        <v>40.967741935483872</v>
      </c>
      <c r="I5" s="3"/>
      <c r="J5" s="3"/>
      <c r="K5" s="3"/>
      <c r="L5" s="3"/>
      <c r="M5" s="3">
        <f>SUM(表2_2[[#This Row],[吃饭]:[学习阅读]])</f>
        <v>96.787741935483865</v>
      </c>
      <c r="N5" s="3">
        <f>表2_2[[#This Row],[合计]]-表2_2[[#This Row],[房租]]-表2_2[[#This Row],[水电话费]]</f>
        <v>55.819999999999993</v>
      </c>
    </row>
    <row r="6" spans="1:16" x14ac:dyDescent="0.3">
      <c r="A6" s="1">
        <v>45143</v>
      </c>
      <c r="B6" s="3">
        <v>129.69999999999999</v>
      </c>
      <c r="C6" s="3">
        <f>6+12</f>
        <v>18</v>
      </c>
      <c r="D6" s="3"/>
      <c r="E6" s="3">
        <v>15</v>
      </c>
      <c r="F6" s="3">
        <v>16</v>
      </c>
      <c r="G6" s="3"/>
      <c r="H6" s="3">
        <f t="shared" si="0"/>
        <v>40.967741935483872</v>
      </c>
      <c r="I6" s="3"/>
      <c r="J6" s="3"/>
      <c r="K6" s="3"/>
      <c r="L6" s="3"/>
      <c r="M6" s="3">
        <f>SUM(表2_2[[#This Row],[吃饭]:[学习阅读]])</f>
        <v>219.66774193548386</v>
      </c>
      <c r="N6" s="3">
        <f>表2_2[[#This Row],[合计]]-表2_2[[#This Row],[房租]]-表2_2[[#This Row],[水电话费]]</f>
        <v>178.7</v>
      </c>
    </row>
    <row r="7" spans="1:16" x14ac:dyDescent="0.3">
      <c r="A7" s="1">
        <v>45144</v>
      </c>
      <c r="B7" s="3">
        <v>16.23</v>
      </c>
      <c r="C7" s="3">
        <f>15+4+6</f>
        <v>25</v>
      </c>
      <c r="D7" s="3">
        <v>23</v>
      </c>
      <c r="E7" s="3"/>
      <c r="F7" s="3">
        <v>7.66</v>
      </c>
      <c r="G7" s="3"/>
      <c r="H7" s="3">
        <f t="shared" si="0"/>
        <v>40.967741935483872</v>
      </c>
      <c r="I7" s="3"/>
      <c r="J7" s="3"/>
      <c r="K7" s="3"/>
      <c r="L7" s="3"/>
      <c r="M7" s="3">
        <f>SUM(表2_2[[#This Row],[吃饭]:[学习阅读]])</f>
        <v>112.85774193548387</v>
      </c>
      <c r="N7" s="3">
        <f>表2_2[[#This Row],[合计]]-表2_2[[#This Row],[房租]]-表2_2[[#This Row],[水电话费]]</f>
        <v>71.89</v>
      </c>
    </row>
    <row r="8" spans="1:16" x14ac:dyDescent="0.3">
      <c r="A8" s="1">
        <v>45145</v>
      </c>
      <c r="B8" s="3">
        <v>4.5</v>
      </c>
      <c r="C8" s="3"/>
      <c r="D8" s="3">
        <v>33</v>
      </c>
      <c r="E8" s="3">
        <v>18</v>
      </c>
      <c r="F8" s="3"/>
      <c r="G8" s="3"/>
      <c r="H8" s="3">
        <f t="shared" si="0"/>
        <v>40.967741935483872</v>
      </c>
      <c r="I8" s="3"/>
      <c r="J8" s="3"/>
      <c r="K8" s="3"/>
      <c r="L8" s="3"/>
      <c r="M8" s="3">
        <f>SUM(表2_2[[#This Row],[吃饭]:[学习阅读]])</f>
        <v>96.467741935483872</v>
      </c>
      <c r="N8" s="3">
        <f>表2_2[[#This Row],[合计]]-表2_2[[#This Row],[房租]]-表2_2[[#This Row],[水电话费]]</f>
        <v>55.5</v>
      </c>
    </row>
    <row r="9" spans="1:16" x14ac:dyDescent="0.3">
      <c r="A9" s="1">
        <v>45146</v>
      </c>
      <c r="B9" s="3">
        <f>9.8+2.5+5</f>
        <v>17.3</v>
      </c>
      <c r="C9" s="3">
        <v>12</v>
      </c>
      <c r="D9" s="3">
        <v>18</v>
      </c>
      <c r="E9" s="3"/>
      <c r="F9" s="3"/>
      <c r="G9" s="3"/>
      <c r="H9" s="3">
        <f t="shared" si="0"/>
        <v>40.967741935483872</v>
      </c>
      <c r="I9" s="3"/>
      <c r="J9" s="3"/>
      <c r="K9" s="3"/>
      <c r="L9" s="3"/>
      <c r="M9" s="3">
        <f>SUM(表2_2[[#This Row],[吃饭]:[学习阅读]])</f>
        <v>88.267741935483869</v>
      </c>
      <c r="N9" s="3">
        <f>表2_2[[#This Row],[合计]]-表2_2[[#This Row],[房租]]-表2_2[[#This Row],[水电话费]]</f>
        <v>47.3</v>
      </c>
    </row>
    <row r="10" spans="1:16" x14ac:dyDescent="0.3">
      <c r="A10" s="1">
        <v>45147</v>
      </c>
      <c r="B10" s="3">
        <f>22+3.8</f>
        <v>25.8</v>
      </c>
      <c r="C10" s="3">
        <v>12</v>
      </c>
      <c r="D10" s="3"/>
      <c r="E10" s="3"/>
      <c r="F10" s="3"/>
      <c r="G10" s="3"/>
      <c r="H10" s="3">
        <f t="shared" si="0"/>
        <v>40.967741935483872</v>
      </c>
      <c r="I10" s="3"/>
      <c r="J10" s="3"/>
      <c r="K10" s="3"/>
      <c r="L10" s="3"/>
      <c r="M10" s="3">
        <f>SUM(表2_2[[#This Row],[吃饭]:[学习阅读]])</f>
        <v>78.767741935483869</v>
      </c>
      <c r="N10" s="3">
        <f>表2_2[[#This Row],[合计]]-表2_2[[#This Row],[房租]]-表2_2[[#This Row],[水电话费]]</f>
        <v>37.799999999999997</v>
      </c>
    </row>
    <row r="11" spans="1:16" x14ac:dyDescent="0.3">
      <c r="A11" s="1">
        <v>45148</v>
      </c>
      <c r="B11" s="3">
        <v>9.9</v>
      </c>
      <c r="C11" s="3">
        <v>12</v>
      </c>
      <c r="D11" s="3">
        <v>200</v>
      </c>
      <c r="E11" s="3"/>
      <c r="F11" s="3"/>
      <c r="G11" s="3"/>
      <c r="H11" s="3">
        <f t="shared" si="0"/>
        <v>40.967741935483872</v>
      </c>
      <c r="I11" s="3">
        <v>64</v>
      </c>
      <c r="J11" s="3"/>
      <c r="K11" s="3"/>
      <c r="L11" s="3"/>
      <c r="M11" s="3">
        <f>SUM(表2_2[[#This Row],[吃饭]:[学习阅读]])</f>
        <v>326.86774193548388</v>
      </c>
      <c r="N11" s="3">
        <f>表2_2[[#This Row],[合计]]-表2_2[[#This Row],[房租]]-表2_2[[#This Row],[水电话费]]</f>
        <v>221.89999999999998</v>
      </c>
    </row>
    <row r="12" spans="1:16" x14ac:dyDescent="0.3">
      <c r="A12" s="1">
        <v>45149</v>
      </c>
      <c r="B12" s="3">
        <f>3.8+13.36</f>
        <v>17.16</v>
      </c>
      <c r="C12" s="3">
        <v>20.87</v>
      </c>
      <c r="D12" s="3"/>
      <c r="E12" s="3">
        <v>15</v>
      </c>
      <c r="F12" s="3">
        <v>16</v>
      </c>
      <c r="G12" s="3"/>
      <c r="H12" s="3">
        <f t="shared" si="0"/>
        <v>40.967741935483872</v>
      </c>
      <c r="I12" s="3"/>
      <c r="J12" s="3"/>
      <c r="K12" s="3"/>
      <c r="L12" s="3"/>
      <c r="M12" s="3">
        <f>SUM(表2_2[[#This Row],[吃饭]:[学习阅读]])</f>
        <v>109.99774193548387</v>
      </c>
      <c r="N12" s="3">
        <f>表2_2[[#This Row],[合计]]-表2_2[[#This Row],[房租]]-表2_2[[#This Row],[水电话费]]</f>
        <v>69.03</v>
      </c>
      <c r="P12" s="6"/>
    </row>
    <row r="13" spans="1:16" x14ac:dyDescent="0.3">
      <c r="A13" s="1">
        <v>45150</v>
      </c>
      <c r="B13" s="3">
        <v>37.19</v>
      </c>
      <c r="C13" s="3"/>
      <c r="D13" s="3"/>
      <c r="E13" s="3">
        <v>27.98</v>
      </c>
      <c r="F13" s="3"/>
      <c r="G13" s="3"/>
      <c r="H13" s="3">
        <f t="shared" si="0"/>
        <v>40.967741935483872</v>
      </c>
      <c r="I13" s="3"/>
      <c r="J13" s="3"/>
      <c r="K13" s="3"/>
      <c r="L13" s="3"/>
      <c r="M13" s="3">
        <f>SUM(表2_2[[#This Row],[吃饭]:[学习阅读]])</f>
        <v>106.13774193548387</v>
      </c>
      <c r="N13" s="3">
        <f>表2_2[[#This Row],[合计]]-表2_2[[#This Row],[房租]]-表2_2[[#This Row],[水电话费]]</f>
        <v>65.17</v>
      </c>
    </row>
    <row r="14" spans="1:16" x14ac:dyDescent="0.3">
      <c r="A14" s="1">
        <v>45151</v>
      </c>
      <c r="B14" s="3">
        <v>30.7</v>
      </c>
      <c r="C14" s="3"/>
      <c r="D14" s="3"/>
      <c r="E14" s="3">
        <v>47</v>
      </c>
      <c r="F14" s="3"/>
      <c r="G14" s="3"/>
      <c r="H14" s="3">
        <f t="shared" si="0"/>
        <v>40.967741935483872</v>
      </c>
      <c r="I14" s="3"/>
      <c r="J14" s="3"/>
      <c r="K14" s="3"/>
      <c r="L14" s="3"/>
      <c r="M14" s="3">
        <f>SUM(表2_2[[#This Row],[吃饭]:[学习阅读]])</f>
        <v>118.66774193548387</v>
      </c>
      <c r="N14" s="3">
        <f>表2_2[[#This Row],[合计]]-表2_2[[#This Row],[房租]]-表2_2[[#This Row],[水电话费]]</f>
        <v>77.7</v>
      </c>
    </row>
    <row r="15" spans="1:16" x14ac:dyDescent="0.3">
      <c r="A15" s="1">
        <v>45152</v>
      </c>
      <c r="B15" s="3">
        <f>3.8+12.9+41.2+17.89+2</f>
        <v>77.790000000000006</v>
      </c>
      <c r="C15" s="3">
        <v>7.5</v>
      </c>
      <c r="D15" s="3"/>
      <c r="E15" s="3"/>
      <c r="F15" s="3"/>
      <c r="G15" s="3"/>
      <c r="H15" s="3">
        <f t="shared" si="0"/>
        <v>40.967741935483872</v>
      </c>
      <c r="I15" s="3"/>
      <c r="J15" s="3"/>
      <c r="K15" s="3"/>
      <c r="L15" s="3"/>
      <c r="M15" s="3">
        <f>SUM(表2_2[[#This Row],[吃饭]:[学习阅读]])</f>
        <v>126.25774193548388</v>
      </c>
      <c r="N15" s="3">
        <f>表2_2[[#This Row],[合计]]-表2_2[[#This Row],[房租]]-表2_2[[#This Row],[水电话费]]</f>
        <v>85.29</v>
      </c>
    </row>
    <row r="16" spans="1:16" x14ac:dyDescent="0.3">
      <c r="A16" s="1">
        <v>45153</v>
      </c>
      <c r="B16" s="3">
        <v>11.8</v>
      </c>
      <c r="C16" s="3">
        <v>3</v>
      </c>
      <c r="D16" s="3"/>
      <c r="E16" s="3"/>
      <c r="F16" s="3"/>
      <c r="G16" s="3">
        <v>8.5</v>
      </c>
      <c r="H16" s="3">
        <f t="shared" si="0"/>
        <v>40.967741935483872</v>
      </c>
      <c r="I16" s="3"/>
      <c r="J16" s="3"/>
      <c r="K16" s="3"/>
      <c r="L16" s="3"/>
      <c r="M16" s="3">
        <f>SUM(表2_2[[#This Row],[吃饭]:[学习阅读]])</f>
        <v>64.267741935483869</v>
      </c>
      <c r="N16" s="3">
        <f>表2_2[[#This Row],[合计]]-表2_2[[#This Row],[房租]]-表2_2[[#This Row],[水电话费]]</f>
        <v>23.299999999999997</v>
      </c>
    </row>
    <row r="17" spans="1:14" x14ac:dyDescent="0.3">
      <c r="A17" s="1">
        <v>45154</v>
      </c>
      <c r="B17" s="3">
        <f>7.4+21.7+2.5</f>
        <v>31.6</v>
      </c>
      <c r="C17" s="3">
        <v>8</v>
      </c>
      <c r="D17" s="3"/>
      <c r="E17" s="3"/>
      <c r="F17" s="3"/>
      <c r="G17" s="3"/>
      <c r="H17" s="3">
        <f t="shared" si="0"/>
        <v>40.967741935483872</v>
      </c>
      <c r="I17" s="3"/>
      <c r="J17" s="3"/>
      <c r="K17" s="3"/>
      <c r="L17" s="3"/>
      <c r="M17" s="3">
        <f>SUM(表2_2[[#This Row],[吃饭]:[学习阅读]])</f>
        <v>80.567741935483866</v>
      </c>
      <c r="N17" s="3">
        <f>表2_2[[#This Row],[合计]]-表2_2[[#This Row],[房租]]-表2_2[[#This Row],[水电话费]]</f>
        <v>39.599999999999994</v>
      </c>
    </row>
    <row r="18" spans="1:14" x14ac:dyDescent="0.3">
      <c r="A18" s="1">
        <v>45155</v>
      </c>
      <c r="B18" s="3">
        <v>16.8</v>
      </c>
      <c r="C18" s="3">
        <v>5</v>
      </c>
      <c r="D18" s="3"/>
      <c r="E18" s="3"/>
      <c r="F18" s="3"/>
      <c r="G18" s="3"/>
      <c r="H18" s="3">
        <f t="shared" si="0"/>
        <v>40.967741935483872</v>
      </c>
      <c r="I18" s="3"/>
      <c r="J18" s="3"/>
      <c r="K18" s="3"/>
      <c r="L18" s="3"/>
      <c r="M18" s="3">
        <f>SUM(表2_2[[#This Row],[吃饭]:[学习阅读]])</f>
        <v>62.767741935483869</v>
      </c>
      <c r="N18" s="3">
        <f>表2_2[[#This Row],[合计]]-表2_2[[#This Row],[房租]]-表2_2[[#This Row],[水电话费]]</f>
        <v>21.799999999999997</v>
      </c>
    </row>
    <row r="19" spans="1:14" x14ac:dyDescent="0.3">
      <c r="A19" s="1">
        <v>45156</v>
      </c>
      <c r="B19" s="3">
        <f>7.3+27.4+23.9</f>
        <v>58.599999999999994</v>
      </c>
      <c r="C19" s="3">
        <v>5.5</v>
      </c>
      <c r="D19" s="3"/>
      <c r="E19" s="3"/>
      <c r="F19" s="3"/>
      <c r="G19" s="3"/>
      <c r="H19" s="3">
        <f t="shared" si="0"/>
        <v>40.967741935483872</v>
      </c>
      <c r="I19" s="3"/>
      <c r="J19" s="3"/>
      <c r="K19" s="3"/>
      <c r="L19" s="3"/>
      <c r="M19" s="3">
        <f>SUM(表2_2[[#This Row],[吃饭]:[学习阅读]])</f>
        <v>105.06774193548387</v>
      </c>
      <c r="N19" s="3">
        <f>表2_2[[#This Row],[合计]]-表2_2[[#This Row],[房租]]-表2_2[[#This Row],[水电话费]]</f>
        <v>64.099999999999994</v>
      </c>
    </row>
    <row r="20" spans="1:14" x14ac:dyDescent="0.3">
      <c r="A20" s="1">
        <v>45157</v>
      </c>
      <c r="B20" s="3">
        <f>93+10+8+46</f>
        <v>157</v>
      </c>
      <c r="C20" s="3"/>
      <c r="D20" s="3">
        <f>14.9+19+38+93+10+8.9+46</f>
        <v>229.8</v>
      </c>
      <c r="E20" s="3">
        <v>80</v>
      </c>
      <c r="F20" s="3"/>
      <c r="G20" s="3"/>
      <c r="H20" s="3">
        <f t="shared" si="0"/>
        <v>40.967741935483872</v>
      </c>
      <c r="I20" s="3"/>
      <c r="J20" s="3"/>
      <c r="K20" s="3"/>
      <c r="L20" s="3"/>
      <c r="M20" s="3">
        <f>SUM(表2_2[[#This Row],[吃饭]:[学习阅读]])</f>
        <v>507.76774193548385</v>
      </c>
      <c r="N20" s="3">
        <f>表2_2[[#This Row],[合计]]-表2_2[[#This Row],[房租]]-表2_2[[#This Row],[水电话费]]</f>
        <v>466.79999999999995</v>
      </c>
    </row>
    <row r="21" spans="1:14" x14ac:dyDescent="0.3">
      <c r="A21" s="1">
        <v>45158</v>
      </c>
      <c r="B21" s="3">
        <f>9+5+12+15+15</f>
        <v>56</v>
      </c>
      <c r="C21" s="3"/>
      <c r="D21" s="3">
        <f>9+5+12+15+15</f>
        <v>56</v>
      </c>
      <c r="E21" s="3"/>
      <c r="F21" s="3"/>
      <c r="G21" s="3"/>
      <c r="H21" s="3">
        <f t="shared" si="0"/>
        <v>40.967741935483872</v>
      </c>
      <c r="I21" s="3"/>
      <c r="J21" s="3"/>
      <c r="K21" s="3"/>
      <c r="L21" s="3"/>
      <c r="M21" s="3">
        <f>SUM(表2_2[[#This Row],[吃饭]:[学习阅读]])</f>
        <v>152.96774193548387</v>
      </c>
      <c r="N21" s="3">
        <f>表2_2[[#This Row],[合计]]-表2_2[[#This Row],[房租]]-表2_2[[#This Row],[水电话费]]</f>
        <v>112</v>
      </c>
    </row>
    <row r="22" spans="1:14" x14ac:dyDescent="0.3">
      <c r="A22" s="1">
        <v>45159</v>
      </c>
      <c r="B22" s="3">
        <f>6+18+5</f>
        <v>29</v>
      </c>
      <c r="C22" s="3"/>
      <c r="D22" s="3">
        <f>6+18+13</f>
        <v>37</v>
      </c>
      <c r="E22" s="3">
        <v>9</v>
      </c>
      <c r="F22" s="3"/>
      <c r="G22" s="3"/>
      <c r="H22" s="3">
        <f t="shared" si="0"/>
        <v>40.967741935483872</v>
      </c>
      <c r="I22" s="3"/>
      <c r="J22" s="3"/>
      <c r="K22" s="3"/>
      <c r="L22" s="3"/>
      <c r="M22" s="3">
        <f>SUM(表2_2[[#This Row],[吃饭]:[学习阅读]])</f>
        <v>115.96774193548387</v>
      </c>
      <c r="N22" s="3">
        <f>表2_2[[#This Row],[合计]]-表2_2[[#This Row],[房租]]-表2_2[[#This Row],[水电话费]]</f>
        <v>75</v>
      </c>
    </row>
    <row r="23" spans="1:14" x14ac:dyDescent="0.3">
      <c r="A23" s="1">
        <v>45160</v>
      </c>
      <c r="B23" s="3">
        <f>8.3+15</f>
        <v>23.3</v>
      </c>
      <c r="C23" s="3">
        <f>2+3</f>
        <v>5</v>
      </c>
      <c r="D23" s="3">
        <v>18.5</v>
      </c>
      <c r="E23" s="3"/>
      <c r="F23" s="3">
        <v>27.23</v>
      </c>
      <c r="G23" s="3"/>
      <c r="H23" s="3">
        <f t="shared" si="0"/>
        <v>40.967741935483872</v>
      </c>
      <c r="I23" s="3"/>
      <c r="J23" s="3"/>
      <c r="K23" s="3"/>
      <c r="L23" s="3"/>
      <c r="M23" s="3">
        <f>SUM(表2_2[[#This Row],[吃饭]:[学习阅读]])</f>
        <v>114.99774193548387</v>
      </c>
      <c r="N23" s="3">
        <f>表2_2[[#This Row],[合计]]-表2_2[[#This Row],[房租]]-表2_2[[#This Row],[水电话费]]</f>
        <v>74.03</v>
      </c>
    </row>
    <row r="24" spans="1:14" x14ac:dyDescent="0.3">
      <c r="A24" s="1">
        <v>45161</v>
      </c>
      <c r="B24" s="3">
        <f>3.9+23.3+4+3</f>
        <v>34.200000000000003</v>
      </c>
      <c r="C24" s="3">
        <v>5</v>
      </c>
      <c r="D24" s="3"/>
      <c r="E24" s="3"/>
      <c r="F24" s="3"/>
      <c r="G24" s="3"/>
      <c r="H24" s="3">
        <f t="shared" si="0"/>
        <v>40.967741935483872</v>
      </c>
      <c r="I24" s="3"/>
      <c r="J24" s="3"/>
      <c r="K24" s="3"/>
      <c r="L24" s="3"/>
      <c r="M24" s="3">
        <f>SUM(表2_2[[#This Row],[吃饭]:[学习阅读]])</f>
        <v>80.167741935483875</v>
      </c>
      <c r="N24" s="3">
        <f>表2_2[[#This Row],[合计]]-表2_2[[#This Row],[房租]]-表2_2[[#This Row],[水电话费]]</f>
        <v>39.200000000000003</v>
      </c>
    </row>
    <row r="25" spans="1:14" x14ac:dyDescent="0.3">
      <c r="A25" s="1">
        <v>45162</v>
      </c>
      <c r="B25" s="3">
        <f>1.5+4+2+32.3+20</f>
        <v>59.8</v>
      </c>
      <c r="C25" s="3">
        <v>8</v>
      </c>
      <c r="D25" s="3"/>
      <c r="E25" s="3"/>
      <c r="F25" s="3"/>
      <c r="G25" s="3"/>
      <c r="H25" s="3">
        <f t="shared" si="0"/>
        <v>40.967741935483872</v>
      </c>
      <c r="I25" s="3"/>
      <c r="J25" s="3"/>
      <c r="K25" s="3"/>
      <c r="L25" s="3">
        <v>450</v>
      </c>
      <c r="M25" s="3">
        <f>SUM(表2_2[[#This Row],[吃饭]:[学习阅读]])</f>
        <v>558.76774193548385</v>
      </c>
      <c r="N25" s="3">
        <f>表2_2[[#This Row],[合计]]-表2_2[[#This Row],[房租]]-表2_2[[#This Row],[水电话费]]</f>
        <v>517.79999999999995</v>
      </c>
    </row>
    <row r="26" spans="1:14" x14ac:dyDescent="0.3">
      <c r="A26" s="1">
        <v>45163</v>
      </c>
      <c r="B26" s="3">
        <f>2.8+3+13.9</f>
        <v>19.7</v>
      </c>
      <c r="C26" s="3"/>
      <c r="D26" s="3"/>
      <c r="E26" s="3"/>
      <c r="F26" s="3"/>
      <c r="G26" s="3"/>
      <c r="H26" s="3">
        <f t="shared" si="0"/>
        <v>40.967741935483872</v>
      </c>
      <c r="I26" s="3"/>
      <c r="J26" s="3"/>
      <c r="K26" s="3"/>
      <c r="L26" s="3"/>
      <c r="M26" s="3">
        <f>SUM(表2_2[[#This Row],[吃饭]:[学习阅读]])</f>
        <v>60.667741935483875</v>
      </c>
      <c r="N26" s="3">
        <f>表2_2[[#This Row],[合计]]-表2_2[[#This Row],[房租]]-表2_2[[#This Row],[水电话费]]</f>
        <v>19.700000000000003</v>
      </c>
    </row>
    <row r="27" spans="1:14" x14ac:dyDescent="0.3">
      <c r="A27" s="1">
        <v>45164</v>
      </c>
      <c r="B27" s="3">
        <v>20.9</v>
      </c>
      <c r="C27" s="3">
        <v>45</v>
      </c>
      <c r="D27" s="3"/>
      <c r="E27" s="3"/>
      <c r="F27" s="3"/>
      <c r="G27" s="3"/>
      <c r="H27" s="3">
        <f t="shared" si="0"/>
        <v>40.967741935483872</v>
      </c>
      <c r="I27" s="3"/>
      <c r="J27" s="3"/>
      <c r="K27" s="3"/>
      <c r="L27" s="3"/>
      <c r="M27" s="3">
        <f>SUM(表2_2[[#This Row],[吃饭]:[学习阅读]])</f>
        <v>106.86774193548388</v>
      </c>
      <c r="N27" s="3">
        <f>表2_2[[#This Row],[合计]]-表2_2[[#This Row],[房租]]-表2_2[[#This Row],[水电话费]]</f>
        <v>65.900000000000006</v>
      </c>
    </row>
    <row r="28" spans="1:14" x14ac:dyDescent="0.3">
      <c r="A28" s="1">
        <v>45165</v>
      </c>
      <c r="B28" s="3">
        <v>15</v>
      </c>
      <c r="C28" s="3"/>
      <c r="D28" s="3">
        <v>17.12</v>
      </c>
      <c r="E28" s="3"/>
      <c r="F28" s="3"/>
      <c r="G28" s="3"/>
      <c r="H28" s="3">
        <f t="shared" si="0"/>
        <v>40.967741935483872</v>
      </c>
      <c r="I28" s="3"/>
      <c r="J28" s="3"/>
      <c r="K28" s="3"/>
      <c r="L28" s="3"/>
      <c r="M28" s="3">
        <f>SUM(表2_2[[#This Row],[吃饭]:[学习阅读]])</f>
        <v>73.087741935483876</v>
      </c>
      <c r="N28" s="3">
        <f>表2_2[[#This Row],[合计]]-表2_2[[#This Row],[房租]]-表2_2[[#This Row],[水电话费]]</f>
        <v>32.120000000000005</v>
      </c>
    </row>
    <row r="29" spans="1:14" x14ac:dyDescent="0.3">
      <c r="A29" s="1">
        <v>45166</v>
      </c>
      <c r="B29" s="3">
        <v>45</v>
      </c>
      <c r="C29" s="3">
        <v>6</v>
      </c>
      <c r="D29" s="3"/>
      <c r="E29" s="3"/>
      <c r="F29" s="3"/>
      <c r="G29" s="3"/>
      <c r="H29" s="3">
        <f t="shared" si="0"/>
        <v>40.967741935483872</v>
      </c>
      <c r="I29" s="3"/>
      <c r="J29" s="3"/>
      <c r="K29" s="3"/>
      <c r="L29" s="3"/>
      <c r="M29" s="3">
        <f>SUM(表2_2[[#This Row],[吃饭]:[学习阅读]])</f>
        <v>91.967741935483872</v>
      </c>
      <c r="N29" s="3">
        <f>表2_2[[#This Row],[合计]]-表2_2[[#This Row],[房租]]-表2_2[[#This Row],[水电话费]]</f>
        <v>51</v>
      </c>
    </row>
    <row r="30" spans="1:14" x14ac:dyDescent="0.3">
      <c r="A30" s="1">
        <v>45167</v>
      </c>
      <c r="B30" s="3">
        <f>5.8+12.9+4+23.3</f>
        <v>46</v>
      </c>
      <c r="C30" s="3"/>
      <c r="D30" s="3">
        <v>23</v>
      </c>
      <c r="E30" s="3"/>
      <c r="F30" s="3"/>
      <c r="G30" s="3"/>
      <c r="H30" s="3">
        <f t="shared" si="0"/>
        <v>40.967741935483872</v>
      </c>
      <c r="I30" s="3"/>
      <c r="J30" s="3"/>
      <c r="K30" s="3"/>
      <c r="L30" s="3"/>
      <c r="M30" s="3">
        <f>SUM(表2_2[[#This Row],[吃饭]:[学习阅读]])</f>
        <v>109.96774193548387</v>
      </c>
      <c r="N30" s="3">
        <f>表2_2[[#This Row],[合计]]-表2_2[[#This Row],[房租]]-表2_2[[#This Row],[水电话费]]</f>
        <v>69</v>
      </c>
    </row>
    <row r="31" spans="1:14" x14ac:dyDescent="0.3">
      <c r="A31" s="1">
        <v>45168</v>
      </c>
      <c r="B31" s="3">
        <v>25</v>
      </c>
      <c r="C31" s="3">
        <v>9.9</v>
      </c>
      <c r="D31" s="3">
        <v>5</v>
      </c>
      <c r="E31" s="3"/>
      <c r="F31" s="3">
        <v>16</v>
      </c>
      <c r="G31" s="3"/>
      <c r="H31" s="3">
        <f t="shared" si="0"/>
        <v>40.967741935483872</v>
      </c>
      <c r="I31" s="3"/>
      <c r="J31" s="3"/>
      <c r="K31" s="3"/>
      <c r="L31" s="3"/>
      <c r="M31" s="3">
        <f>SUM(表2_2[[#This Row],[吃饭]:[学习阅读]])</f>
        <v>96.867741935483878</v>
      </c>
      <c r="N31" s="3">
        <f>表2_2[[#This Row],[合计]]-表2_2[[#This Row],[房租]]-表2_2[[#This Row],[水电话费]]</f>
        <v>55.900000000000006</v>
      </c>
    </row>
    <row r="32" spans="1:14" x14ac:dyDescent="0.3">
      <c r="A32" s="1">
        <v>45169</v>
      </c>
      <c r="B32" s="3">
        <f>8+13.9</f>
        <v>21.9</v>
      </c>
      <c r="C32" s="3">
        <v>5</v>
      </c>
      <c r="D32" s="3"/>
      <c r="E32" s="3">
        <v>19.899999999999999</v>
      </c>
      <c r="F32" s="3"/>
      <c r="G32" s="3"/>
      <c r="H32" s="3">
        <f t="shared" si="0"/>
        <v>40.967741935483872</v>
      </c>
      <c r="I32" s="3"/>
      <c r="J32" s="3"/>
      <c r="K32" s="3"/>
      <c r="L32" s="3"/>
      <c r="M32" s="3">
        <f>SUM(表2_2[[#This Row],[吃饭]:[学习阅读]])</f>
        <v>87.767741935483869</v>
      </c>
      <c r="N32" s="3">
        <f>表2_2[[#This Row],[合计]]-表2_2[[#This Row],[房租]]-表2_2[[#This Row],[水电话费]]</f>
        <v>46.8</v>
      </c>
    </row>
    <row r="33" spans="1:14" ht="37.25" customHeight="1" x14ac:dyDescent="0.3">
      <c r="A33" s="7" t="s">
        <v>11</v>
      </c>
      <c r="B33" s="3">
        <f>SUM(B2:B31)</f>
        <v>1130.04</v>
      </c>
      <c r="C33" s="3">
        <f t="shared" ref="C33:I33" si="1">SUM(C2:C32)</f>
        <v>219.77</v>
      </c>
      <c r="D33" s="3">
        <f>SUM(D2:D32)</f>
        <v>913.5200000000001</v>
      </c>
      <c r="E33" s="3">
        <f t="shared" si="1"/>
        <v>323.20999999999992</v>
      </c>
      <c r="F33" s="3">
        <f>SUM(F2:F32)</f>
        <v>82.89</v>
      </c>
      <c r="G33" s="3">
        <f t="shared" si="1"/>
        <v>8.5</v>
      </c>
      <c r="H33" s="3">
        <f t="shared" si="1"/>
        <v>1270.0000000000007</v>
      </c>
      <c r="I33" s="3">
        <f t="shared" si="1"/>
        <v>134</v>
      </c>
      <c r="J33" s="3">
        <f>SUM(J2:J32)</f>
        <v>0</v>
      </c>
      <c r="K33" s="3">
        <f>SUM(K2:K32)</f>
        <v>0</v>
      </c>
      <c r="L33" s="3">
        <f>SUM(L2:L32)</f>
        <v>450</v>
      </c>
      <c r="M33" s="5">
        <f>SUM(M2:M32)</f>
        <v>4553.8300000000008</v>
      </c>
      <c r="N33" s="3">
        <f>表2_2[[#This Row],[合计]]-表2_2[[#This Row],[房租]]-表2_2[[#This Row],[水电话费]]</f>
        <v>3149.83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4531.93</v>
      </c>
      <c r="M34" s="3"/>
    </row>
    <row r="41" spans="1:14" x14ac:dyDescent="0.3">
      <c r="K41" s="3"/>
    </row>
  </sheetData>
  <phoneticPr fontId="1" type="noConversion"/>
  <conditionalFormatting sqref="N2:N32">
    <cfRule type="cellIs" dxfId="4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53F-0F55-4394-A33F-6D490E20FFA3}">
  <dimension ref="A1:P33"/>
  <sheetViews>
    <sheetView zoomScaleNormal="100" workbookViewId="0">
      <selection activeCell="M2" sqref="M2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45170</v>
      </c>
      <c r="B2" s="3">
        <f>14+105+3+25</f>
        <v>147</v>
      </c>
      <c r="C2" s="3">
        <v>2</v>
      </c>
      <c r="D2" s="3"/>
      <c r="E2" s="3">
        <f>13.1+5</f>
        <v>18.100000000000001</v>
      </c>
      <c r="F2" s="3"/>
      <c r="G2" s="3"/>
      <c r="H2" s="3">
        <f>1366.66/30</f>
        <v>45.555333333333337</v>
      </c>
      <c r="I2" s="3">
        <v>80</v>
      </c>
      <c r="J2" s="3"/>
      <c r="K2" s="3"/>
      <c r="L2" s="3"/>
      <c r="M2" s="3">
        <f>SUM(表2_24[[#This Row],[吃饭]:[学习阅读]])</f>
        <v>292.65533333333332</v>
      </c>
      <c r="N2" s="3">
        <f>表2_24[[#This Row],[合计]]-表2_24[[#This Row],[房租]]-表2_24[[#This Row],[水电话费]]</f>
        <v>167.09999999999997</v>
      </c>
    </row>
    <row r="3" spans="1:16" x14ac:dyDescent="0.3">
      <c r="A3" s="1">
        <v>45171</v>
      </c>
      <c r="B3" s="3">
        <v>22.4</v>
      </c>
      <c r="C3" s="3"/>
      <c r="D3" s="3">
        <v>24.58</v>
      </c>
      <c r="E3" s="3"/>
      <c r="F3" s="3"/>
      <c r="G3" s="3">
        <v>6.5</v>
      </c>
      <c r="H3" s="3">
        <f t="shared" ref="H3:H31" si="0">1366.66/30</f>
        <v>45.555333333333337</v>
      </c>
      <c r="I3" s="3"/>
      <c r="J3" s="3"/>
      <c r="K3" s="3"/>
      <c r="L3" s="3"/>
      <c r="M3" s="3">
        <f>SUM(表2_24[[#This Row],[吃饭]:[学习阅读]])</f>
        <v>99.035333333333341</v>
      </c>
      <c r="N3" s="3">
        <f>表2_24[[#This Row],[合计]]-表2_24[[#This Row],[房租]]-表2_24[[#This Row],[水电话费]]</f>
        <v>53.480000000000004</v>
      </c>
    </row>
    <row r="4" spans="1:16" x14ac:dyDescent="0.3">
      <c r="A4" s="1">
        <v>45172</v>
      </c>
      <c r="B4" s="3">
        <v>35</v>
      </c>
      <c r="C4" s="3">
        <v>13</v>
      </c>
      <c r="D4" s="3"/>
      <c r="E4" s="3">
        <v>30</v>
      </c>
      <c r="F4" s="3"/>
      <c r="G4" s="3"/>
      <c r="H4" s="3">
        <f t="shared" si="0"/>
        <v>45.555333333333337</v>
      </c>
      <c r="I4" s="3"/>
      <c r="J4" s="3"/>
      <c r="K4" s="3"/>
      <c r="L4" s="3"/>
      <c r="M4" s="3">
        <f>SUM(表2_24[[#This Row],[吃饭]:[学习阅读]])</f>
        <v>123.55533333333334</v>
      </c>
      <c r="N4" s="3">
        <f>表2_24[[#This Row],[合计]]-表2_24[[#This Row],[房租]]-表2_24[[#This Row],[水电话费]]</f>
        <v>78</v>
      </c>
    </row>
    <row r="5" spans="1:16" x14ac:dyDescent="0.3">
      <c r="A5" s="1">
        <v>45173</v>
      </c>
      <c r="B5" s="3">
        <v>17.03</v>
      </c>
      <c r="C5" s="3">
        <v>5</v>
      </c>
      <c r="D5" s="3"/>
      <c r="E5" s="3"/>
      <c r="F5" s="3"/>
      <c r="G5" s="3"/>
      <c r="H5" s="3">
        <f t="shared" si="0"/>
        <v>45.555333333333337</v>
      </c>
      <c r="I5" s="3"/>
      <c r="J5" s="3"/>
      <c r="K5" s="3"/>
      <c r="L5" s="3"/>
      <c r="M5" s="3">
        <f>SUM(表2_24[[#This Row],[吃饭]:[学习阅读]])</f>
        <v>67.585333333333338</v>
      </c>
      <c r="N5" s="3">
        <f>表2_24[[#This Row],[合计]]-表2_24[[#This Row],[房租]]-表2_24[[#This Row],[水电话费]]</f>
        <v>22.03</v>
      </c>
    </row>
    <row r="6" spans="1:16" x14ac:dyDescent="0.3">
      <c r="A6" s="1">
        <v>45174</v>
      </c>
      <c r="B6" s="3">
        <f>14+12</f>
        <v>26</v>
      </c>
      <c r="C6" s="3"/>
      <c r="D6" s="3"/>
      <c r="E6" s="3">
        <v>15</v>
      </c>
      <c r="F6" s="3">
        <v>13.33</v>
      </c>
      <c r="G6" s="3"/>
      <c r="H6" s="3">
        <f t="shared" si="0"/>
        <v>45.555333333333337</v>
      </c>
      <c r="I6" s="3"/>
      <c r="J6" s="3"/>
      <c r="K6" s="3"/>
      <c r="L6" s="3"/>
      <c r="M6" s="3">
        <f>SUM(表2_24[[#This Row],[吃饭]:[学习阅读]])</f>
        <v>99.885333333333335</v>
      </c>
      <c r="N6" s="3">
        <f>表2_24[[#This Row],[合计]]-表2_24[[#This Row],[房租]]-表2_24[[#This Row],[水电话费]]</f>
        <v>54.33</v>
      </c>
    </row>
    <row r="7" spans="1:16" x14ac:dyDescent="0.3">
      <c r="A7" s="1">
        <v>45175</v>
      </c>
      <c r="B7" s="3">
        <f>9.5+8</f>
        <v>17.5</v>
      </c>
      <c r="C7" s="3"/>
      <c r="D7" s="3"/>
      <c r="E7" s="3">
        <v>9.5399999999999991</v>
      </c>
      <c r="F7" s="3"/>
      <c r="G7" s="3"/>
      <c r="H7" s="3">
        <f t="shared" si="0"/>
        <v>45.555333333333337</v>
      </c>
      <c r="I7" s="3"/>
      <c r="J7" s="3"/>
      <c r="K7" s="3"/>
      <c r="L7" s="3"/>
      <c r="M7" s="3">
        <f>SUM(表2_24[[#This Row],[吃饭]:[学习阅读]])</f>
        <v>72.595333333333343</v>
      </c>
      <c r="N7" s="3">
        <f>表2_24[[#This Row],[合计]]-表2_24[[#This Row],[房租]]-表2_24[[#This Row],[水电话费]]</f>
        <v>27.040000000000006</v>
      </c>
    </row>
    <row r="8" spans="1:16" x14ac:dyDescent="0.3">
      <c r="A8" s="1">
        <v>45176</v>
      </c>
      <c r="B8" s="3">
        <v>39</v>
      </c>
      <c r="C8" s="3"/>
      <c r="D8" s="3"/>
      <c r="E8" s="3"/>
      <c r="F8" s="3">
        <v>16</v>
      </c>
      <c r="G8" s="3"/>
      <c r="H8" s="3">
        <f t="shared" si="0"/>
        <v>45.555333333333337</v>
      </c>
      <c r="I8" s="3"/>
      <c r="J8" s="3"/>
      <c r="K8" s="3"/>
      <c r="L8" s="3"/>
      <c r="M8" s="3">
        <f>SUM(表2_24[[#This Row],[吃饭]:[学习阅读]])</f>
        <v>100.55533333333334</v>
      </c>
      <c r="N8" s="3">
        <f>表2_24[[#This Row],[合计]]-表2_24[[#This Row],[房租]]-表2_24[[#This Row],[水电话费]]</f>
        <v>55</v>
      </c>
    </row>
    <row r="9" spans="1:16" x14ac:dyDescent="0.3">
      <c r="A9" s="1">
        <v>45177</v>
      </c>
      <c r="B9" s="3">
        <f>23.9+9.8+6.9</f>
        <v>40.6</v>
      </c>
      <c r="C9" s="3">
        <v>2</v>
      </c>
      <c r="D9" s="3"/>
      <c r="E9" s="3"/>
      <c r="F9" s="3"/>
      <c r="G9" s="3"/>
      <c r="H9" s="3">
        <f t="shared" si="0"/>
        <v>45.555333333333337</v>
      </c>
      <c r="I9" s="3"/>
      <c r="J9" s="3"/>
      <c r="K9" s="3">
        <v>20</v>
      </c>
      <c r="L9" s="3"/>
      <c r="M9" s="3">
        <f>SUM(表2_24[[#This Row],[吃饭]:[学习阅读]])</f>
        <v>108.15533333333335</v>
      </c>
      <c r="N9" s="3">
        <f>表2_24[[#This Row],[合计]]-表2_24[[#This Row],[房租]]-表2_24[[#This Row],[水电话费]]</f>
        <v>62.600000000000009</v>
      </c>
    </row>
    <row r="10" spans="1:16" x14ac:dyDescent="0.3">
      <c r="A10" s="1">
        <v>45178</v>
      </c>
      <c r="B10" s="3">
        <v>35</v>
      </c>
      <c r="C10" s="3"/>
      <c r="D10" s="3"/>
      <c r="E10" s="3"/>
      <c r="F10" s="3"/>
      <c r="G10" s="3"/>
      <c r="H10" s="3">
        <f t="shared" si="0"/>
        <v>45.555333333333337</v>
      </c>
      <c r="I10" s="3"/>
      <c r="J10" s="3"/>
      <c r="K10" s="3"/>
      <c r="L10" s="3"/>
      <c r="M10" s="3">
        <f>SUM(表2_24[[#This Row],[吃饭]:[学习阅读]])</f>
        <v>80.555333333333337</v>
      </c>
      <c r="N10" s="3">
        <f>表2_24[[#This Row],[合计]]-表2_24[[#This Row],[房租]]-表2_24[[#This Row],[水电话费]]</f>
        <v>35</v>
      </c>
    </row>
    <row r="11" spans="1:16" x14ac:dyDescent="0.3">
      <c r="A11" s="1">
        <v>45179</v>
      </c>
      <c r="B11" s="3">
        <f>5+34.49</f>
        <v>39.49</v>
      </c>
      <c r="C11" s="3">
        <v>10</v>
      </c>
      <c r="D11" s="3"/>
      <c r="E11" s="3">
        <f>179.81+46.76+5.39</f>
        <v>231.95999999999998</v>
      </c>
      <c r="F11" s="3"/>
      <c r="G11" s="3">
        <v>2.5</v>
      </c>
      <c r="H11" s="3">
        <f t="shared" si="0"/>
        <v>45.555333333333337</v>
      </c>
      <c r="I11" s="3">
        <v>34</v>
      </c>
      <c r="J11" s="3"/>
      <c r="K11" s="3"/>
      <c r="L11" s="3"/>
      <c r="M11" s="3">
        <f>SUM(表2_24[[#This Row],[吃饭]:[学习阅读]])</f>
        <v>363.50533333333334</v>
      </c>
      <c r="N11" s="3">
        <f>表2_24[[#This Row],[合计]]-表2_24[[#This Row],[房租]]-表2_24[[#This Row],[水电话费]]</f>
        <v>283.95</v>
      </c>
    </row>
    <row r="12" spans="1:16" x14ac:dyDescent="0.3">
      <c r="A12" s="1">
        <v>45180</v>
      </c>
      <c r="B12" s="3">
        <f>16.6+21.99+18.8</f>
        <v>57.39</v>
      </c>
      <c r="C12" s="3"/>
      <c r="D12" s="3"/>
      <c r="E12" s="3"/>
      <c r="F12" s="3"/>
      <c r="G12" s="3"/>
      <c r="H12" s="3">
        <f t="shared" si="0"/>
        <v>45.555333333333337</v>
      </c>
      <c r="I12" s="3"/>
      <c r="J12" s="3"/>
      <c r="K12" s="3"/>
      <c r="L12" s="3"/>
      <c r="M12" s="3">
        <f>SUM(表2_24[[#This Row],[吃饭]:[学习阅读]])</f>
        <v>102.94533333333334</v>
      </c>
      <c r="N12" s="3">
        <f>表2_24[[#This Row],[合计]]-表2_24[[#This Row],[房租]]-表2_24[[#This Row],[水电话费]]</f>
        <v>57.39</v>
      </c>
      <c r="P12" s="6"/>
    </row>
    <row r="13" spans="1:16" x14ac:dyDescent="0.3">
      <c r="A13" s="1">
        <v>45181</v>
      </c>
      <c r="B13" s="3">
        <f>4+13.9</f>
        <v>17.899999999999999</v>
      </c>
      <c r="C13" s="3"/>
      <c r="D13" s="3"/>
      <c r="E13" s="3"/>
      <c r="F13" s="3"/>
      <c r="G13" s="3">
        <v>6.5</v>
      </c>
      <c r="H13" s="3">
        <f t="shared" si="0"/>
        <v>45.555333333333337</v>
      </c>
      <c r="I13" s="3"/>
      <c r="J13" s="3"/>
      <c r="K13" s="3"/>
      <c r="L13" s="3"/>
      <c r="M13" s="3">
        <f>SUM(表2_24[[#This Row],[吃饭]:[学习阅读]])</f>
        <v>69.955333333333328</v>
      </c>
      <c r="N13" s="3">
        <f>表2_24[[#This Row],[合计]]-表2_24[[#This Row],[房租]]-表2_24[[#This Row],[水电话费]]</f>
        <v>24.399999999999991</v>
      </c>
    </row>
    <row r="14" spans="1:16" x14ac:dyDescent="0.3">
      <c r="A14" s="1">
        <v>45182</v>
      </c>
      <c r="B14" s="3">
        <f>6.6+3+9.04+18.9</f>
        <v>37.54</v>
      </c>
      <c r="C14" s="3">
        <v>3</v>
      </c>
      <c r="D14" s="3"/>
      <c r="E14" s="3"/>
      <c r="F14" s="3"/>
      <c r="G14" s="3"/>
      <c r="H14" s="3">
        <f t="shared" si="0"/>
        <v>45.555333333333337</v>
      </c>
      <c r="I14" s="3"/>
      <c r="J14" s="3"/>
      <c r="K14" s="3"/>
      <c r="L14" s="3"/>
      <c r="M14" s="3">
        <f>SUM(表2_24[[#This Row],[吃饭]:[学习阅读]])</f>
        <v>86.095333333333343</v>
      </c>
      <c r="N14" s="3">
        <f>表2_24[[#This Row],[合计]]-表2_24[[#This Row],[房租]]-表2_24[[#This Row],[水电话费]]</f>
        <v>40.540000000000006</v>
      </c>
    </row>
    <row r="15" spans="1:16" x14ac:dyDescent="0.3">
      <c r="A15" s="1">
        <v>45183</v>
      </c>
      <c r="B15" s="3">
        <v>6</v>
      </c>
      <c r="C15" s="3">
        <v>4</v>
      </c>
      <c r="D15" s="3"/>
      <c r="E15" s="3"/>
      <c r="F15" s="3">
        <v>16</v>
      </c>
      <c r="G15" s="3">
        <v>6.5</v>
      </c>
      <c r="H15" s="3">
        <f t="shared" si="0"/>
        <v>45.555333333333337</v>
      </c>
      <c r="I15" s="3"/>
      <c r="J15" s="3"/>
      <c r="K15" s="3"/>
      <c r="L15" s="3"/>
      <c r="M15" s="3">
        <f>SUM(表2_24[[#This Row],[吃饭]:[学习阅读]])</f>
        <v>78.055333333333337</v>
      </c>
      <c r="N15" s="3">
        <f>表2_24[[#This Row],[合计]]-表2_24[[#This Row],[房租]]-表2_24[[#This Row],[水电话费]]</f>
        <v>32.5</v>
      </c>
    </row>
    <row r="16" spans="1:16" x14ac:dyDescent="0.3">
      <c r="A16" s="1">
        <v>45184</v>
      </c>
      <c r="B16" s="3">
        <v>6.8</v>
      </c>
      <c r="C16" s="3">
        <v>2</v>
      </c>
      <c r="D16" s="8">
        <v>450</v>
      </c>
      <c r="E16" s="3">
        <v>5.5</v>
      </c>
      <c r="F16" s="3"/>
      <c r="G16" s="3"/>
      <c r="H16" s="3">
        <f t="shared" si="0"/>
        <v>45.555333333333337</v>
      </c>
      <c r="I16" s="3"/>
      <c r="J16" s="3"/>
      <c r="K16" s="3"/>
      <c r="L16" s="3"/>
      <c r="M16" s="3">
        <f>SUM(表2_24[[#This Row],[吃饭]:[学习阅读]])</f>
        <v>509.85533333333336</v>
      </c>
      <c r="N16" s="3">
        <f>表2_24[[#This Row],[合计]]-表2_24[[#This Row],[房租]]-表2_24[[#This Row],[水电话费]]</f>
        <v>464.3</v>
      </c>
    </row>
    <row r="17" spans="1:14" x14ac:dyDescent="0.3">
      <c r="A17" s="1">
        <v>45185</v>
      </c>
      <c r="B17" s="3">
        <v>19.100000000000001</v>
      </c>
      <c r="C17" s="3">
        <v>19.2</v>
      </c>
      <c r="D17" s="3"/>
      <c r="E17" s="3">
        <v>6</v>
      </c>
      <c r="F17" s="3"/>
      <c r="G17" s="3"/>
      <c r="H17" s="3">
        <f t="shared" si="0"/>
        <v>45.555333333333337</v>
      </c>
      <c r="I17" s="3"/>
      <c r="J17" s="3"/>
      <c r="K17" s="3"/>
      <c r="L17" s="3"/>
      <c r="M17" s="3">
        <f>SUM(表2_24[[#This Row],[吃饭]:[学习阅读]])</f>
        <v>89.855333333333334</v>
      </c>
      <c r="N17" s="3">
        <f>表2_24[[#This Row],[合计]]-表2_24[[#This Row],[房租]]-表2_24[[#This Row],[水电话费]]</f>
        <v>44.3</v>
      </c>
    </row>
    <row r="18" spans="1:14" x14ac:dyDescent="0.3">
      <c r="A18" s="1">
        <v>45186</v>
      </c>
      <c r="B18" s="3">
        <f>33.6+6.3+13.8</f>
        <v>53.7</v>
      </c>
      <c r="C18" s="3">
        <v>7</v>
      </c>
      <c r="D18" s="3"/>
      <c r="E18" s="3"/>
      <c r="F18" s="3">
        <v>7</v>
      </c>
      <c r="G18" s="3"/>
      <c r="H18" s="3">
        <f t="shared" si="0"/>
        <v>45.555333333333337</v>
      </c>
      <c r="I18" s="3"/>
      <c r="J18" s="3"/>
      <c r="K18" s="3"/>
      <c r="L18" s="3"/>
      <c r="M18" s="3">
        <f>SUM(表2_24[[#This Row],[吃饭]:[学习阅读]])</f>
        <v>113.25533333333334</v>
      </c>
      <c r="N18" s="3">
        <f>表2_24[[#This Row],[合计]]-表2_24[[#This Row],[房租]]-表2_24[[#This Row],[水电话费]]</f>
        <v>67.7</v>
      </c>
    </row>
    <row r="19" spans="1:14" x14ac:dyDescent="0.3">
      <c r="A19" s="1">
        <v>45187</v>
      </c>
      <c r="B19" s="3">
        <f>7.8+2.5+1.4</f>
        <v>11.700000000000001</v>
      </c>
      <c r="C19" s="3">
        <v>2</v>
      </c>
      <c r="D19" s="3"/>
      <c r="E19" s="3"/>
      <c r="F19" s="3"/>
      <c r="G19" s="3"/>
      <c r="H19" s="3">
        <f t="shared" si="0"/>
        <v>45.555333333333337</v>
      </c>
      <c r="I19" s="3"/>
      <c r="J19" s="3"/>
      <c r="K19" s="3"/>
      <c r="L19" s="3"/>
      <c r="M19" s="3">
        <f>SUM(表2_24[[#This Row],[吃饭]:[学习阅读]])</f>
        <v>59.25533333333334</v>
      </c>
      <c r="N19" s="3">
        <f>表2_24[[#This Row],[合计]]-表2_24[[#This Row],[房租]]-表2_24[[#This Row],[水电话费]]</f>
        <v>13.700000000000003</v>
      </c>
    </row>
    <row r="20" spans="1:14" x14ac:dyDescent="0.3">
      <c r="A20" s="1">
        <v>45188</v>
      </c>
      <c r="B20" s="3">
        <f>9.5+9.5</f>
        <v>19</v>
      </c>
      <c r="C20" s="3"/>
      <c r="D20" s="3"/>
      <c r="E20" s="3"/>
      <c r="F20" s="3">
        <v>7.9</v>
      </c>
      <c r="G20" s="3"/>
      <c r="H20" s="3">
        <f t="shared" si="0"/>
        <v>45.555333333333337</v>
      </c>
      <c r="I20" s="3"/>
      <c r="J20" s="3"/>
      <c r="K20" s="3"/>
      <c r="L20" s="3"/>
      <c r="M20" s="3">
        <f>SUM(表2_24[[#This Row],[吃饭]:[学习阅读]])</f>
        <v>72.455333333333328</v>
      </c>
      <c r="N20" s="3">
        <f>表2_24[[#This Row],[合计]]-表2_24[[#This Row],[房租]]-表2_24[[#This Row],[水电话费]]</f>
        <v>26.899999999999991</v>
      </c>
    </row>
    <row r="21" spans="1:14" x14ac:dyDescent="0.3">
      <c r="A21" s="1">
        <v>45189</v>
      </c>
      <c r="B21" s="3">
        <f>9.5+9.5+13.9</f>
        <v>32.9</v>
      </c>
      <c r="C21" s="3">
        <v>7.5</v>
      </c>
      <c r="D21" s="8">
        <v>90</v>
      </c>
      <c r="E21" s="3">
        <v>90</v>
      </c>
      <c r="F21" s="3"/>
      <c r="G21" s="3"/>
      <c r="H21" s="3">
        <f t="shared" si="0"/>
        <v>45.555333333333337</v>
      </c>
      <c r="I21" s="3"/>
      <c r="J21" s="3"/>
      <c r="K21" s="3"/>
      <c r="L21" s="3"/>
      <c r="M21" s="3">
        <f>SUM(表2_24[[#This Row],[吃饭]:[学习阅读]])</f>
        <v>265.95533333333333</v>
      </c>
      <c r="N21" s="3">
        <f>表2_24[[#This Row],[合计]]-表2_24[[#This Row],[房租]]-表2_24[[#This Row],[水电话费]]</f>
        <v>220.39999999999998</v>
      </c>
    </row>
    <row r="22" spans="1:14" x14ac:dyDescent="0.3">
      <c r="A22" s="1">
        <v>45190</v>
      </c>
      <c r="B22" s="3">
        <f>7.7+5.5+22.2</f>
        <v>35.4</v>
      </c>
      <c r="C22" s="3"/>
      <c r="D22" s="8">
        <f>15+70</f>
        <v>85</v>
      </c>
      <c r="E22" s="3">
        <v>88</v>
      </c>
      <c r="F22" s="3"/>
      <c r="G22" s="3"/>
      <c r="H22" s="3">
        <f t="shared" si="0"/>
        <v>45.555333333333337</v>
      </c>
      <c r="I22" s="3"/>
      <c r="J22" s="3"/>
      <c r="K22" s="3"/>
      <c r="L22" s="3"/>
      <c r="M22" s="3">
        <f>SUM(表2_24[[#This Row],[吃饭]:[学习阅读]])</f>
        <v>253.95533333333333</v>
      </c>
      <c r="N22" s="3">
        <f>表2_24[[#This Row],[合计]]-表2_24[[#This Row],[房租]]-表2_24[[#This Row],[水电话费]]</f>
        <v>208.39999999999998</v>
      </c>
    </row>
    <row r="23" spans="1:14" x14ac:dyDescent="0.3">
      <c r="A23" s="1">
        <v>45191</v>
      </c>
      <c r="B23" s="3">
        <f>8.1+14.9+3+25</f>
        <v>51</v>
      </c>
      <c r="C23" s="3"/>
      <c r="D23" s="3">
        <v>80</v>
      </c>
      <c r="E23" s="3"/>
      <c r="F23" s="3"/>
      <c r="G23" s="3"/>
      <c r="H23" s="3">
        <f t="shared" si="0"/>
        <v>45.555333333333337</v>
      </c>
      <c r="I23" s="3"/>
      <c r="J23" s="3"/>
      <c r="K23" s="3"/>
      <c r="L23" s="3"/>
      <c r="M23" s="3">
        <f>SUM(表2_24[[#This Row],[吃饭]:[学习阅读]])</f>
        <v>176.55533333333335</v>
      </c>
      <c r="N23" s="3">
        <f>表2_24[[#This Row],[合计]]-表2_24[[#This Row],[房租]]-表2_24[[#This Row],[水电话费]]</f>
        <v>131</v>
      </c>
    </row>
    <row r="24" spans="1:14" x14ac:dyDescent="0.3">
      <c r="A24" s="1">
        <v>45192</v>
      </c>
      <c r="B24" s="3">
        <f>17.6+14</f>
        <v>31.6</v>
      </c>
      <c r="C24" s="3"/>
      <c r="D24" s="3">
        <v>23.9</v>
      </c>
      <c r="E24" s="3"/>
      <c r="F24" s="3"/>
      <c r="G24" s="3"/>
      <c r="H24" s="3">
        <f t="shared" si="0"/>
        <v>45.555333333333337</v>
      </c>
      <c r="I24" s="3"/>
      <c r="J24" s="3"/>
      <c r="K24" s="3"/>
      <c r="L24" s="3"/>
      <c r="M24" s="3">
        <f>SUM(表2_24[[#This Row],[吃饭]:[学习阅读]])</f>
        <v>101.05533333333334</v>
      </c>
      <c r="N24" s="3">
        <f>表2_24[[#This Row],[合计]]-表2_24[[#This Row],[房租]]-表2_24[[#This Row],[水电话费]]</f>
        <v>55.5</v>
      </c>
    </row>
    <row r="25" spans="1:14" x14ac:dyDescent="0.3">
      <c r="A25" s="1">
        <v>45193</v>
      </c>
      <c r="B25" s="3">
        <v>3</v>
      </c>
      <c r="C25" s="3"/>
      <c r="D25" s="3"/>
      <c r="E25" s="3">
        <v>35</v>
      </c>
      <c r="F25" s="3"/>
      <c r="G25" s="3"/>
      <c r="H25" s="3">
        <f t="shared" si="0"/>
        <v>45.555333333333337</v>
      </c>
      <c r="I25" s="3"/>
      <c r="J25" s="3"/>
      <c r="K25" s="3"/>
      <c r="L25" s="3"/>
      <c r="M25" s="3">
        <f>SUM(表2_24[[#This Row],[吃饭]:[学习阅读]])</f>
        <v>83.555333333333337</v>
      </c>
      <c r="N25" s="3">
        <f>表2_24[[#This Row],[合计]]-表2_24[[#This Row],[房租]]-表2_24[[#This Row],[水电话费]]</f>
        <v>38</v>
      </c>
    </row>
    <row r="26" spans="1:14" x14ac:dyDescent="0.3">
      <c r="A26" s="1">
        <v>45194</v>
      </c>
      <c r="B26" s="3">
        <v>19.5</v>
      </c>
      <c r="C26" s="3"/>
      <c r="D26" s="3"/>
      <c r="E26" s="3"/>
      <c r="F26" s="3"/>
      <c r="G26" s="3"/>
      <c r="H26" s="3">
        <f t="shared" si="0"/>
        <v>45.555333333333337</v>
      </c>
      <c r="I26" s="3"/>
      <c r="J26" s="3"/>
      <c r="K26" s="3"/>
      <c r="L26" s="3"/>
      <c r="M26" s="3">
        <f>SUM(表2_24[[#This Row],[吃饭]:[学习阅读]])</f>
        <v>65.055333333333337</v>
      </c>
      <c r="N26" s="3">
        <f>表2_24[[#This Row],[合计]]-表2_24[[#This Row],[房租]]-表2_24[[#This Row],[水电话费]]</f>
        <v>19.5</v>
      </c>
    </row>
    <row r="27" spans="1:14" x14ac:dyDescent="0.3">
      <c r="A27" s="1">
        <v>45195</v>
      </c>
      <c r="B27" s="3">
        <f>257.59/2</f>
        <v>128.79499999999999</v>
      </c>
      <c r="C27" s="3"/>
      <c r="D27" s="3">
        <f>表2_24[[#This Row],[吃饭]]</f>
        <v>128.79499999999999</v>
      </c>
      <c r="E27" s="3"/>
      <c r="F27" s="3"/>
      <c r="G27" s="3"/>
      <c r="H27" s="3">
        <f t="shared" si="0"/>
        <v>45.555333333333337</v>
      </c>
      <c r="I27" s="3"/>
      <c r="J27" s="3"/>
      <c r="K27" s="3"/>
      <c r="L27" s="3"/>
      <c r="M27" s="3">
        <f>SUM(表2_24[[#This Row],[吃饭]:[学习阅读]])</f>
        <v>303.14533333333333</v>
      </c>
      <c r="N27" s="3">
        <f>表2_24[[#This Row],[合计]]-表2_24[[#This Row],[房租]]-表2_24[[#This Row],[水电话费]]</f>
        <v>257.58999999999997</v>
      </c>
    </row>
    <row r="28" spans="1:14" x14ac:dyDescent="0.3">
      <c r="A28" s="1">
        <v>45196</v>
      </c>
      <c r="B28" s="3">
        <f>552.22/2</f>
        <v>276.11</v>
      </c>
      <c r="C28" s="3"/>
      <c r="D28" s="3">
        <f>表2_24[[#This Row],[吃饭]]</f>
        <v>276.11</v>
      </c>
      <c r="E28" s="3"/>
      <c r="F28" s="3"/>
      <c r="G28" s="3"/>
      <c r="H28" s="3">
        <f t="shared" si="0"/>
        <v>45.555333333333337</v>
      </c>
      <c r="I28" s="3"/>
      <c r="J28" s="3"/>
      <c r="K28" s="3"/>
      <c r="L28" s="3"/>
      <c r="M28" s="3">
        <f>SUM(表2_24[[#This Row],[吃饭]:[学习阅读]])</f>
        <v>597.77533333333338</v>
      </c>
      <c r="N28" s="3">
        <f>表2_24[[#This Row],[合计]]-表2_24[[#This Row],[房租]]-表2_24[[#This Row],[水电话费]]</f>
        <v>552.22</v>
      </c>
    </row>
    <row r="29" spans="1:14" x14ac:dyDescent="0.3">
      <c r="A29" s="1">
        <v>45197</v>
      </c>
      <c r="B29" s="3">
        <f>394.96/2</f>
        <v>197.48</v>
      </c>
      <c r="C29" s="3"/>
      <c r="D29" s="3">
        <f>表2_24[[#This Row],[吃饭]]</f>
        <v>197.48</v>
      </c>
      <c r="E29" s="3"/>
      <c r="F29" s="3"/>
      <c r="G29" s="3"/>
      <c r="H29" s="3">
        <f t="shared" si="0"/>
        <v>45.555333333333337</v>
      </c>
      <c r="I29" s="3"/>
      <c r="J29" s="3"/>
      <c r="K29" s="3"/>
      <c r="L29" s="3"/>
      <c r="M29" s="3">
        <f>SUM(表2_24[[#This Row],[吃饭]:[学习阅读]])</f>
        <v>440.51533333333333</v>
      </c>
      <c r="N29" s="3">
        <f>表2_24[[#This Row],[合计]]-表2_24[[#This Row],[房租]]-表2_24[[#This Row],[水电话费]]</f>
        <v>394.96</v>
      </c>
    </row>
    <row r="30" spans="1:14" x14ac:dyDescent="0.3">
      <c r="A30" s="1">
        <v>45198</v>
      </c>
      <c r="B30" s="3">
        <f>328.07/2</f>
        <v>164.035</v>
      </c>
      <c r="C30" s="3"/>
      <c r="D30" s="3">
        <f>表2_24[[#This Row],[吃饭]]</f>
        <v>164.035</v>
      </c>
      <c r="E30" s="3"/>
      <c r="F30" s="3"/>
      <c r="G30" s="3"/>
      <c r="H30" s="3">
        <f t="shared" si="0"/>
        <v>45.555333333333337</v>
      </c>
      <c r="I30" s="3"/>
      <c r="J30" s="3"/>
      <c r="K30" s="3"/>
      <c r="L30" s="3"/>
      <c r="M30" s="3">
        <f>SUM(表2_24[[#This Row],[吃饭]:[学习阅读]])</f>
        <v>373.62533333333334</v>
      </c>
      <c r="N30" s="3">
        <f>表2_24[[#This Row],[合计]]-表2_24[[#This Row],[房租]]-表2_24[[#This Row],[水电话费]]</f>
        <v>328.07</v>
      </c>
    </row>
    <row r="31" spans="1:14" x14ac:dyDescent="0.3">
      <c r="A31" s="1">
        <v>45199</v>
      </c>
      <c r="B31" s="3">
        <f>187/2</f>
        <v>93.5</v>
      </c>
      <c r="C31" s="3"/>
      <c r="D31" s="3">
        <f>表2_24[[#This Row],[吃饭]]</f>
        <v>93.5</v>
      </c>
      <c r="E31" s="3"/>
      <c r="F31" s="3"/>
      <c r="G31" s="3"/>
      <c r="H31" s="3">
        <f t="shared" si="0"/>
        <v>45.555333333333337</v>
      </c>
      <c r="I31" s="3"/>
      <c r="J31" s="3"/>
      <c r="K31" s="3"/>
      <c r="L31" s="3"/>
      <c r="M31" s="3">
        <f>SUM(表2_24[[#This Row],[吃饭]:[学习阅读]])</f>
        <v>232.55533333333335</v>
      </c>
      <c r="N31" s="3">
        <f>表2_24[[#This Row],[合计]]-表2_24[[#This Row],[房租]]-表2_24[[#This Row],[水电话费]]</f>
        <v>187</v>
      </c>
    </row>
    <row r="32" spans="1:14" ht="37.25" customHeight="1" x14ac:dyDescent="0.3">
      <c r="A32" s="7" t="s">
        <v>11</v>
      </c>
      <c r="B32" s="3">
        <f t="shared" ref="B32:M32" si="1">SUM(B2:B31)</f>
        <v>1681.47</v>
      </c>
      <c r="C32" s="3">
        <f t="shared" si="1"/>
        <v>76.7</v>
      </c>
      <c r="D32" s="3">
        <f>SUM(D3:D31)</f>
        <v>1613.3999999999999</v>
      </c>
      <c r="E32" s="3">
        <f t="shared" si="1"/>
        <v>529.09999999999991</v>
      </c>
      <c r="F32" s="3">
        <f t="shared" si="1"/>
        <v>60.23</v>
      </c>
      <c r="G32" s="3">
        <f t="shared" si="1"/>
        <v>22</v>
      </c>
      <c r="H32" s="3">
        <f t="shared" si="1"/>
        <v>1366.6599999999996</v>
      </c>
      <c r="I32" s="3">
        <f t="shared" si="1"/>
        <v>114</v>
      </c>
      <c r="J32" s="3">
        <f t="shared" si="1"/>
        <v>0</v>
      </c>
      <c r="K32" s="3">
        <f t="shared" si="1"/>
        <v>20</v>
      </c>
      <c r="L32" s="3">
        <f t="shared" si="1"/>
        <v>0</v>
      </c>
      <c r="M32" s="5">
        <f t="shared" si="1"/>
        <v>5483.56</v>
      </c>
      <c r="N32" s="3">
        <f>表2_24[[#This Row],[合计]]-表2_24[[#This Row],[房租]]-表2_24[[#This Row],[水电话费]]</f>
        <v>4002.9000000000005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5483.5599999999995</v>
      </c>
      <c r="M33" s="3"/>
    </row>
  </sheetData>
  <phoneticPr fontId="1" type="noConversion"/>
  <conditionalFormatting sqref="N2:N31">
    <cfRule type="cellIs" dxfId="4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0529-9184-4098-9F62-FEA94FA87DC8}">
  <dimension ref="A1:P34"/>
  <sheetViews>
    <sheetView topLeftCell="A13" zoomScaleNormal="100" workbookViewId="0">
      <selection activeCell="F15" sqref="F15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45200</v>
      </c>
      <c r="B2" s="3">
        <v>150</v>
      </c>
      <c r="C2" s="3"/>
      <c r="D2" s="3">
        <v>150</v>
      </c>
      <c r="E2" s="3"/>
      <c r="F2" s="3"/>
      <c r="G2" s="3"/>
      <c r="H2" s="3">
        <f>1361/31</f>
        <v>43.903225806451616</v>
      </c>
      <c r="I2" s="3">
        <v>50</v>
      </c>
      <c r="J2" s="3"/>
      <c r="K2" s="3"/>
      <c r="L2" s="3"/>
      <c r="M2" s="3">
        <f>SUM(表2_245[[#This Row],[吃饭]:[学习阅读]])</f>
        <v>393.90322580645159</v>
      </c>
      <c r="N2" s="3">
        <f>表2_245[[#This Row],[合计]]-表2_245[[#This Row],[房租]]-表2_245[[#This Row],[水电话费]]</f>
        <v>300</v>
      </c>
    </row>
    <row r="3" spans="1:16" x14ac:dyDescent="0.3">
      <c r="A3" s="1">
        <v>45201</v>
      </c>
      <c r="B3" s="3">
        <f>392.8/2</f>
        <v>196.4</v>
      </c>
      <c r="C3" s="3"/>
      <c r="D3" s="3">
        <f>表2_245[[#This Row],[吃饭]]</f>
        <v>196.4</v>
      </c>
      <c r="E3" s="3"/>
      <c r="F3" s="3"/>
      <c r="G3" s="3"/>
      <c r="H3" s="3">
        <f t="shared" ref="H3:H32" si="0">1361/31</f>
        <v>43.903225806451616</v>
      </c>
      <c r="I3" s="3"/>
      <c r="J3" s="3"/>
      <c r="K3" s="3"/>
      <c r="L3" s="3"/>
      <c r="M3" s="3">
        <f>SUM(表2_245[[#This Row],[吃饭]:[学习阅读]])</f>
        <v>436.70322580645166</v>
      </c>
      <c r="N3" s="3">
        <f>表2_245[[#This Row],[合计]]-表2_245[[#This Row],[房租]]-表2_245[[#This Row],[水电话费]]</f>
        <v>392.80000000000007</v>
      </c>
    </row>
    <row r="4" spans="1:16" x14ac:dyDescent="0.3">
      <c r="A4" s="1">
        <v>45202</v>
      </c>
      <c r="B4" s="3">
        <f>317.9/2</f>
        <v>158.94999999999999</v>
      </c>
      <c r="C4" s="3"/>
      <c r="D4" s="3">
        <f>表2_245[[#This Row],[吃饭]]</f>
        <v>158.94999999999999</v>
      </c>
      <c r="E4" s="3"/>
      <c r="F4" s="3"/>
      <c r="G4" s="3"/>
      <c r="H4" s="3">
        <f t="shared" si="0"/>
        <v>43.903225806451616</v>
      </c>
      <c r="I4" s="3"/>
      <c r="J4" s="3"/>
      <c r="K4" s="3"/>
      <c r="L4" s="3"/>
      <c r="M4" s="3">
        <f>SUM(表2_245[[#This Row],[吃饭]:[学习阅读]])</f>
        <v>361.80322580645156</v>
      </c>
      <c r="N4" s="3">
        <f>表2_245[[#This Row],[合计]]-表2_245[[#This Row],[房租]]-表2_245[[#This Row],[水电话费]]</f>
        <v>317.89999999999998</v>
      </c>
    </row>
    <row r="5" spans="1:16" x14ac:dyDescent="0.3">
      <c r="A5" s="1">
        <v>45203</v>
      </c>
      <c r="B5" s="3">
        <f>554.75/2</f>
        <v>277.375</v>
      </c>
      <c r="C5" s="3"/>
      <c r="D5" s="3">
        <f>表2_245[[#This Row],[吃饭]]</f>
        <v>277.375</v>
      </c>
      <c r="E5" s="3"/>
      <c r="F5" s="3"/>
      <c r="G5" s="3"/>
      <c r="H5" s="3">
        <f t="shared" si="0"/>
        <v>43.903225806451616</v>
      </c>
      <c r="I5" s="3"/>
      <c r="J5" s="3"/>
      <c r="K5" s="3"/>
      <c r="L5" s="3"/>
      <c r="M5" s="3">
        <f>SUM(表2_245[[#This Row],[吃饭]:[学习阅读]])</f>
        <v>598.65322580645159</v>
      </c>
      <c r="N5" s="3">
        <f>表2_245[[#This Row],[合计]]-表2_245[[#This Row],[房租]]-表2_245[[#This Row],[水电话费]]</f>
        <v>554.75</v>
      </c>
    </row>
    <row r="6" spans="1:16" x14ac:dyDescent="0.3">
      <c r="A6" s="1">
        <v>45204</v>
      </c>
      <c r="B6" s="3"/>
      <c r="C6" s="3"/>
      <c r="D6" s="3">
        <v>150</v>
      </c>
      <c r="E6" s="3"/>
      <c r="F6" s="3"/>
      <c r="G6" s="3"/>
      <c r="H6" s="3">
        <f t="shared" si="0"/>
        <v>43.903225806451616</v>
      </c>
      <c r="I6" s="3"/>
      <c r="J6" s="3"/>
      <c r="K6" s="3"/>
      <c r="L6" s="3"/>
      <c r="M6" s="3">
        <f>SUM(表2_245[[#This Row],[吃饭]:[学习阅读]])</f>
        <v>193.90322580645162</v>
      </c>
      <c r="N6" s="3">
        <f>表2_245[[#This Row],[合计]]-表2_245[[#This Row],[房租]]-表2_245[[#This Row],[水电话费]]</f>
        <v>150</v>
      </c>
    </row>
    <row r="7" spans="1:16" x14ac:dyDescent="0.3">
      <c r="A7" s="1">
        <v>45205</v>
      </c>
      <c r="B7" s="3"/>
      <c r="C7" s="3"/>
      <c r="D7" s="3">
        <v>30</v>
      </c>
      <c r="E7" s="3"/>
      <c r="F7" s="3"/>
      <c r="G7" s="3"/>
      <c r="H7" s="3">
        <f t="shared" si="0"/>
        <v>43.903225806451616</v>
      </c>
      <c r="I7" s="3"/>
      <c r="J7" s="3"/>
      <c r="K7" s="3"/>
      <c r="L7" s="3"/>
      <c r="M7" s="3">
        <f>SUM(表2_245[[#This Row],[吃饭]:[学习阅读]])</f>
        <v>73.903225806451616</v>
      </c>
      <c r="N7" s="3">
        <f>表2_245[[#This Row],[合计]]-表2_245[[#This Row],[房租]]-表2_245[[#This Row],[水电话费]]</f>
        <v>30</v>
      </c>
    </row>
    <row r="8" spans="1:16" x14ac:dyDescent="0.3">
      <c r="A8" s="1">
        <v>45206</v>
      </c>
      <c r="B8" s="3">
        <f>28.86+69.81+51.97</f>
        <v>150.63999999999999</v>
      </c>
      <c r="C8" s="3">
        <v>6</v>
      </c>
      <c r="D8" s="3">
        <v>6</v>
      </c>
      <c r="E8" s="3"/>
      <c r="F8" s="3">
        <v>12</v>
      </c>
      <c r="G8" s="3"/>
      <c r="H8" s="3">
        <f t="shared" si="0"/>
        <v>43.903225806451616</v>
      </c>
      <c r="I8" s="3"/>
      <c r="J8" s="3"/>
      <c r="K8" s="3"/>
      <c r="L8" s="3"/>
      <c r="M8" s="3">
        <f>SUM(表2_245[[#This Row],[吃饭]:[学习阅读]])</f>
        <v>218.5432258064516</v>
      </c>
      <c r="N8" s="3">
        <f>表2_245[[#This Row],[合计]]-表2_245[[#This Row],[房租]]-表2_245[[#This Row],[水电话费]]</f>
        <v>174.64</v>
      </c>
    </row>
    <row r="9" spans="1:16" x14ac:dyDescent="0.3">
      <c r="A9" s="1">
        <v>45207</v>
      </c>
      <c r="B9" s="3">
        <f>5.5+21.23+9.8</f>
        <v>36.53</v>
      </c>
      <c r="C9" s="3">
        <v>5</v>
      </c>
      <c r="D9" s="3"/>
      <c r="E9" s="3"/>
      <c r="F9" s="3">
        <v>7.55</v>
      </c>
      <c r="G9" s="3"/>
      <c r="H9" s="3">
        <f t="shared" si="0"/>
        <v>43.903225806451616</v>
      </c>
      <c r="I9" s="3"/>
      <c r="J9" s="3"/>
      <c r="K9" s="3"/>
      <c r="L9" s="3"/>
      <c r="M9" s="3">
        <f>SUM(表2_245[[#This Row],[吃饭]:[学习阅读]])</f>
        <v>92.983225806451614</v>
      </c>
      <c r="N9" s="3">
        <f>表2_245[[#This Row],[合计]]-表2_245[[#This Row],[房租]]-表2_245[[#This Row],[水电话费]]</f>
        <v>49.08</v>
      </c>
    </row>
    <row r="10" spans="1:16" x14ac:dyDescent="0.3">
      <c r="A10" s="1">
        <v>45208</v>
      </c>
      <c r="B10" s="3">
        <v>2.5</v>
      </c>
      <c r="C10" s="3"/>
      <c r="D10" s="3"/>
      <c r="E10" s="3"/>
      <c r="F10" s="3"/>
      <c r="G10" s="3"/>
      <c r="H10" s="3">
        <f t="shared" si="0"/>
        <v>43.903225806451616</v>
      </c>
      <c r="I10" s="3"/>
      <c r="J10" s="3"/>
      <c r="K10" s="3"/>
      <c r="L10" s="3"/>
      <c r="M10" s="3">
        <f>SUM(表2_245[[#This Row],[吃饭]:[学习阅读]])</f>
        <v>46.403225806451616</v>
      </c>
      <c r="N10" s="3">
        <f>表2_245[[#This Row],[合计]]-表2_245[[#This Row],[房租]]-表2_245[[#This Row],[水电话费]]</f>
        <v>2.5</v>
      </c>
    </row>
    <row r="11" spans="1:16" x14ac:dyDescent="0.3">
      <c r="A11" s="1">
        <v>45209</v>
      </c>
      <c r="B11" s="3">
        <f>2.5+31.33</f>
        <v>33.83</v>
      </c>
      <c r="C11" s="3">
        <v>5</v>
      </c>
      <c r="D11" s="3"/>
      <c r="E11" s="3"/>
      <c r="F11" s="3">
        <v>8</v>
      </c>
      <c r="G11" s="3"/>
      <c r="H11" s="3">
        <f t="shared" si="0"/>
        <v>43.903225806451616</v>
      </c>
      <c r="I11" s="3"/>
      <c r="J11" s="3"/>
      <c r="K11" s="3"/>
      <c r="L11" s="3"/>
      <c r="M11" s="3">
        <f>SUM(表2_245[[#This Row],[吃饭]:[学习阅读]])</f>
        <v>90.733225806451614</v>
      </c>
      <c r="N11" s="3">
        <f>表2_245[[#This Row],[合计]]-表2_245[[#This Row],[房租]]-表2_245[[#This Row],[水电话费]]</f>
        <v>46.83</v>
      </c>
    </row>
    <row r="12" spans="1:16" x14ac:dyDescent="0.3">
      <c r="A12" s="1">
        <v>45210</v>
      </c>
      <c r="B12" s="3">
        <f>2.5+15.04</f>
        <v>17.54</v>
      </c>
      <c r="C12" s="3">
        <v>6</v>
      </c>
      <c r="D12" s="3">
        <v>23</v>
      </c>
      <c r="E12" s="3"/>
      <c r="F12" s="3">
        <v>35</v>
      </c>
      <c r="G12" s="3"/>
      <c r="H12" s="3">
        <f t="shared" si="0"/>
        <v>43.903225806451616</v>
      </c>
      <c r="I12" s="3">
        <v>60</v>
      </c>
      <c r="J12" s="3"/>
      <c r="K12" s="3"/>
      <c r="L12" s="3"/>
      <c r="M12" s="3">
        <f>SUM(表2_245[[#This Row],[吃饭]:[学习阅读]])</f>
        <v>185.44322580645161</v>
      </c>
      <c r="N12" s="3">
        <f>表2_245[[#This Row],[合计]]-表2_245[[#This Row],[房租]]-表2_245[[#This Row],[水电话费]]</f>
        <v>81.539999999999992</v>
      </c>
      <c r="P12" s="6"/>
    </row>
    <row r="13" spans="1:16" x14ac:dyDescent="0.3">
      <c r="A13" s="1">
        <v>45211</v>
      </c>
      <c r="B13" s="3" t="s">
        <v>15</v>
      </c>
      <c r="C13" s="3">
        <v>3</v>
      </c>
      <c r="D13" s="3"/>
      <c r="E13" s="3">
        <v>15</v>
      </c>
      <c r="F13" s="3"/>
      <c r="G13" s="3"/>
      <c r="H13" s="3">
        <f t="shared" si="0"/>
        <v>43.903225806451616</v>
      </c>
      <c r="I13" s="3"/>
      <c r="J13" s="3"/>
      <c r="K13" s="3">
        <v>20</v>
      </c>
      <c r="L13" s="3"/>
      <c r="M13" s="3">
        <f>SUM(表2_245[[#This Row],[吃饭]:[学习阅读]])</f>
        <v>81.903225806451616</v>
      </c>
      <c r="N13" s="3">
        <f>表2_245[[#This Row],[合计]]-表2_245[[#This Row],[房租]]-表2_245[[#This Row],[水电话费]]</f>
        <v>38</v>
      </c>
    </row>
    <row r="14" spans="1:16" x14ac:dyDescent="0.3">
      <c r="A14" s="1">
        <v>45212</v>
      </c>
      <c r="B14" s="3">
        <v>2.8</v>
      </c>
      <c r="C14" s="3">
        <v>3</v>
      </c>
      <c r="D14" s="3"/>
      <c r="E14" s="3"/>
      <c r="F14" s="3"/>
      <c r="G14" s="3"/>
      <c r="H14" s="3">
        <f t="shared" si="0"/>
        <v>43.903225806451616</v>
      </c>
      <c r="I14" s="3"/>
      <c r="J14" s="3"/>
      <c r="K14" s="3"/>
      <c r="L14" s="3"/>
      <c r="M14" s="3">
        <f>SUM(表2_245[[#This Row],[吃饭]:[学习阅读]])</f>
        <v>49.703225806451613</v>
      </c>
      <c r="N14" s="3">
        <f>表2_245[[#This Row],[合计]]-表2_245[[#This Row],[房租]]-表2_245[[#This Row],[水电话费]]</f>
        <v>5.7999999999999972</v>
      </c>
    </row>
    <row r="15" spans="1:16" x14ac:dyDescent="0.3">
      <c r="A15" s="1">
        <v>45213</v>
      </c>
      <c r="B15" s="3"/>
      <c r="C15" s="3">
        <v>10</v>
      </c>
      <c r="D15" s="3"/>
      <c r="E15" s="3"/>
      <c r="F15" s="3"/>
      <c r="G15" s="3"/>
      <c r="H15" s="3">
        <f t="shared" si="0"/>
        <v>43.903225806451616</v>
      </c>
      <c r="I15" s="3"/>
      <c r="J15" s="3"/>
      <c r="K15" s="3"/>
      <c r="L15" s="3"/>
      <c r="M15" s="3">
        <f>SUM(表2_245[[#This Row],[吃饭]:[学习阅读]])</f>
        <v>53.903225806451616</v>
      </c>
      <c r="N15" s="3">
        <f>表2_245[[#This Row],[合计]]-表2_245[[#This Row],[房租]]-表2_245[[#This Row],[水电话费]]</f>
        <v>10</v>
      </c>
    </row>
    <row r="16" spans="1:16" x14ac:dyDescent="0.3">
      <c r="A16" s="1">
        <v>45214</v>
      </c>
      <c r="B16" s="3">
        <f>79+11.5</f>
        <v>90.5</v>
      </c>
      <c r="C16" s="3"/>
      <c r="D16" s="3"/>
      <c r="E16" s="3"/>
      <c r="F16" s="3"/>
      <c r="G16" s="3"/>
      <c r="H16" s="3">
        <f t="shared" si="0"/>
        <v>43.903225806451616</v>
      </c>
      <c r="I16" s="3"/>
      <c r="J16" s="3"/>
      <c r="K16" s="3"/>
      <c r="L16" s="3"/>
      <c r="M16" s="3">
        <f>SUM(表2_245[[#This Row],[吃饭]:[学习阅读]])</f>
        <v>134.40322580645162</v>
      </c>
      <c r="N16" s="3">
        <f>表2_245[[#This Row],[合计]]-表2_245[[#This Row],[房租]]-表2_245[[#This Row],[水电话费]]</f>
        <v>90.5</v>
      </c>
    </row>
    <row r="17" spans="1:14" x14ac:dyDescent="0.3">
      <c r="A17" s="1">
        <v>45215</v>
      </c>
      <c r="B17" s="3">
        <f>2.5+3+12.88</f>
        <v>18.380000000000003</v>
      </c>
      <c r="C17" s="3"/>
      <c r="D17" s="3"/>
      <c r="E17" s="3"/>
      <c r="F17" s="3">
        <v>7.37</v>
      </c>
      <c r="G17" s="3"/>
      <c r="H17" s="3">
        <f t="shared" si="0"/>
        <v>43.903225806451616</v>
      </c>
      <c r="I17" s="3"/>
      <c r="J17" s="3"/>
      <c r="K17" s="3"/>
      <c r="L17" s="3"/>
      <c r="M17" s="3">
        <f>SUM(表2_245[[#This Row],[吃饭]:[学习阅读]])</f>
        <v>69.653225806451616</v>
      </c>
      <c r="N17" s="3">
        <f>表2_245[[#This Row],[合计]]-表2_245[[#This Row],[房租]]-表2_245[[#This Row],[水电话费]]</f>
        <v>25.75</v>
      </c>
    </row>
    <row r="18" spans="1:14" x14ac:dyDescent="0.3">
      <c r="A18" s="1">
        <v>45216</v>
      </c>
      <c r="B18" s="3">
        <f>3.8+2.5</f>
        <v>6.3</v>
      </c>
      <c r="C18" s="3">
        <v>3</v>
      </c>
      <c r="D18" s="3"/>
      <c r="E18" s="3"/>
      <c r="F18" s="3"/>
      <c r="G18" s="3"/>
      <c r="H18" s="3">
        <f t="shared" si="0"/>
        <v>43.903225806451616</v>
      </c>
      <c r="I18" s="3"/>
      <c r="J18" s="3"/>
      <c r="K18" s="3"/>
      <c r="L18" s="3"/>
      <c r="M18" s="3">
        <f>SUM(表2_245[[#This Row],[吃饭]:[学习阅读]])</f>
        <v>53.203225806451613</v>
      </c>
      <c r="N18" s="3">
        <f>表2_245[[#This Row],[合计]]-表2_245[[#This Row],[房租]]-表2_245[[#This Row],[水电话费]]</f>
        <v>9.2999999999999972</v>
      </c>
    </row>
    <row r="19" spans="1:14" x14ac:dyDescent="0.3">
      <c r="A19" s="1">
        <v>45217</v>
      </c>
      <c r="B19" s="3">
        <v>30</v>
      </c>
      <c r="C19" s="3">
        <v>2</v>
      </c>
      <c r="D19" s="3"/>
      <c r="E19" s="3"/>
      <c r="F19" s="3">
        <v>7</v>
      </c>
      <c r="G19" s="3"/>
      <c r="H19" s="3">
        <f t="shared" si="0"/>
        <v>43.903225806451616</v>
      </c>
      <c r="I19" s="3"/>
      <c r="J19" s="3"/>
      <c r="K19" s="3"/>
      <c r="L19" s="3"/>
      <c r="M19" s="3">
        <f>SUM(表2_245[[#This Row],[吃饭]:[学习阅读]])</f>
        <v>82.903225806451616</v>
      </c>
      <c r="N19" s="3">
        <f>表2_245[[#This Row],[合计]]-表2_245[[#This Row],[房租]]-表2_245[[#This Row],[水电话费]]</f>
        <v>39</v>
      </c>
    </row>
    <row r="20" spans="1:14" x14ac:dyDescent="0.3">
      <c r="A20" s="1">
        <v>45218</v>
      </c>
      <c r="B20" s="3">
        <v>6</v>
      </c>
      <c r="C20" s="3">
        <v>4</v>
      </c>
      <c r="D20" s="3"/>
      <c r="E20" s="3"/>
      <c r="F20" s="3"/>
      <c r="G20" s="3"/>
      <c r="H20" s="3">
        <f t="shared" si="0"/>
        <v>43.903225806451616</v>
      </c>
      <c r="I20" s="3"/>
      <c r="J20" s="3"/>
      <c r="K20" s="3"/>
      <c r="L20" s="3"/>
      <c r="M20" s="3">
        <f>SUM(表2_245[[#This Row],[吃饭]:[学习阅读]])</f>
        <v>53.903225806451616</v>
      </c>
      <c r="N20" s="3">
        <f>表2_245[[#This Row],[合计]]-表2_245[[#This Row],[房租]]-表2_245[[#This Row],[水电话费]]</f>
        <v>10</v>
      </c>
    </row>
    <row r="21" spans="1:14" x14ac:dyDescent="0.3">
      <c r="A21" s="1">
        <v>45219</v>
      </c>
      <c r="B21" s="3">
        <f>3.5+22.8</f>
        <v>26.3</v>
      </c>
      <c r="C21" s="3">
        <v>6</v>
      </c>
      <c r="D21" s="3"/>
      <c r="E21" s="3">
        <v>6.93</v>
      </c>
      <c r="F21" s="3"/>
      <c r="G21" s="3"/>
      <c r="H21" s="3">
        <f t="shared" si="0"/>
        <v>43.903225806451616</v>
      </c>
      <c r="I21" s="3"/>
      <c r="J21" s="3"/>
      <c r="K21" s="3"/>
      <c r="L21" s="3"/>
      <c r="M21" s="3">
        <f>SUM(表2_245[[#This Row],[吃饭]:[学习阅读]])</f>
        <v>83.133225806451605</v>
      </c>
      <c r="N21" s="3">
        <f>表2_245[[#This Row],[合计]]-表2_245[[#This Row],[房租]]-表2_245[[#This Row],[水电话费]]</f>
        <v>39.22999999999999</v>
      </c>
    </row>
    <row r="22" spans="1:14" x14ac:dyDescent="0.3">
      <c r="A22" s="1">
        <v>45220</v>
      </c>
      <c r="B22" s="3">
        <v>2</v>
      </c>
      <c r="C22" s="3">
        <v>6.5</v>
      </c>
      <c r="D22" s="3"/>
      <c r="E22" s="3">
        <v>30</v>
      </c>
      <c r="F22" s="3"/>
      <c r="G22" s="3"/>
      <c r="H22" s="3">
        <f t="shared" si="0"/>
        <v>43.903225806451616</v>
      </c>
      <c r="I22" s="3"/>
      <c r="J22" s="3"/>
      <c r="K22" s="3"/>
      <c r="L22" s="3"/>
      <c r="M22" s="3">
        <f>SUM(表2_245[[#This Row],[吃饭]:[学习阅读]])</f>
        <v>82.403225806451616</v>
      </c>
      <c r="N22" s="3">
        <f>表2_245[[#This Row],[合计]]-表2_245[[#This Row],[房租]]-表2_245[[#This Row],[水电话费]]</f>
        <v>38.5</v>
      </c>
    </row>
    <row r="23" spans="1:14" x14ac:dyDescent="0.3">
      <c r="A23" s="1">
        <v>45221</v>
      </c>
      <c r="B23" s="3">
        <f>9.3+23.8</f>
        <v>33.1</v>
      </c>
      <c r="C23" s="3"/>
      <c r="D23" s="3"/>
      <c r="E23" s="3">
        <v>132</v>
      </c>
      <c r="F23" s="3"/>
      <c r="G23" s="3"/>
      <c r="H23" s="3">
        <f t="shared" si="0"/>
        <v>43.903225806451616</v>
      </c>
      <c r="I23" s="3"/>
      <c r="J23" s="3"/>
      <c r="K23" s="3"/>
      <c r="L23" s="3"/>
      <c r="M23" s="3">
        <f>SUM(表2_245[[#This Row],[吃饭]:[学习阅读]])</f>
        <v>209.00322580645161</v>
      </c>
      <c r="N23" s="3">
        <f>表2_245[[#This Row],[合计]]-表2_245[[#This Row],[房租]]-表2_245[[#This Row],[水电话费]]</f>
        <v>165.1</v>
      </c>
    </row>
    <row r="24" spans="1:14" x14ac:dyDescent="0.3">
      <c r="A24" s="1">
        <v>45222</v>
      </c>
      <c r="B24" s="3">
        <f>9.3+23.8</f>
        <v>33.1</v>
      </c>
      <c r="C24" s="3">
        <v>2</v>
      </c>
      <c r="D24" s="3"/>
      <c r="E24" s="3"/>
      <c r="F24" s="3"/>
      <c r="G24" s="3"/>
      <c r="H24" s="3">
        <f t="shared" si="0"/>
        <v>43.903225806451616</v>
      </c>
      <c r="I24" s="3"/>
      <c r="J24" s="3"/>
      <c r="K24" s="3"/>
      <c r="L24" s="3"/>
      <c r="M24" s="3">
        <f>SUM(表2_245[[#This Row],[吃饭]:[学习阅读]])</f>
        <v>79.00322580645161</v>
      </c>
      <c r="N24" s="3">
        <f>表2_245[[#This Row],[合计]]-表2_245[[#This Row],[房租]]-表2_245[[#This Row],[水电话费]]</f>
        <v>35.099999999999994</v>
      </c>
    </row>
    <row r="25" spans="1:14" x14ac:dyDescent="0.3">
      <c r="A25" s="1">
        <v>45223</v>
      </c>
      <c r="B25" s="3">
        <f>21</f>
        <v>21</v>
      </c>
      <c r="C25" s="3"/>
      <c r="D25" s="3"/>
      <c r="E25" s="3"/>
      <c r="F25" s="3">
        <v>15</v>
      </c>
      <c r="G25" s="3"/>
      <c r="H25" s="3">
        <f t="shared" si="0"/>
        <v>43.903225806451616</v>
      </c>
      <c r="I25" s="3"/>
      <c r="J25" s="3"/>
      <c r="K25" s="3"/>
      <c r="L25" s="3"/>
      <c r="M25" s="3">
        <f>SUM(表2_245[[#This Row],[吃饭]:[学习阅读]])</f>
        <v>79.903225806451616</v>
      </c>
      <c r="N25" s="3">
        <f>表2_245[[#This Row],[合计]]-表2_245[[#This Row],[房租]]-表2_245[[#This Row],[水电话费]]</f>
        <v>36</v>
      </c>
    </row>
    <row r="26" spans="1:14" x14ac:dyDescent="0.3">
      <c r="A26" s="1">
        <v>45224</v>
      </c>
      <c r="B26" s="3">
        <v>4</v>
      </c>
      <c r="C26" s="3">
        <v>20</v>
      </c>
      <c r="D26" s="3"/>
      <c r="E26" s="3"/>
      <c r="F26" s="3"/>
      <c r="G26" s="3"/>
      <c r="H26" s="3">
        <f t="shared" si="0"/>
        <v>43.903225806451616</v>
      </c>
      <c r="I26" s="3"/>
      <c r="J26" s="3"/>
      <c r="K26" s="3"/>
      <c r="L26" s="3"/>
      <c r="M26" s="3">
        <f>SUM(表2_245[[#This Row],[吃饭]:[学习阅读]])</f>
        <v>67.903225806451616</v>
      </c>
      <c r="N26" s="3">
        <f>表2_245[[#This Row],[合计]]-表2_245[[#This Row],[房租]]-表2_245[[#This Row],[水电话费]]</f>
        <v>24</v>
      </c>
    </row>
    <row r="27" spans="1:14" x14ac:dyDescent="0.3">
      <c r="A27" s="1">
        <v>45225</v>
      </c>
      <c r="B27" s="3">
        <v>22</v>
      </c>
      <c r="C27" s="3"/>
      <c r="D27" s="3"/>
      <c r="E27" s="3"/>
      <c r="F27" s="3">
        <v>6</v>
      </c>
      <c r="G27" s="3"/>
      <c r="H27" s="3">
        <f t="shared" si="0"/>
        <v>43.903225806451616</v>
      </c>
      <c r="I27" s="3"/>
      <c r="J27" s="3"/>
      <c r="K27" s="3"/>
      <c r="L27" s="3"/>
      <c r="M27" s="3">
        <f>SUM(表2_245[[#This Row],[吃饭]:[学习阅读]])</f>
        <v>71.903225806451616</v>
      </c>
      <c r="N27" s="3">
        <f>表2_245[[#This Row],[合计]]-表2_245[[#This Row],[房租]]-表2_245[[#This Row],[水电话费]]</f>
        <v>28</v>
      </c>
    </row>
    <row r="28" spans="1:14" x14ac:dyDescent="0.3">
      <c r="A28" s="1">
        <v>45226</v>
      </c>
      <c r="B28" s="3">
        <v>25</v>
      </c>
      <c r="C28" s="3"/>
      <c r="D28" s="3"/>
      <c r="E28" s="3">
        <v>133</v>
      </c>
      <c r="F28" s="3"/>
      <c r="G28" s="3"/>
      <c r="H28" s="3">
        <f t="shared" si="0"/>
        <v>43.903225806451616</v>
      </c>
      <c r="I28" s="3"/>
      <c r="J28" s="3"/>
      <c r="K28" s="3"/>
      <c r="L28" s="3"/>
      <c r="M28" s="3">
        <f>SUM(表2_245[[#This Row],[吃饭]:[学习阅读]])</f>
        <v>201.90322580645162</v>
      </c>
      <c r="N28" s="3">
        <f>表2_245[[#This Row],[合计]]-表2_245[[#This Row],[房租]]-表2_245[[#This Row],[水电话费]]</f>
        <v>158</v>
      </c>
    </row>
    <row r="29" spans="1:14" x14ac:dyDescent="0.3">
      <c r="A29" s="1">
        <v>45227</v>
      </c>
      <c r="B29" s="3">
        <v>17.5</v>
      </c>
      <c r="C29" s="3">
        <v>6.5</v>
      </c>
      <c r="D29" s="3"/>
      <c r="E29" s="3"/>
      <c r="F29" s="3"/>
      <c r="G29" s="3"/>
      <c r="H29" s="3">
        <f t="shared" si="0"/>
        <v>43.903225806451616</v>
      </c>
      <c r="I29" s="3"/>
      <c r="J29" s="3"/>
      <c r="K29" s="3"/>
      <c r="L29" s="3"/>
      <c r="M29" s="3">
        <f>SUM(表2_245[[#This Row],[吃饭]:[学习阅读]])</f>
        <v>67.903225806451616</v>
      </c>
      <c r="N29" s="3">
        <f>表2_245[[#This Row],[合计]]-表2_245[[#This Row],[房租]]-表2_245[[#This Row],[水电话费]]</f>
        <v>24</v>
      </c>
    </row>
    <row r="30" spans="1:14" x14ac:dyDescent="0.3">
      <c r="A30" s="1">
        <v>45228</v>
      </c>
      <c r="B30" s="3">
        <v>40</v>
      </c>
      <c r="C30" s="3"/>
      <c r="D30" s="3"/>
      <c r="E30" s="3"/>
      <c r="F30" s="3"/>
      <c r="G30" s="3"/>
      <c r="H30" s="3">
        <f t="shared" si="0"/>
        <v>43.903225806451616</v>
      </c>
      <c r="I30" s="3"/>
      <c r="J30" s="3"/>
      <c r="K30" s="3"/>
      <c r="L30" s="3"/>
      <c r="M30" s="3">
        <f>SUM(表2_245[[#This Row],[吃饭]:[学习阅读]])</f>
        <v>83.903225806451616</v>
      </c>
      <c r="N30" s="3">
        <f>表2_245[[#This Row],[合计]]-表2_245[[#This Row],[房租]]-表2_245[[#This Row],[水电话费]]</f>
        <v>40</v>
      </c>
    </row>
    <row r="31" spans="1:14" x14ac:dyDescent="0.3">
      <c r="A31" s="1">
        <v>45229</v>
      </c>
      <c r="B31" s="3">
        <v>12</v>
      </c>
      <c r="C31" s="3"/>
      <c r="D31" s="3"/>
      <c r="E31" s="3"/>
      <c r="F31" s="3"/>
      <c r="G31" s="3"/>
      <c r="H31" s="3">
        <f t="shared" si="0"/>
        <v>43.903225806451616</v>
      </c>
      <c r="I31" s="3"/>
      <c r="J31" s="3"/>
      <c r="K31" s="3"/>
      <c r="L31" s="3"/>
      <c r="M31" s="3">
        <f>SUM(表2_245[[#This Row],[吃饭]:[学习阅读]])</f>
        <v>55.903225806451616</v>
      </c>
      <c r="N31" s="3">
        <f>表2_245[[#This Row],[合计]]-表2_245[[#This Row],[房租]]-表2_245[[#This Row],[水电话费]]</f>
        <v>12</v>
      </c>
    </row>
    <row r="32" spans="1:14" x14ac:dyDescent="0.3">
      <c r="A32" s="1">
        <v>45230</v>
      </c>
      <c r="B32" s="3">
        <v>17</v>
      </c>
      <c r="C32" s="3"/>
      <c r="D32" s="3">
        <v>30</v>
      </c>
      <c r="E32" s="3"/>
      <c r="F32" s="3"/>
      <c r="G32" s="3"/>
      <c r="H32" s="3">
        <f t="shared" si="0"/>
        <v>43.903225806451616</v>
      </c>
      <c r="I32" s="3"/>
      <c r="J32" s="3"/>
      <c r="K32" s="3"/>
      <c r="L32" s="3"/>
      <c r="M32" s="3">
        <f>SUM(表2_245[[#This Row],[吃饭]:[学习阅读]])</f>
        <v>90.903225806451616</v>
      </c>
      <c r="N32" s="3">
        <f>表2_245[[#This Row],[合计]]-表2_245[[#This Row],[房租]]-表2_245[[#This Row],[水电话费]]</f>
        <v>47</v>
      </c>
    </row>
    <row r="33" spans="1:14" ht="37.25" customHeight="1" x14ac:dyDescent="0.3">
      <c r="A33" s="7" t="s">
        <v>11</v>
      </c>
      <c r="B33" s="3">
        <f t="shared" ref="B33:M33" si="1">SUM(B2:B32)</f>
        <v>1430.7449999999997</v>
      </c>
      <c r="C33" s="3">
        <f t="shared" si="1"/>
        <v>88</v>
      </c>
      <c r="D33" s="3">
        <f t="shared" si="1"/>
        <v>1021.7249999999999</v>
      </c>
      <c r="E33" s="3">
        <f t="shared" si="1"/>
        <v>316.93</v>
      </c>
      <c r="F33" s="3">
        <f t="shared" si="1"/>
        <v>97.92</v>
      </c>
      <c r="G33" s="3">
        <f t="shared" si="1"/>
        <v>0</v>
      </c>
      <c r="H33" s="3">
        <f t="shared" si="1"/>
        <v>1361.0000000000002</v>
      </c>
      <c r="I33" s="3">
        <f t="shared" si="1"/>
        <v>110</v>
      </c>
      <c r="J33" s="3">
        <f t="shared" si="1"/>
        <v>0</v>
      </c>
      <c r="K33" s="3">
        <f t="shared" si="1"/>
        <v>20</v>
      </c>
      <c r="L33" s="3">
        <f t="shared" si="1"/>
        <v>0</v>
      </c>
      <c r="M33" s="5">
        <f t="shared" si="1"/>
        <v>4446.3200000000015</v>
      </c>
      <c r="N33" s="3">
        <f>表2_245[[#This Row],[合计]]-表2_245[[#This Row],[房租]]-表2_245[[#This Row],[水电话费]]</f>
        <v>2975.3200000000015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4446.32</v>
      </c>
      <c r="M34" s="3"/>
    </row>
  </sheetData>
  <phoneticPr fontId="1" type="noConversion"/>
  <conditionalFormatting sqref="N2:N32">
    <cfRule type="cellIs" dxfId="4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35A5-4649-425F-A271-482BE3E8947F}">
  <dimension ref="A1:P33"/>
  <sheetViews>
    <sheetView topLeftCell="A10" zoomScaleNormal="100" workbookViewId="0">
      <selection activeCell="F15" sqref="F15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45231</v>
      </c>
      <c r="B2" s="3">
        <v>10</v>
      </c>
      <c r="C2" s="3">
        <v>3</v>
      </c>
      <c r="D2" s="3"/>
      <c r="E2" s="3"/>
      <c r="F2" s="3"/>
      <c r="G2" s="3"/>
      <c r="H2" s="3">
        <v>45.56666666666667</v>
      </c>
      <c r="I2" s="3">
        <v>80</v>
      </c>
      <c r="J2" s="3"/>
      <c r="K2" s="3"/>
      <c r="L2" s="3"/>
      <c r="M2" s="3">
        <f>SUM(表2_2456[[#This Row],[吃饭]:[学习阅读]])</f>
        <v>138.56666666666666</v>
      </c>
      <c r="N2" s="3">
        <f>表2_2456[[#This Row],[合计]]-表2_2456[[#This Row],[房租]]-表2_2456[[#This Row],[水电话费]]</f>
        <v>13</v>
      </c>
    </row>
    <row r="3" spans="1:16" x14ac:dyDescent="0.3">
      <c r="A3" s="1">
        <v>45232</v>
      </c>
      <c r="B3" s="3">
        <v>4.2</v>
      </c>
      <c r="C3" s="3">
        <v>3.5</v>
      </c>
      <c r="D3" s="3"/>
      <c r="E3" s="3"/>
      <c r="F3" s="3"/>
      <c r="G3" s="3"/>
      <c r="H3" s="3">
        <v>45.56666666666667</v>
      </c>
      <c r="I3" s="3">
        <v>50</v>
      </c>
      <c r="J3" s="3"/>
      <c r="K3" s="3"/>
      <c r="L3" s="3"/>
      <c r="M3" s="3">
        <f>SUM(表2_2456[[#This Row],[吃饭]:[学习阅读]])</f>
        <v>103.26666666666668</v>
      </c>
      <c r="N3" s="3">
        <f>表2_2456[[#This Row],[合计]]-表2_2456[[#This Row],[房租]]-表2_2456[[#This Row],[水电话费]]</f>
        <v>7.7000000000000099</v>
      </c>
    </row>
    <row r="4" spans="1:16" x14ac:dyDescent="0.3">
      <c r="A4" s="1">
        <v>45233</v>
      </c>
      <c r="B4" s="3">
        <v>3.6</v>
      </c>
      <c r="C4" s="3"/>
      <c r="D4" s="3"/>
      <c r="E4" s="3"/>
      <c r="F4" s="3"/>
      <c r="G4" s="3"/>
      <c r="H4" s="3">
        <v>45.56666666666667</v>
      </c>
      <c r="I4" s="3"/>
      <c r="J4" s="3"/>
      <c r="K4" s="3"/>
      <c r="L4" s="3"/>
      <c r="M4" s="3">
        <f>SUM(表2_2456[[#This Row],[吃饭]:[学习阅读]])</f>
        <v>49.166666666666671</v>
      </c>
      <c r="N4" s="3">
        <f>表2_2456[[#This Row],[合计]]-表2_2456[[#This Row],[房租]]-表2_2456[[#This Row],[水电话费]]</f>
        <v>3.6000000000000014</v>
      </c>
    </row>
    <row r="5" spans="1:16" x14ac:dyDescent="0.3">
      <c r="A5" s="1">
        <v>45234</v>
      </c>
      <c r="B5" s="3">
        <v>176</v>
      </c>
      <c r="C5" s="3"/>
      <c r="D5" s="3">
        <v>163</v>
      </c>
      <c r="E5" s="3"/>
      <c r="F5" s="3"/>
      <c r="G5" s="3"/>
      <c r="H5" s="3">
        <v>45.56666666666667</v>
      </c>
      <c r="I5" s="3"/>
      <c r="J5" s="3"/>
      <c r="K5" s="3"/>
      <c r="L5" s="3"/>
      <c r="M5" s="3">
        <f>SUM(表2_2456[[#This Row],[吃饭]:[学习阅读]])</f>
        <v>384.56666666666666</v>
      </c>
      <c r="N5" s="3">
        <f>表2_2456[[#This Row],[合计]]-表2_2456[[#This Row],[房租]]-表2_2456[[#This Row],[水电话费]]</f>
        <v>339</v>
      </c>
    </row>
    <row r="6" spans="1:16" x14ac:dyDescent="0.3">
      <c r="A6" s="1">
        <v>45235</v>
      </c>
      <c r="B6" s="3">
        <v>15</v>
      </c>
      <c r="C6" s="3"/>
      <c r="D6" s="3">
        <v>174</v>
      </c>
      <c r="E6" s="3">
        <v>306</v>
      </c>
      <c r="F6" s="3"/>
      <c r="G6" s="3"/>
      <c r="H6" s="3">
        <v>45.56666666666667</v>
      </c>
      <c r="I6" s="3"/>
      <c r="J6" s="3"/>
      <c r="K6" s="3"/>
      <c r="L6" s="3"/>
      <c r="M6" s="3">
        <f>SUM(表2_2456[[#This Row],[吃饭]:[学习阅读]])</f>
        <v>540.56666666666672</v>
      </c>
      <c r="N6" s="3">
        <f>表2_2456[[#This Row],[合计]]-表2_2456[[#This Row],[房租]]-表2_2456[[#This Row],[水电话费]]</f>
        <v>495.00000000000006</v>
      </c>
    </row>
    <row r="7" spans="1:16" x14ac:dyDescent="0.3">
      <c r="A7" s="1">
        <v>45236</v>
      </c>
      <c r="B7" s="3"/>
      <c r="C7" s="3">
        <v>2</v>
      </c>
      <c r="D7" s="3"/>
      <c r="E7" s="3"/>
      <c r="F7" s="3">
        <v>8</v>
      </c>
      <c r="G7" s="3"/>
      <c r="H7" s="3">
        <v>45.56666666666667</v>
      </c>
      <c r="I7" s="3"/>
      <c r="J7" s="3"/>
      <c r="K7" s="3"/>
      <c r="L7" s="3"/>
      <c r="M7" s="3">
        <f>SUM(表2_2456[[#This Row],[吃饭]:[学习阅读]])</f>
        <v>55.56666666666667</v>
      </c>
      <c r="N7" s="3">
        <f>表2_2456[[#This Row],[合计]]-表2_2456[[#This Row],[房租]]-表2_2456[[#This Row],[水电话费]]</f>
        <v>10</v>
      </c>
    </row>
    <row r="8" spans="1:16" x14ac:dyDescent="0.3">
      <c r="A8" s="1">
        <v>45237</v>
      </c>
      <c r="B8" s="3"/>
      <c r="C8" s="3"/>
      <c r="D8" s="3"/>
      <c r="E8" s="3"/>
      <c r="F8" s="3"/>
      <c r="G8" s="3"/>
      <c r="H8" s="3">
        <v>45.56666666666667</v>
      </c>
      <c r="I8" s="3"/>
      <c r="J8" s="3"/>
      <c r="K8" s="3"/>
      <c r="L8" s="3"/>
      <c r="M8" s="3">
        <f>SUM(表2_2456[[#This Row],[吃饭]:[学习阅读]])</f>
        <v>45.56666666666667</v>
      </c>
      <c r="N8" s="3">
        <f>表2_2456[[#This Row],[合计]]-表2_2456[[#This Row],[房租]]-表2_2456[[#This Row],[水电话费]]</f>
        <v>0</v>
      </c>
    </row>
    <row r="9" spans="1:16" x14ac:dyDescent="0.3">
      <c r="A9" s="1">
        <v>45238</v>
      </c>
      <c r="B9" s="3">
        <v>23</v>
      </c>
      <c r="C9" s="3"/>
      <c r="D9" s="3">
        <v>13.4</v>
      </c>
      <c r="E9" s="3"/>
      <c r="F9" s="3"/>
      <c r="G9" s="3"/>
      <c r="H9" s="3">
        <v>45.56666666666667</v>
      </c>
      <c r="I9" s="3"/>
      <c r="J9" s="3"/>
      <c r="K9" s="3"/>
      <c r="L9" s="3"/>
      <c r="M9" s="3">
        <f>SUM(表2_2456[[#This Row],[吃饭]:[学习阅读]])</f>
        <v>81.966666666666669</v>
      </c>
      <c r="N9" s="3">
        <f>表2_2456[[#This Row],[合计]]-表2_2456[[#This Row],[房租]]-表2_2456[[#This Row],[水电话费]]</f>
        <v>36.4</v>
      </c>
    </row>
    <row r="10" spans="1:16" x14ac:dyDescent="0.3">
      <c r="A10" s="1">
        <v>45239</v>
      </c>
      <c r="B10" s="3">
        <v>40</v>
      </c>
      <c r="C10" s="3"/>
      <c r="D10" s="3"/>
      <c r="E10" s="3"/>
      <c r="F10" s="3"/>
      <c r="G10" s="3"/>
      <c r="H10" s="3">
        <v>45.56666666666667</v>
      </c>
      <c r="I10" s="3"/>
      <c r="J10" s="3"/>
      <c r="K10" s="3"/>
      <c r="L10" s="3"/>
      <c r="M10" s="3">
        <f>SUM(表2_2456[[#This Row],[吃饭]:[学习阅读]])</f>
        <v>85.566666666666663</v>
      </c>
      <c r="N10" s="3">
        <f>表2_2456[[#This Row],[合计]]-表2_2456[[#This Row],[房租]]-表2_2456[[#This Row],[水电话费]]</f>
        <v>39.999999999999993</v>
      </c>
    </row>
    <row r="11" spans="1:16" x14ac:dyDescent="0.3">
      <c r="A11" s="1">
        <v>45240</v>
      </c>
      <c r="B11" s="3">
        <v>2.8</v>
      </c>
      <c r="C11" s="3"/>
      <c r="D11" s="3"/>
      <c r="E11" s="3"/>
      <c r="F11" s="3"/>
      <c r="G11" s="3"/>
      <c r="H11" s="3">
        <v>45.56666666666667</v>
      </c>
      <c r="I11" s="3"/>
      <c r="J11" s="3"/>
      <c r="K11" s="3"/>
      <c r="L11" s="3"/>
      <c r="M11" s="3">
        <f>SUM(表2_2456[[#This Row],[吃饭]:[学习阅读]])</f>
        <v>48.366666666666667</v>
      </c>
      <c r="N11" s="3">
        <f>表2_2456[[#This Row],[合计]]-表2_2456[[#This Row],[房租]]-表2_2456[[#This Row],[水电话费]]</f>
        <v>2.7999999999999972</v>
      </c>
    </row>
    <row r="12" spans="1:16" x14ac:dyDescent="0.3">
      <c r="A12" s="1">
        <v>45241</v>
      </c>
      <c r="B12" s="3">
        <v>31</v>
      </c>
      <c r="C12" s="3"/>
      <c r="D12" s="3">
        <v>100</v>
      </c>
      <c r="E12" s="3">
        <v>159</v>
      </c>
      <c r="F12" s="3"/>
      <c r="G12" s="3"/>
      <c r="H12" s="3">
        <v>45.56666666666667</v>
      </c>
      <c r="I12" s="3">
        <v>45.5</v>
      </c>
      <c r="J12" s="3"/>
      <c r="K12" s="3"/>
      <c r="L12" s="3"/>
      <c r="M12" s="3">
        <f>SUM(表2_2456[[#This Row],[吃饭]:[学习阅读]])</f>
        <v>381.06666666666666</v>
      </c>
      <c r="N12" s="3">
        <f>表2_2456[[#This Row],[合计]]-表2_2456[[#This Row],[房租]]-表2_2456[[#This Row],[水电话费]]</f>
        <v>290</v>
      </c>
      <c r="P12" s="6"/>
    </row>
    <row r="13" spans="1:16" x14ac:dyDescent="0.3">
      <c r="A13" s="1">
        <v>45242</v>
      </c>
      <c r="B13" s="3">
        <v>6</v>
      </c>
      <c r="C13" s="3"/>
      <c r="D13" s="3">
        <v>7</v>
      </c>
      <c r="E13" s="3">
        <v>45</v>
      </c>
      <c r="F13" s="3"/>
      <c r="G13" s="3"/>
      <c r="H13" s="3">
        <v>45.56666666666667</v>
      </c>
      <c r="I13" s="3"/>
      <c r="J13" s="3"/>
      <c r="K13" s="3"/>
      <c r="L13" s="3"/>
      <c r="M13" s="3">
        <f>SUM(表2_2456[[#This Row],[吃饭]:[学习阅读]])</f>
        <v>103.56666666666666</v>
      </c>
      <c r="N13" s="3">
        <f>表2_2456[[#This Row],[合计]]-表2_2456[[#This Row],[房租]]-表2_2456[[#This Row],[水电话费]]</f>
        <v>57.999999999999993</v>
      </c>
    </row>
    <row r="14" spans="1:16" x14ac:dyDescent="0.3">
      <c r="A14" s="1">
        <v>45243</v>
      </c>
      <c r="B14" s="3">
        <v>6</v>
      </c>
      <c r="C14" s="3"/>
      <c r="D14" s="3">
        <v>23</v>
      </c>
      <c r="E14" s="3"/>
      <c r="F14" s="3"/>
      <c r="G14" s="3"/>
      <c r="H14" s="3">
        <v>45.56666666666667</v>
      </c>
      <c r="I14" s="3"/>
      <c r="J14" s="3"/>
      <c r="K14" s="3"/>
      <c r="L14" s="3"/>
      <c r="M14" s="3">
        <f>SUM(表2_2456[[#This Row],[吃饭]:[学习阅读]])</f>
        <v>74.566666666666663</v>
      </c>
      <c r="N14" s="3">
        <f>表2_2456[[#This Row],[合计]]-表2_2456[[#This Row],[房租]]-表2_2456[[#This Row],[水电话费]]</f>
        <v>28.999999999999993</v>
      </c>
    </row>
    <row r="15" spans="1:16" x14ac:dyDescent="0.3">
      <c r="A15" s="1">
        <v>45244</v>
      </c>
      <c r="B15" s="3">
        <v>7.4</v>
      </c>
      <c r="C15" s="3"/>
      <c r="D15" s="3"/>
      <c r="E15" s="3"/>
      <c r="F15" s="3">
        <v>15</v>
      </c>
      <c r="G15" s="3"/>
      <c r="H15" s="3">
        <v>45.56666666666667</v>
      </c>
      <c r="I15" s="3"/>
      <c r="J15" s="3"/>
      <c r="K15" s="3"/>
      <c r="L15" s="3"/>
      <c r="M15" s="3">
        <f>SUM(表2_2456[[#This Row],[吃饭]:[学习阅读]])</f>
        <v>67.966666666666669</v>
      </c>
      <c r="N15" s="3">
        <f>表2_2456[[#This Row],[合计]]-表2_2456[[#This Row],[房租]]-表2_2456[[#This Row],[水电话费]]</f>
        <v>22.4</v>
      </c>
    </row>
    <row r="16" spans="1:16" x14ac:dyDescent="0.3">
      <c r="A16" s="1">
        <v>45245</v>
      </c>
      <c r="B16" s="3">
        <v>2.8</v>
      </c>
      <c r="C16" s="3">
        <v>9</v>
      </c>
      <c r="D16" s="3"/>
      <c r="E16" s="3"/>
      <c r="F16" s="3"/>
      <c r="G16" s="3"/>
      <c r="H16" s="3">
        <v>45.56666666666667</v>
      </c>
      <c r="I16" s="3"/>
      <c r="J16" s="3"/>
      <c r="K16" s="3"/>
      <c r="L16" s="3"/>
      <c r="M16" s="3">
        <f>SUM(表2_2456[[#This Row],[吃饭]:[学习阅读]])</f>
        <v>57.366666666666674</v>
      </c>
      <c r="N16" s="3">
        <f>表2_2456[[#This Row],[合计]]-表2_2456[[#This Row],[房租]]-表2_2456[[#This Row],[水电话费]]</f>
        <v>11.800000000000004</v>
      </c>
    </row>
    <row r="17" spans="1:14" x14ac:dyDescent="0.3">
      <c r="A17" s="1">
        <v>45246</v>
      </c>
      <c r="B17" s="3">
        <v>23</v>
      </c>
      <c r="C17" s="3"/>
      <c r="D17" s="3"/>
      <c r="E17" s="3"/>
      <c r="F17" s="3"/>
      <c r="G17" s="3"/>
      <c r="H17" s="3">
        <v>45.56666666666667</v>
      </c>
      <c r="I17" s="3"/>
      <c r="J17" s="3"/>
      <c r="K17" s="3"/>
      <c r="L17" s="3"/>
      <c r="M17" s="3">
        <f>SUM(表2_2456[[#This Row],[吃饭]:[学习阅读]])</f>
        <v>68.566666666666663</v>
      </c>
      <c r="N17" s="3">
        <f>表2_2456[[#This Row],[合计]]-表2_2456[[#This Row],[房租]]-表2_2456[[#This Row],[水电话费]]</f>
        <v>22.999999999999993</v>
      </c>
    </row>
    <row r="18" spans="1:14" x14ac:dyDescent="0.3">
      <c r="A18" s="1">
        <v>45247</v>
      </c>
      <c r="B18" s="3">
        <v>50</v>
      </c>
      <c r="C18" s="3"/>
      <c r="D18" s="3"/>
      <c r="E18" s="3"/>
      <c r="F18" s="3">
        <v>8.5</v>
      </c>
      <c r="G18" s="3"/>
      <c r="H18" s="3">
        <v>45.56666666666667</v>
      </c>
      <c r="I18" s="3"/>
      <c r="J18" s="3"/>
      <c r="K18" s="3"/>
      <c r="L18" s="3"/>
      <c r="M18" s="3">
        <f>SUM(表2_2456[[#This Row],[吃饭]:[学习阅读]])</f>
        <v>104.06666666666666</v>
      </c>
      <c r="N18" s="3">
        <f>表2_2456[[#This Row],[合计]]-表2_2456[[#This Row],[房租]]-表2_2456[[#This Row],[水电话费]]</f>
        <v>58.499999999999993</v>
      </c>
    </row>
    <row r="19" spans="1:14" x14ac:dyDescent="0.3">
      <c r="A19" s="1">
        <v>45248</v>
      </c>
      <c r="B19" s="3">
        <f>(95+47.5+22+30+11+15+90+12+6+58)/2</f>
        <v>193.25</v>
      </c>
      <c r="C19" s="3"/>
      <c r="D19" s="3">
        <f>(95+47.5+22+30+11+15+90+12+6+58)/2</f>
        <v>193.25</v>
      </c>
      <c r="E19" s="3">
        <v>19.899999999999999</v>
      </c>
      <c r="F19" s="3"/>
      <c r="G19" s="3"/>
      <c r="H19" s="3">
        <v>45.56666666666667</v>
      </c>
      <c r="I19" s="3"/>
      <c r="J19" s="3">
        <v>38.5</v>
      </c>
      <c r="K19" s="3"/>
      <c r="L19" s="3"/>
      <c r="M19" s="3">
        <f>SUM(表2_2456[[#This Row],[吃饭]:[学习阅读]])</f>
        <v>490.46666666666664</v>
      </c>
      <c r="N19" s="3">
        <f>表2_2456[[#This Row],[合计]]-表2_2456[[#This Row],[房租]]-表2_2456[[#This Row],[水电话费]]</f>
        <v>444.9</v>
      </c>
    </row>
    <row r="20" spans="1:14" x14ac:dyDescent="0.3">
      <c r="A20" s="1">
        <v>45249</v>
      </c>
      <c r="B20" s="3">
        <f>(64+36+17)/2+36</f>
        <v>94.5</v>
      </c>
      <c r="C20" s="3"/>
      <c r="D20" s="3">
        <f>(64+36+17)/2</f>
        <v>58.5</v>
      </c>
      <c r="E20" s="3">
        <v>5</v>
      </c>
      <c r="F20" s="3"/>
      <c r="G20" s="3"/>
      <c r="H20" s="3">
        <v>45.56666666666667</v>
      </c>
      <c r="I20" s="3"/>
      <c r="J20" s="3"/>
      <c r="K20" s="3"/>
      <c r="L20" s="3"/>
      <c r="M20" s="3">
        <f>SUM(表2_2456[[#This Row],[吃饭]:[学习阅读]])</f>
        <v>203.56666666666666</v>
      </c>
      <c r="N20" s="3">
        <f>表2_2456[[#This Row],[合计]]-表2_2456[[#This Row],[房租]]-表2_2456[[#This Row],[水电话费]]</f>
        <v>158</v>
      </c>
    </row>
    <row r="21" spans="1:14" x14ac:dyDescent="0.3">
      <c r="A21" s="1">
        <v>45250</v>
      </c>
      <c r="B21" s="3">
        <v>14.9</v>
      </c>
      <c r="C21" s="3"/>
      <c r="D21" s="3">
        <v>15.9</v>
      </c>
      <c r="E21" s="3"/>
      <c r="F21" s="3">
        <v>8.6999999999999993</v>
      </c>
      <c r="G21" s="3"/>
      <c r="H21" s="3">
        <v>45.56666666666667</v>
      </c>
      <c r="I21" s="3"/>
      <c r="J21" s="3"/>
      <c r="K21" s="3"/>
      <c r="L21" s="3"/>
      <c r="M21" s="3">
        <f>SUM(表2_2456[[#This Row],[吃饭]:[学习阅读]])</f>
        <v>85.066666666666663</v>
      </c>
      <c r="N21" s="3">
        <f>表2_2456[[#This Row],[合计]]-表2_2456[[#This Row],[房租]]-表2_2456[[#This Row],[水电话费]]</f>
        <v>39.499999999999993</v>
      </c>
    </row>
    <row r="22" spans="1:14" x14ac:dyDescent="0.3">
      <c r="A22" s="1">
        <v>45251</v>
      </c>
      <c r="B22" s="3">
        <v>13.78</v>
      </c>
      <c r="C22" s="3"/>
      <c r="D22" s="3"/>
      <c r="E22" s="3"/>
      <c r="F22" s="3">
        <v>8.5</v>
      </c>
      <c r="G22" s="3"/>
      <c r="H22" s="3">
        <v>45.56666666666667</v>
      </c>
      <c r="I22" s="3"/>
      <c r="J22" s="3"/>
      <c r="K22" s="3"/>
      <c r="L22" s="3"/>
      <c r="M22" s="3">
        <f>SUM(表2_2456[[#This Row],[吃饭]:[学习阅读]])</f>
        <v>67.846666666666664</v>
      </c>
      <c r="N22" s="3">
        <f>表2_2456[[#This Row],[合计]]-表2_2456[[#This Row],[房租]]-表2_2456[[#This Row],[水电话费]]</f>
        <v>22.279999999999994</v>
      </c>
    </row>
    <row r="23" spans="1:14" x14ac:dyDescent="0.3">
      <c r="A23" s="1">
        <v>45252</v>
      </c>
      <c r="B23" s="3">
        <v>20</v>
      </c>
      <c r="C23" s="3"/>
      <c r="D23" s="3"/>
      <c r="E23" s="3">
        <v>3.5</v>
      </c>
      <c r="F23" s="3">
        <v>21</v>
      </c>
      <c r="G23" s="3"/>
      <c r="H23" s="3">
        <v>45.56666666666667</v>
      </c>
      <c r="I23" s="3"/>
      <c r="J23" s="3"/>
      <c r="K23" s="3"/>
      <c r="L23" s="3"/>
      <c r="M23" s="3">
        <f>SUM(表2_2456[[#This Row],[吃饭]:[学习阅读]])</f>
        <v>90.066666666666663</v>
      </c>
      <c r="N23" s="3">
        <f>表2_2456[[#This Row],[合计]]-表2_2456[[#This Row],[房租]]-表2_2456[[#This Row],[水电话费]]</f>
        <v>44.499999999999993</v>
      </c>
    </row>
    <row r="24" spans="1:14" x14ac:dyDescent="0.3">
      <c r="A24" s="1">
        <v>45253</v>
      </c>
      <c r="B24" s="3">
        <v>66</v>
      </c>
      <c r="C24" s="3"/>
      <c r="D24" s="3"/>
      <c r="E24" s="3"/>
      <c r="F24" s="3"/>
      <c r="G24" s="3"/>
      <c r="H24" s="3">
        <v>45.56666666666667</v>
      </c>
      <c r="I24" s="3"/>
      <c r="J24" s="3"/>
      <c r="K24" s="3"/>
      <c r="L24" s="3"/>
      <c r="M24" s="3">
        <f>SUM(表2_2456[[#This Row],[吃饭]:[学习阅读]])</f>
        <v>111.56666666666666</v>
      </c>
      <c r="N24" s="3">
        <f>表2_2456[[#This Row],[合计]]-表2_2456[[#This Row],[房租]]-表2_2456[[#This Row],[水电话费]]</f>
        <v>66</v>
      </c>
    </row>
    <row r="25" spans="1:14" x14ac:dyDescent="0.3">
      <c r="A25" s="1">
        <v>45254</v>
      </c>
      <c r="B25" s="3">
        <v>9.9</v>
      </c>
      <c r="C25" s="3">
        <v>9</v>
      </c>
      <c r="D25" s="3"/>
      <c r="E25" s="3"/>
      <c r="F25" s="3"/>
      <c r="G25" s="3"/>
      <c r="H25" s="3">
        <v>45.56666666666667</v>
      </c>
      <c r="I25" s="3"/>
      <c r="J25" s="3"/>
      <c r="K25" s="3"/>
      <c r="L25" s="3"/>
      <c r="M25" s="3">
        <f>SUM(表2_2456[[#This Row],[吃饭]:[学习阅读]])</f>
        <v>64.466666666666669</v>
      </c>
      <c r="N25" s="3">
        <f>表2_2456[[#This Row],[合计]]-表2_2456[[#This Row],[房租]]-表2_2456[[#This Row],[水电话费]]</f>
        <v>18.899999999999999</v>
      </c>
    </row>
    <row r="26" spans="1:14" x14ac:dyDescent="0.3">
      <c r="A26" s="1">
        <v>45255</v>
      </c>
      <c r="B26" s="3">
        <v>24.5</v>
      </c>
      <c r="C26" s="3"/>
      <c r="D26" s="3">
        <v>25</v>
      </c>
      <c r="E26" s="3">
        <v>23</v>
      </c>
      <c r="F26" s="3"/>
      <c r="G26" s="3"/>
      <c r="H26" s="3">
        <v>45.56666666666667</v>
      </c>
      <c r="I26" s="3"/>
      <c r="J26" s="3"/>
      <c r="K26" s="3"/>
      <c r="L26" s="3"/>
      <c r="M26" s="3">
        <f>SUM(表2_2456[[#This Row],[吃饭]:[学习阅读]])</f>
        <v>118.06666666666666</v>
      </c>
      <c r="N26" s="3">
        <f>表2_2456[[#This Row],[合计]]-表2_2456[[#This Row],[房租]]-表2_2456[[#This Row],[水电话费]]</f>
        <v>72.5</v>
      </c>
    </row>
    <row r="27" spans="1:14" x14ac:dyDescent="0.3">
      <c r="A27" s="1">
        <v>45256</v>
      </c>
      <c r="B27" s="3">
        <f>16+12+5.9+17.9</f>
        <v>51.8</v>
      </c>
      <c r="C27" s="3"/>
      <c r="D27" s="3"/>
      <c r="E27" s="3"/>
      <c r="F27" s="3"/>
      <c r="G27" s="3"/>
      <c r="H27" s="3">
        <v>45.56666666666667</v>
      </c>
      <c r="I27" s="3"/>
      <c r="J27" s="3"/>
      <c r="K27" s="3"/>
      <c r="L27" s="3"/>
      <c r="M27" s="3">
        <f>SUM(表2_2456[[#This Row],[吃饭]:[学习阅读]])</f>
        <v>97.366666666666674</v>
      </c>
      <c r="N27" s="3">
        <f>表2_2456[[#This Row],[合计]]-表2_2456[[#This Row],[房租]]-表2_2456[[#This Row],[水电话费]]</f>
        <v>51.800000000000004</v>
      </c>
    </row>
    <row r="28" spans="1:14" x14ac:dyDescent="0.3">
      <c r="A28" s="1">
        <v>45257</v>
      </c>
      <c r="B28" s="3">
        <v>6.5</v>
      </c>
      <c r="C28" s="3">
        <v>5</v>
      </c>
      <c r="D28" s="3"/>
      <c r="E28" s="3"/>
      <c r="F28" s="3">
        <v>8</v>
      </c>
      <c r="G28" s="3"/>
      <c r="H28" s="3">
        <v>45.56666666666667</v>
      </c>
      <c r="I28" s="3"/>
      <c r="J28" s="3"/>
      <c r="K28" s="3"/>
      <c r="L28" s="3"/>
      <c r="M28" s="3">
        <f>SUM(表2_2456[[#This Row],[吃饭]:[学习阅读]])</f>
        <v>65.066666666666663</v>
      </c>
      <c r="N28" s="3">
        <f>表2_2456[[#This Row],[合计]]-表2_2456[[#This Row],[房租]]-表2_2456[[#This Row],[水电话费]]</f>
        <v>19.499999999999993</v>
      </c>
    </row>
    <row r="29" spans="1:14" x14ac:dyDescent="0.3">
      <c r="A29" s="1">
        <v>45258</v>
      </c>
      <c r="B29" s="3">
        <v>3.8</v>
      </c>
      <c r="C29" s="3">
        <v>3</v>
      </c>
      <c r="D29" s="3"/>
      <c r="E29" s="3">
        <v>560</v>
      </c>
      <c r="F29" s="3"/>
      <c r="G29" s="3"/>
      <c r="H29" s="3">
        <v>45.56666666666667</v>
      </c>
      <c r="I29" s="3"/>
      <c r="J29" s="3"/>
      <c r="K29" s="3"/>
      <c r="L29" s="3"/>
      <c r="M29" s="3">
        <f>SUM(表2_2456[[#This Row],[吃饭]:[学习阅读]])</f>
        <v>612.36666666666667</v>
      </c>
      <c r="N29" s="3">
        <f>表2_2456[[#This Row],[合计]]-表2_2456[[#This Row],[房租]]-表2_2456[[#This Row],[水电话费]]</f>
        <v>566.79999999999995</v>
      </c>
    </row>
    <row r="30" spans="1:14" x14ac:dyDescent="0.3">
      <c r="A30" s="1">
        <v>45259</v>
      </c>
      <c r="B30" s="3">
        <v>28.98</v>
      </c>
      <c r="C30" s="3"/>
      <c r="D30" s="3"/>
      <c r="E30" s="3"/>
      <c r="F30" s="3">
        <v>9</v>
      </c>
      <c r="G30" s="3"/>
      <c r="H30" s="3">
        <v>45.56666666666667</v>
      </c>
      <c r="I30" s="3"/>
      <c r="J30" s="3"/>
      <c r="K30" s="3"/>
      <c r="L30" s="3"/>
      <c r="M30" s="3">
        <f>SUM(表2_2456[[#This Row],[吃饭]:[学习阅读]])</f>
        <v>83.546666666666681</v>
      </c>
      <c r="N30" s="3">
        <f>表2_2456[[#This Row],[合计]]-表2_2456[[#This Row],[房租]]-表2_2456[[#This Row],[水电话费]]</f>
        <v>37.980000000000011</v>
      </c>
    </row>
    <row r="31" spans="1:14" x14ac:dyDescent="0.3">
      <c r="A31" s="1">
        <v>45260</v>
      </c>
      <c r="B31" s="3">
        <v>19</v>
      </c>
      <c r="C31" s="3"/>
      <c r="D31" s="3"/>
      <c r="E31" s="3">
        <v>235</v>
      </c>
      <c r="F31" s="3">
        <v>8</v>
      </c>
      <c r="G31" s="3"/>
      <c r="H31" s="3">
        <v>45.56666666666667</v>
      </c>
      <c r="I31" s="3"/>
      <c r="J31" s="3"/>
      <c r="K31" s="3"/>
      <c r="L31" s="3"/>
      <c r="M31" s="3">
        <f>SUM(表2_2456[[#This Row],[吃饭]:[学习阅读]])</f>
        <v>307.56666666666666</v>
      </c>
      <c r="N31" s="3">
        <f>表2_2456[[#This Row],[合计]]-表2_2456[[#This Row],[房租]]-表2_2456[[#This Row],[水电话费]]</f>
        <v>262</v>
      </c>
    </row>
    <row r="32" spans="1:14" ht="37.25" customHeight="1" x14ac:dyDescent="0.3">
      <c r="A32" s="7" t="s">
        <v>11</v>
      </c>
      <c r="B32" s="3">
        <f t="shared" ref="B32:M32" si="0">SUM(B2:B31)</f>
        <v>947.70999999999981</v>
      </c>
      <c r="C32" s="3">
        <f t="shared" si="0"/>
        <v>34.5</v>
      </c>
      <c r="D32" s="3">
        <f t="shared" si="0"/>
        <v>773.05</v>
      </c>
      <c r="E32" s="3">
        <f t="shared" si="0"/>
        <v>1356.4</v>
      </c>
      <c r="F32" s="3">
        <f t="shared" si="0"/>
        <v>94.7</v>
      </c>
      <c r="G32" s="3">
        <f t="shared" si="0"/>
        <v>0</v>
      </c>
      <c r="H32" s="3">
        <f t="shared" si="0"/>
        <v>1367.0000000000002</v>
      </c>
      <c r="I32" s="3">
        <f t="shared" si="0"/>
        <v>175.5</v>
      </c>
      <c r="J32" s="3">
        <f t="shared" si="0"/>
        <v>38.5</v>
      </c>
      <c r="K32" s="3">
        <f t="shared" si="0"/>
        <v>0</v>
      </c>
      <c r="L32" s="3">
        <f t="shared" si="0"/>
        <v>0</v>
      </c>
      <c r="M32" s="5">
        <f t="shared" si="0"/>
        <v>4787.3599999999997</v>
      </c>
      <c r="N32" s="3">
        <f>表2_2456[[#This Row],[合计]]-表2_2456[[#This Row],[房租]]-表2_2456[[#This Row],[水电话费]]</f>
        <v>3244.8599999999997</v>
      </c>
    </row>
    <row r="33" spans="2:1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4787.3599999999997</v>
      </c>
      <c r="M33" s="3"/>
    </row>
  </sheetData>
  <phoneticPr fontId="1" type="noConversion"/>
  <conditionalFormatting sqref="N2:N31">
    <cfRule type="cellIs" dxfId="4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F272-5FFF-4659-8E7C-D74A91DCFA4F}">
  <dimension ref="A1:P34"/>
  <sheetViews>
    <sheetView topLeftCell="A10" zoomScaleNormal="100" workbookViewId="0">
      <selection activeCell="E37" sqref="E37"/>
    </sheetView>
  </sheetViews>
  <sheetFormatPr defaultColWidth="8.9140625" defaultRowHeight="14" x14ac:dyDescent="0.3"/>
  <cols>
    <col min="1" max="1" width="19" style="1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6" ht="20.3999999999999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3">
      <c r="A2" s="1">
        <v>45261</v>
      </c>
      <c r="B2" s="3">
        <f>14.9+10.9+44.2+13.9</f>
        <v>83.9</v>
      </c>
      <c r="C2" s="3"/>
      <c r="D2" s="3"/>
      <c r="E2" s="3">
        <v>560</v>
      </c>
      <c r="F2" s="3">
        <v>8.6</v>
      </c>
      <c r="G2" s="3"/>
      <c r="H2" s="3">
        <v>40.967741935483872</v>
      </c>
      <c r="I2" s="3">
        <v>99</v>
      </c>
      <c r="J2" s="3"/>
      <c r="K2" s="3"/>
      <c r="L2" s="3"/>
      <c r="M2" s="3">
        <f>SUM(表2_24567[[#This Row],[吃饭]:[学习阅读]])</f>
        <v>792.4677419354839</v>
      </c>
      <c r="N2" s="3">
        <f>表2_24567[[#This Row],[合计]]-表2_24567[[#This Row],[房租]]-表2_24567[[#This Row],[水电话费]]</f>
        <v>652.5</v>
      </c>
    </row>
    <row r="3" spans="1:16" x14ac:dyDescent="0.3">
      <c r="A3" s="1">
        <v>45262</v>
      </c>
      <c r="B3" s="3">
        <f>14.7+4.5+13.9+4+1+10+16.8+49.8+1+5+2+10+3.9+18.7+17.1</f>
        <v>172.39999999999998</v>
      </c>
      <c r="C3" s="3"/>
      <c r="D3" s="3"/>
      <c r="E3" s="3">
        <v>235</v>
      </c>
      <c r="F3" s="3">
        <v>20</v>
      </c>
      <c r="G3" s="3"/>
      <c r="H3" s="3">
        <v>40.967741935483872</v>
      </c>
      <c r="I3" s="3"/>
      <c r="J3" s="3"/>
      <c r="K3" s="3"/>
      <c r="L3" s="3"/>
      <c r="M3" s="3">
        <f>SUM(表2_24567[[#This Row],[吃饭]:[学习阅读]])</f>
        <v>468.36774193548388</v>
      </c>
      <c r="N3" s="3">
        <f>表2_24567[[#This Row],[合计]]-表2_24567[[#This Row],[房租]]-表2_24567[[#This Row],[水电话费]]</f>
        <v>427.4</v>
      </c>
    </row>
    <row r="4" spans="1:16" x14ac:dyDescent="0.3">
      <c r="A4" s="1">
        <v>45263</v>
      </c>
      <c r="B4" s="3">
        <f>5+26+21</f>
        <v>52</v>
      </c>
      <c r="C4" s="3"/>
      <c r="D4" s="3"/>
      <c r="E4" s="3"/>
      <c r="F4" s="3">
        <v>23</v>
      </c>
      <c r="G4" s="3"/>
      <c r="H4" s="3">
        <v>40.967741935483872</v>
      </c>
      <c r="I4" s="3"/>
      <c r="J4" s="3"/>
      <c r="K4" s="3"/>
      <c r="L4" s="3"/>
      <c r="M4" s="3">
        <f>SUM(表2_24567[[#This Row],[吃饭]:[学习阅读]])</f>
        <v>115.96774193548387</v>
      </c>
      <c r="N4" s="3">
        <f>表2_24567[[#This Row],[合计]]-表2_24567[[#This Row],[房租]]-表2_24567[[#This Row],[水电话费]]</f>
        <v>75</v>
      </c>
    </row>
    <row r="5" spans="1:16" x14ac:dyDescent="0.3">
      <c r="A5" s="1">
        <v>45264</v>
      </c>
      <c r="B5" s="3">
        <f>15.9+16</f>
        <v>31.9</v>
      </c>
      <c r="C5" s="3"/>
      <c r="D5" s="3"/>
      <c r="E5" s="3"/>
      <c r="F5" s="3">
        <v>9</v>
      </c>
      <c r="G5" s="3"/>
      <c r="H5" s="3">
        <v>40.967741935483872</v>
      </c>
      <c r="I5" s="3"/>
      <c r="J5" s="3"/>
      <c r="K5" s="3"/>
      <c r="L5" s="3"/>
      <c r="M5" s="3">
        <f>SUM(表2_24567[[#This Row],[吃饭]:[学习阅读]])</f>
        <v>81.867741935483878</v>
      </c>
      <c r="N5" s="3">
        <f>表2_24567[[#This Row],[合计]]-表2_24567[[#This Row],[房租]]-表2_24567[[#This Row],[水电话费]]</f>
        <v>40.900000000000006</v>
      </c>
    </row>
    <row r="6" spans="1:16" x14ac:dyDescent="0.3">
      <c r="A6" s="1">
        <v>45265</v>
      </c>
      <c r="B6" s="3">
        <v>26</v>
      </c>
      <c r="C6" s="3">
        <v>6</v>
      </c>
      <c r="D6" s="3">
        <v>800</v>
      </c>
      <c r="E6" s="3"/>
      <c r="F6" s="3"/>
      <c r="G6" s="3"/>
      <c r="H6" s="3">
        <v>40.967741935483872</v>
      </c>
      <c r="I6" s="3"/>
      <c r="J6" s="3"/>
      <c r="K6" s="3"/>
      <c r="L6" s="3"/>
      <c r="M6" s="3">
        <f>SUM(表2_24567[[#This Row],[吃饭]:[学习阅读]])</f>
        <v>872.9677419354839</v>
      </c>
      <c r="N6" s="3">
        <f>表2_24567[[#This Row],[合计]]-表2_24567[[#This Row],[房租]]-表2_24567[[#This Row],[水电话费]]</f>
        <v>832</v>
      </c>
    </row>
    <row r="7" spans="1:16" x14ac:dyDescent="0.3">
      <c r="A7" s="1">
        <v>45266</v>
      </c>
      <c r="B7" s="3">
        <f>3+3+10</f>
        <v>16</v>
      </c>
      <c r="C7" s="3"/>
      <c r="D7" s="3"/>
      <c r="E7" s="3">
        <v>66</v>
      </c>
      <c r="F7" s="3">
        <v>9</v>
      </c>
      <c r="G7" s="3"/>
      <c r="H7" s="3">
        <v>40.967741935483872</v>
      </c>
      <c r="I7" s="3"/>
      <c r="J7" s="3"/>
      <c r="K7" s="3"/>
      <c r="L7" s="3"/>
      <c r="M7" s="3">
        <f>SUM(表2_24567[[#This Row],[吃饭]:[学习阅读]])</f>
        <v>131.96774193548387</v>
      </c>
      <c r="N7" s="3">
        <f>表2_24567[[#This Row],[合计]]-表2_24567[[#This Row],[房租]]-表2_24567[[#This Row],[水电话费]]</f>
        <v>91</v>
      </c>
    </row>
    <row r="8" spans="1:16" x14ac:dyDescent="0.3">
      <c r="A8" s="1">
        <v>45267</v>
      </c>
      <c r="B8" s="3">
        <f>3.8+5</f>
        <v>8.8000000000000007</v>
      </c>
      <c r="C8" s="3"/>
      <c r="D8" s="3"/>
      <c r="E8" s="3">
        <v>5.99</v>
      </c>
      <c r="F8" s="3"/>
      <c r="G8" s="3"/>
      <c r="H8" s="3">
        <v>40.967741935483872</v>
      </c>
      <c r="I8" s="3"/>
      <c r="J8" s="3"/>
      <c r="K8" s="3"/>
      <c r="L8" s="3"/>
      <c r="M8" s="3">
        <f>SUM(表2_24567[[#This Row],[吃饭]:[学习阅读]])</f>
        <v>55.757741935483871</v>
      </c>
      <c r="N8" s="3">
        <f>表2_24567[[#This Row],[合计]]-表2_24567[[#This Row],[房租]]-表2_24567[[#This Row],[水电话费]]</f>
        <v>14.79</v>
      </c>
    </row>
    <row r="9" spans="1:16" x14ac:dyDescent="0.3">
      <c r="A9" s="1">
        <v>45268</v>
      </c>
      <c r="B9" s="3"/>
      <c r="C9" s="3">
        <v>10</v>
      </c>
      <c r="D9" s="3"/>
      <c r="E9" s="3"/>
      <c r="F9" s="3">
        <v>9</v>
      </c>
      <c r="G9" s="3"/>
      <c r="H9" s="3">
        <v>40.967741935483872</v>
      </c>
      <c r="I9" s="3"/>
      <c r="J9" s="3"/>
      <c r="K9" s="3"/>
      <c r="L9" s="3"/>
      <c r="M9" s="3">
        <f>SUM(表2_24567[[#This Row],[吃饭]:[学习阅读]])</f>
        <v>59.967741935483872</v>
      </c>
      <c r="N9" s="3">
        <f>表2_24567[[#This Row],[合计]]-表2_24567[[#This Row],[房租]]-表2_24567[[#This Row],[水电话费]]</f>
        <v>19</v>
      </c>
    </row>
    <row r="10" spans="1:16" x14ac:dyDescent="0.3">
      <c r="A10" s="1">
        <v>45269</v>
      </c>
      <c r="B10" s="3">
        <f>7+15+61.2+3+2</f>
        <v>88.2</v>
      </c>
      <c r="C10" s="3"/>
      <c r="D10" s="3"/>
      <c r="E10" s="3"/>
      <c r="F10" s="3"/>
      <c r="G10" s="3">
        <v>5</v>
      </c>
      <c r="H10" s="3">
        <v>40.967741935483872</v>
      </c>
      <c r="I10" s="3"/>
      <c r="J10" s="3"/>
      <c r="K10" s="3"/>
      <c r="L10" s="3"/>
      <c r="M10" s="3">
        <f>SUM(表2_24567[[#This Row],[吃饭]:[学习阅读]])</f>
        <v>134.16774193548389</v>
      </c>
      <c r="N10" s="3">
        <f>表2_24567[[#This Row],[合计]]-表2_24567[[#This Row],[房租]]-表2_24567[[#This Row],[水电话费]]</f>
        <v>93.200000000000017</v>
      </c>
    </row>
    <row r="11" spans="1:16" x14ac:dyDescent="0.3">
      <c r="A11" s="1">
        <v>45270</v>
      </c>
      <c r="B11" s="3">
        <v>211</v>
      </c>
      <c r="C11" s="3"/>
      <c r="D11" s="3"/>
      <c r="E11" s="3">
        <f>9.79+1.71+40+10.16+14.9</f>
        <v>76.56</v>
      </c>
      <c r="F11" s="3"/>
      <c r="G11" s="3"/>
      <c r="H11" s="3">
        <v>40.967741935483872</v>
      </c>
      <c r="I11" s="3">
        <v>66.5</v>
      </c>
      <c r="J11" s="3"/>
      <c r="K11" s="3"/>
      <c r="L11" s="3"/>
      <c r="M11" s="3">
        <f>SUM(表2_24567[[#This Row],[吃饭]:[学习阅读]])</f>
        <v>395.02774193548385</v>
      </c>
      <c r="N11" s="3">
        <f>表2_24567[[#This Row],[合计]]-表2_24567[[#This Row],[房租]]-表2_24567[[#This Row],[水电话费]]</f>
        <v>287.55999999999995</v>
      </c>
    </row>
    <row r="12" spans="1:16" x14ac:dyDescent="0.3">
      <c r="A12" s="1">
        <v>45271</v>
      </c>
      <c r="B12" s="3">
        <v>6</v>
      </c>
      <c r="C12" s="3"/>
      <c r="D12" s="3"/>
      <c r="E12" s="3"/>
      <c r="F12" s="3"/>
      <c r="G12" s="3"/>
      <c r="H12" s="3">
        <v>40.967741935483872</v>
      </c>
      <c r="I12" s="3"/>
      <c r="J12" s="3"/>
      <c r="K12" s="3"/>
      <c r="L12" s="3"/>
      <c r="M12" s="3">
        <f>SUM(表2_24567[[#This Row],[吃饭]:[学习阅读]])</f>
        <v>46.967741935483872</v>
      </c>
      <c r="N12" s="3">
        <f>表2_24567[[#This Row],[合计]]-表2_24567[[#This Row],[房租]]-表2_24567[[#This Row],[水电话费]]</f>
        <v>6</v>
      </c>
      <c r="P12" s="6"/>
    </row>
    <row r="13" spans="1:16" x14ac:dyDescent="0.3">
      <c r="A13" s="1">
        <v>45272</v>
      </c>
      <c r="B13" s="3">
        <v>3</v>
      </c>
      <c r="C13" s="3"/>
      <c r="D13" s="3"/>
      <c r="E13" s="3"/>
      <c r="F13" s="3"/>
      <c r="G13" s="3"/>
      <c r="H13" s="3">
        <v>40.967741935483872</v>
      </c>
      <c r="I13" s="3"/>
      <c r="J13" s="3"/>
      <c r="K13" s="3"/>
      <c r="L13" s="3"/>
      <c r="M13" s="3">
        <f>SUM(表2_24567[[#This Row],[吃饭]:[学习阅读]])</f>
        <v>43.967741935483872</v>
      </c>
      <c r="N13" s="3">
        <f>表2_24567[[#This Row],[合计]]-表2_24567[[#This Row],[房租]]-表2_24567[[#This Row],[水电话费]]</f>
        <v>3</v>
      </c>
    </row>
    <row r="14" spans="1:16" x14ac:dyDescent="0.3">
      <c r="A14" s="1">
        <v>45273</v>
      </c>
      <c r="B14" s="3">
        <v>23.9</v>
      </c>
      <c r="C14" s="3">
        <v>6</v>
      </c>
      <c r="D14" s="3">
        <v>11.8</v>
      </c>
      <c r="E14" s="3">
        <v>15</v>
      </c>
      <c r="F14" s="3"/>
      <c r="G14" s="3"/>
      <c r="H14" s="3">
        <v>40.967741935483872</v>
      </c>
      <c r="I14" s="3"/>
      <c r="J14" s="3"/>
      <c r="K14" s="3"/>
      <c r="L14" s="3"/>
      <c r="M14" s="3">
        <f>SUM(表2_24567[[#This Row],[吃饭]:[学习阅读]])</f>
        <v>97.667741935483875</v>
      </c>
      <c r="N14" s="3">
        <f>表2_24567[[#This Row],[合计]]-表2_24567[[#This Row],[房租]]-表2_24567[[#This Row],[水电话费]]</f>
        <v>56.7</v>
      </c>
    </row>
    <row r="15" spans="1:16" x14ac:dyDescent="0.3">
      <c r="A15" s="1">
        <v>45274</v>
      </c>
      <c r="B15" s="3">
        <v>32</v>
      </c>
      <c r="C15" s="3"/>
      <c r="D15" s="3"/>
      <c r="E15" s="3"/>
      <c r="F15" s="3"/>
      <c r="G15" s="3"/>
      <c r="H15" s="3">
        <v>40.967741935483872</v>
      </c>
      <c r="I15" s="3"/>
      <c r="J15" s="3"/>
      <c r="K15" s="3"/>
      <c r="L15" s="3"/>
      <c r="M15" s="3">
        <f>SUM(表2_24567[[#This Row],[吃饭]:[学习阅读]])</f>
        <v>72.967741935483872</v>
      </c>
      <c r="N15" s="3">
        <f>表2_24567[[#This Row],[合计]]-表2_24567[[#This Row],[房租]]-表2_24567[[#This Row],[水电话费]]</f>
        <v>32</v>
      </c>
    </row>
    <row r="16" spans="1:16" x14ac:dyDescent="0.3">
      <c r="A16" s="1">
        <v>45275</v>
      </c>
      <c r="B16" s="3">
        <v>33</v>
      </c>
      <c r="C16" s="3"/>
      <c r="D16" s="3"/>
      <c r="E16" s="3"/>
      <c r="F16" s="3"/>
      <c r="G16" s="3"/>
      <c r="H16" s="3">
        <v>40.967741935483872</v>
      </c>
      <c r="I16" s="3"/>
      <c r="J16" s="3"/>
      <c r="K16" s="3"/>
      <c r="L16" s="3"/>
      <c r="M16" s="3">
        <f>SUM(表2_24567[[#This Row],[吃饭]:[学习阅读]])</f>
        <v>73.967741935483872</v>
      </c>
      <c r="N16" s="3">
        <f>表2_24567[[#This Row],[合计]]-表2_24567[[#This Row],[房租]]-表2_24567[[#This Row],[水电话费]]</f>
        <v>33</v>
      </c>
    </row>
    <row r="17" spans="1:14" x14ac:dyDescent="0.3">
      <c r="A17" s="1">
        <v>45276</v>
      </c>
      <c r="B17" s="3"/>
      <c r="C17" s="3">
        <v>3</v>
      </c>
      <c r="D17" s="3"/>
      <c r="E17" s="3"/>
      <c r="F17" s="3"/>
      <c r="G17" s="3"/>
      <c r="H17" s="3">
        <v>40.967741935483872</v>
      </c>
      <c r="I17" s="3"/>
      <c r="J17" s="3"/>
      <c r="K17" s="3"/>
      <c r="L17" s="3"/>
      <c r="M17" s="3">
        <f>SUM(表2_24567[[#This Row],[吃饭]:[学习阅读]])</f>
        <v>43.967741935483872</v>
      </c>
      <c r="N17" s="3">
        <f>表2_24567[[#This Row],[合计]]-表2_24567[[#This Row],[房租]]-表2_24567[[#This Row],[水电话费]]</f>
        <v>3</v>
      </c>
    </row>
    <row r="18" spans="1:14" x14ac:dyDescent="0.3">
      <c r="A18" s="1">
        <v>45277</v>
      </c>
      <c r="B18" s="3"/>
      <c r="C18" s="3"/>
      <c r="D18" s="3">
        <v>60</v>
      </c>
      <c r="E18" s="3">
        <v>30</v>
      </c>
      <c r="F18" s="3"/>
      <c r="G18" s="3"/>
      <c r="H18" s="3">
        <v>40.967741935483872</v>
      </c>
      <c r="I18" s="3"/>
      <c r="J18" s="3"/>
      <c r="K18" s="3"/>
      <c r="L18" s="3"/>
      <c r="M18" s="3">
        <f>SUM(表2_24567[[#This Row],[吃饭]:[学习阅读]])</f>
        <v>130.96774193548387</v>
      </c>
      <c r="N18" s="3">
        <f>表2_24567[[#This Row],[合计]]-表2_24567[[#This Row],[房租]]-表2_24567[[#This Row],[水电话费]]</f>
        <v>90</v>
      </c>
    </row>
    <row r="19" spans="1:14" x14ac:dyDescent="0.3">
      <c r="A19" s="1">
        <v>45278</v>
      </c>
      <c r="B19" s="3">
        <v>25</v>
      </c>
      <c r="C19" s="3">
        <v>19</v>
      </c>
      <c r="D19" s="3"/>
      <c r="E19" s="3"/>
      <c r="F19" s="3"/>
      <c r="G19" s="3"/>
      <c r="H19" s="3">
        <v>40.967741935483872</v>
      </c>
      <c r="I19" s="3"/>
      <c r="J19" s="3"/>
      <c r="K19" s="3"/>
      <c r="L19" s="3"/>
      <c r="M19" s="3">
        <f>SUM(表2_24567[[#This Row],[吃饭]:[学习阅读]])</f>
        <v>84.967741935483872</v>
      </c>
      <c r="N19" s="3">
        <f>表2_24567[[#This Row],[合计]]-表2_24567[[#This Row],[房租]]-表2_24567[[#This Row],[水电话费]]</f>
        <v>44</v>
      </c>
    </row>
    <row r="20" spans="1:14" x14ac:dyDescent="0.3">
      <c r="A20" s="1">
        <v>45279</v>
      </c>
      <c r="B20" s="3">
        <v>8</v>
      </c>
      <c r="C20" s="3">
        <v>9</v>
      </c>
      <c r="D20" s="3"/>
      <c r="E20" s="3"/>
      <c r="F20" s="3"/>
      <c r="G20" s="3"/>
      <c r="H20" s="3">
        <v>40.967741935483872</v>
      </c>
      <c r="I20" s="3"/>
      <c r="J20" s="3"/>
      <c r="K20" s="3"/>
      <c r="L20" s="3"/>
      <c r="M20" s="3">
        <f>SUM(表2_24567[[#This Row],[吃饭]:[学习阅读]])</f>
        <v>57.967741935483872</v>
      </c>
      <c r="N20" s="3">
        <f>表2_24567[[#This Row],[合计]]-表2_24567[[#This Row],[房租]]-表2_24567[[#This Row],[水电话费]]</f>
        <v>17</v>
      </c>
    </row>
    <row r="21" spans="1:14" x14ac:dyDescent="0.3">
      <c r="A21" s="1">
        <v>45280</v>
      </c>
      <c r="B21" s="3">
        <v>45</v>
      </c>
      <c r="C21" s="3">
        <v>10</v>
      </c>
      <c r="D21" s="3"/>
      <c r="E21" s="3"/>
      <c r="F21" s="3"/>
      <c r="G21" s="3"/>
      <c r="H21" s="3">
        <v>40.967741935483872</v>
      </c>
      <c r="I21" s="3"/>
      <c r="J21" s="3"/>
      <c r="K21" s="3"/>
      <c r="L21" s="3"/>
      <c r="M21" s="3">
        <f>SUM(表2_24567[[#This Row],[吃饭]:[学习阅读]])</f>
        <v>95.967741935483872</v>
      </c>
      <c r="N21" s="3">
        <f>表2_24567[[#This Row],[合计]]-表2_24567[[#This Row],[房租]]-表2_24567[[#This Row],[水电话费]]</f>
        <v>55</v>
      </c>
    </row>
    <row r="22" spans="1:14" x14ac:dyDescent="0.3">
      <c r="A22" s="1">
        <v>45281</v>
      </c>
      <c r="B22" s="3">
        <v>26.5</v>
      </c>
      <c r="C22" s="3">
        <v>51</v>
      </c>
      <c r="D22" s="3">
        <v>41</v>
      </c>
      <c r="E22" s="3"/>
      <c r="F22" s="3"/>
      <c r="G22" s="3"/>
      <c r="H22" s="3">
        <v>40.967741935483872</v>
      </c>
      <c r="I22" s="3"/>
      <c r="J22" s="3"/>
      <c r="K22" s="3"/>
      <c r="L22" s="3"/>
      <c r="M22" s="3">
        <f>SUM(表2_24567[[#This Row],[吃饭]:[学习阅读]])</f>
        <v>159.46774193548387</v>
      </c>
      <c r="N22" s="3">
        <f>表2_24567[[#This Row],[合计]]-表2_24567[[#This Row],[房租]]-表2_24567[[#This Row],[水电话费]]</f>
        <v>118.5</v>
      </c>
    </row>
    <row r="23" spans="1:14" x14ac:dyDescent="0.3">
      <c r="A23" s="1">
        <v>45282</v>
      </c>
      <c r="B23" s="3">
        <v>15</v>
      </c>
      <c r="C23" s="3"/>
      <c r="D23" s="3">
        <v>23.9</v>
      </c>
      <c r="E23" s="3"/>
      <c r="F23" s="3">
        <v>39</v>
      </c>
      <c r="G23" s="3"/>
      <c r="H23" s="3">
        <v>40.967741935483872</v>
      </c>
      <c r="I23" s="3"/>
      <c r="J23" s="3"/>
      <c r="K23" s="3"/>
      <c r="L23" s="3"/>
      <c r="M23" s="3">
        <f>SUM(表2_24567[[#This Row],[吃饭]:[学习阅读]])</f>
        <v>118.86774193548388</v>
      </c>
      <c r="N23" s="3">
        <f>表2_24567[[#This Row],[合计]]-表2_24567[[#This Row],[房租]]-表2_24567[[#This Row],[水电话费]]</f>
        <v>77.900000000000006</v>
      </c>
    </row>
    <row r="24" spans="1:14" x14ac:dyDescent="0.3">
      <c r="A24" s="1">
        <v>45283</v>
      </c>
      <c r="B24" s="3">
        <v>37</v>
      </c>
      <c r="C24" s="3"/>
      <c r="D24" s="3"/>
      <c r="E24" s="3">
        <v>100</v>
      </c>
      <c r="F24" s="3">
        <v>10</v>
      </c>
      <c r="G24" s="3"/>
      <c r="H24" s="3">
        <v>40.967741935483872</v>
      </c>
      <c r="I24" s="3"/>
      <c r="J24" s="3"/>
      <c r="K24" s="3"/>
      <c r="L24" s="3"/>
      <c r="M24" s="3">
        <f>SUM(表2_24567[[#This Row],[吃饭]:[学习阅读]])</f>
        <v>187.96774193548387</v>
      </c>
      <c r="N24" s="3">
        <f>表2_24567[[#This Row],[合计]]-表2_24567[[#This Row],[房租]]-表2_24567[[#This Row],[水电话费]]</f>
        <v>147</v>
      </c>
    </row>
    <row r="25" spans="1:14" x14ac:dyDescent="0.3">
      <c r="A25" s="1">
        <v>45284</v>
      </c>
      <c r="B25" s="3">
        <v>40</v>
      </c>
      <c r="C25" s="3">
        <v>4</v>
      </c>
      <c r="D25" s="3"/>
      <c r="E25" s="3">
        <v>20</v>
      </c>
      <c r="F25" s="3">
        <v>9</v>
      </c>
      <c r="G25" s="3"/>
      <c r="H25" s="3">
        <v>40.967741935483872</v>
      </c>
      <c r="I25" s="3"/>
      <c r="J25" s="3"/>
      <c r="K25" s="3"/>
      <c r="L25" s="3"/>
      <c r="M25" s="3">
        <f>SUM(表2_24567[[#This Row],[吃饭]:[学习阅读]])</f>
        <v>113.96774193548387</v>
      </c>
      <c r="N25" s="3">
        <f>表2_24567[[#This Row],[合计]]-表2_24567[[#This Row],[房租]]-表2_24567[[#This Row],[水电话费]]</f>
        <v>73</v>
      </c>
    </row>
    <row r="26" spans="1:14" x14ac:dyDescent="0.3">
      <c r="A26" s="1">
        <v>45285</v>
      </c>
      <c r="B26" s="3">
        <f>11.9+32</f>
        <v>43.9</v>
      </c>
      <c r="C26" s="3">
        <v>3</v>
      </c>
      <c r="D26" s="3"/>
      <c r="E26" s="3"/>
      <c r="F26" s="3"/>
      <c r="G26" s="3"/>
      <c r="H26" s="3">
        <v>40.967741935483872</v>
      </c>
      <c r="I26" s="3"/>
      <c r="J26" s="3"/>
      <c r="K26" s="3"/>
      <c r="L26" s="3"/>
      <c r="M26" s="3">
        <f>SUM(表2_24567[[#This Row],[吃饭]:[学习阅读]])</f>
        <v>87.867741935483878</v>
      </c>
      <c r="N26" s="3">
        <f>表2_24567[[#This Row],[合计]]-表2_24567[[#This Row],[房租]]-表2_24567[[#This Row],[水电话费]]</f>
        <v>46.900000000000006</v>
      </c>
    </row>
    <row r="27" spans="1:14" x14ac:dyDescent="0.3">
      <c r="A27" s="1">
        <v>45286</v>
      </c>
      <c r="B27" s="3">
        <v>39</v>
      </c>
      <c r="C27" s="3"/>
      <c r="D27" s="3"/>
      <c r="E27" s="3"/>
      <c r="F27" s="3"/>
      <c r="G27" s="3"/>
      <c r="H27" s="3">
        <v>40.967741935483872</v>
      </c>
      <c r="I27" s="3"/>
      <c r="J27" s="3"/>
      <c r="K27" s="3"/>
      <c r="L27" s="3"/>
      <c r="M27" s="3">
        <f>SUM(表2_24567[[#This Row],[吃饭]:[学习阅读]])</f>
        <v>79.967741935483872</v>
      </c>
      <c r="N27" s="3">
        <f>表2_24567[[#This Row],[合计]]-表2_24567[[#This Row],[房租]]-表2_24567[[#This Row],[水电话费]]</f>
        <v>39</v>
      </c>
    </row>
    <row r="28" spans="1:14" x14ac:dyDescent="0.3">
      <c r="A28" s="1">
        <v>45287</v>
      </c>
      <c r="B28" s="3">
        <v>26</v>
      </c>
      <c r="C28" s="3">
        <v>4.37</v>
      </c>
      <c r="D28" s="3"/>
      <c r="E28" s="3"/>
      <c r="F28" s="3">
        <v>16</v>
      </c>
      <c r="G28" s="3"/>
      <c r="H28" s="3">
        <v>40.967741935483872</v>
      </c>
      <c r="I28" s="3"/>
      <c r="J28" s="3"/>
      <c r="K28" s="3"/>
      <c r="L28" s="3"/>
      <c r="M28" s="3">
        <f>SUM(表2_24567[[#This Row],[吃饭]:[学习阅读]])</f>
        <v>87.337741935483876</v>
      </c>
      <c r="N28" s="3">
        <f>表2_24567[[#This Row],[合计]]-表2_24567[[#This Row],[房租]]-表2_24567[[#This Row],[水电话费]]</f>
        <v>46.370000000000005</v>
      </c>
    </row>
    <row r="29" spans="1:14" x14ac:dyDescent="0.3">
      <c r="A29" s="1">
        <v>45288</v>
      </c>
      <c r="B29" s="3">
        <f>13.9+3.8</f>
        <v>17.7</v>
      </c>
      <c r="C29" s="3">
        <v>7</v>
      </c>
      <c r="D29" s="3"/>
      <c r="E29" s="3"/>
      <c r="F29" s="3"/>
      <c r="G29" s="3"/>
      <c r="H29" s="3">
        <v>40.967741935483872</v>
      </c>
      <c r="I29" s="3"/>
      <c r="J29" s="3"/>
      <c r="K29" s="3"/>
      <c r="L29" s="3"/>
      <c r="M29" s="3">
        <f>SUM(表2_24567[[#This Row],[吃饭]:[学习阅读]])</f>
        <v>65.667741935483875</v>
      </c>
      <c r="N29" s="3">
        <f>表2_24567[[#This Row],[合计]]-表2_24567[[#This Row],[房租]]-表2_24567[[#This Row],[水电话费]]</f>
        <v>24.700000000000003</v>
      </c>
    </row>
    <row r="30" spans="1:14" x14ac:dyDescent="0.3">
      <c r="A30" s="1">
        <v>45289</v>
      </c>
      <c r="B30" s="3">
        <f>9+17.8</f>
        <v>26.8</v>
      </c>
      <c r="C30" s="3"/>
      <c r="D30" s="3"/>
      <c r="E30" s="3"/>
      <c r="F30" s="3">
        <v>12</v>
      </c>
      <c r="G30" s="3"/>
      <c r="H30" s="3">
        <v>40.967741935483872</v>
      </c>
      <c r="I30" s="3"/>
      <c r="J30" s="3"/>
      <c r="K30" s="3"/>
      <c r="L30" s="3"/>
      <c r="M30" s="3">
        <f>SUM(表2_24567[[#This Row],[吃饭]:[学习阅读]])</f>
        <v>79.767741935483869</v>
      </c>
      <c r="N30" s="3">
        <f>表2_24567[[#This Row],[合计]]-表2_24567[[#This Row],[房租]]-表2_24567[[#This Row],[水电话费]]</f>
        <v>38.799999999999997</v>
      </c>
    </row>
    <row r="31" spans="1:14" x14ac:dyDescent="0.3">
      <c r="A31" s="1">
        <v>45290</v>
      </c>
      <c r="B31" s="3">
        <f>36.8+268.52</f>
        <v>305.32</v>
      </c>
      <c r="C31" s="3"/>
      <c r="D31" s="3"/>
      <c r="E31" s="3">
        <v>99</v>
      </c>
      <c r="F31" s="3"/>
      <c r="G31" s="3"/>
      <c r="H31" s="3">
        <v>40.967741935483872</v>
      </c>
      <c r="I31" s="3"/>
      <c r="J31" s="3"/>
      <c r="K31" s="3"/>
      <c r="L31" s="3">
        <v>22.8</v>
      </c>
      <c r="M31" s="3">
        <f>SUM(表2_24567[[#This Row],[吃饭]:[学习阅读]])</f>
        <v>468.08774193548385</v>
      </c>
      <c r="N31" s="3">
        <f>表2_24567[[#This Row],[合计]]-表2_24567[[#This Row],[房租]]-表2_24567[[#This Row],[水电话费]]</f>
        <v>427.12</v>
      </c>
    </row>
    <row r="32" spans="1:14" x14ac:dyDescent="0.3">
      <c r="A32" s="1">
        <v>45291</v>
      </c>
      <c r="B32" s="3">
        <f>32+15+13.8+7</f>
        <v>67.8</v>
      </c>
      <c r="C32" s="3">
        <v>8</v>
      </c>
      <c r="D32" s="3"/>
      <c r="E32" s="3"/>
      <c r="F32" s="3"/>
      <c r="G32" s="3"/>
      <c r="H32" s="3">
        <v>40.967741935483872</v>
      </c>
      <c r="I32" s="3"/>
      <c r="J32" s="3"/>
      <c r="K32" s="3"/>
      <c r="L32" s="3"/>
      <c r="M32" s="3">
        <f>SUM(表2_24567[[#This Row],[吃饭]:[学习阅读]])</f>
        <v>116.76774193548387</v>
      </c>
      <c r="N32" s="3">
        <f>表2_24567[[#This Row],[合计]]-表2_24567[[#This Row],[房租]]-表2_24567[[#This Row],[水电话费]]</f>
        <v>75.8</v>
      </c>
    </row>
    <row r="33" spans="1:14" ht="37.25" customHeight="1" x14ac:dyDescent="0.3">
      <c r="A33" s="7" t="s">
        <v>11</v>
      </c>
      <c r="B33" s="3">
        <f t="shared" ref="B33:M33" si="0">SUM(B2:B32)</f>
        <v>1511.12</v>
      </c>
      <c r="C33" s="3">
        <f t="shared" si="0"/>
        <v>140.37</v>
      </c>
      <c r="D33" s="3">
        <f t="shared" si="0"/>
        <v>936.69999999999993</v>
      </c>
      <c r="E33" s="3">
        <f t="shared" si="0"/>
        <v>1207.55</v>
      </c>
      <c r="F33" s="3">
        <f t="shared" si="0"/>
        <v>164.6</v>
      </c>
      <c r="G33" s="3">
        <f t="shared" si="0"/>
        <v>5</v>
      </c>
      <c r="H33" s="3">
        <f t="shared" si="0"/>
        <v>1270.0000000000007</v>
      </c>
      <c r="I33" s="3">
        <f t="shared" si="0"/>
        <v>165.5</v>
      </c>
      <c r="J33" s="3">
        <f t="shared" si="0"/>
        <v>0</v>
      </c>
      <c r="K33" s="3">
        <f t="shared" si="0"/>
        <v>0</v>
      </c>
      <c r="L33" s="3">
        <f t="shared" si="0"/>
        <v>22.8</v>
      </c>
      <c r="M33" s="5">
        <f t="shared" si="0"/>
        <v>5423.64</v>
      </c>
      <c r="N33" s="3">
        <f>表2_24567[[#This Row],[合计]]-表2_24567[[#This Row],[房租]]-表2_24567[[#This Row],[水电话费]]</f>
        <v>3988.1399999999994</v>
      </c>
    </row>
    <row r="34" spans="1:14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5423.64</v>
      </c>
      <c r="M34" s="3"/>
    </row>
  </sheetData>
  <phoneticPr fontId="1" type="noConversion"/>
  <conditionalFormatting sqref="N2:N32">
    <cfRule type="cellIs" dxfId="4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D97F-5FC1-468D-9018-8588FD3F1AB0}">
  <dimension ref="A1:N16"/>
  <sheetViews>
    <sheetView tabSelected="1" zoomScaleNormal="100" workbookViewId="0">
      <selection activeCell="M11" sqref="M11"/>
    </sheetView>
  </sheetViews>
  <sheetFormatPr defaultColWidth="8.9140625" defaultRowHeight="14" x14ac:dyDescent="0.3"/>
  <cols>
    <col min="1" max="1" width="19" style="9" bestFit="1" customWidth="1"/>
    <col min="2" max="9" width="13.75" style="2" customWidth="1"/>
    <col min="10" max="11" width="7.4140625" style="2" bestFit="1" customWidth="1"/>
    <col min="12" max="12" width="10.25" style="2" customWidth="1"/>
    <col min="13" max="13" width="13.75" style="2" customWidth="1"/>
    <col min="14" max="28" width="15.75" style="2" customWidth="1"/>
    <col min="29" max="16384" width="8.9140625" style="2"/>
  </cols>
  <sheetData>
    <row r="1" spans="1:14" ht="20.399999999999999" customHeight="1" x14ac:dyDescent="0.3">
      <c r="A1" s="9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3">
      <c r="A2" s="9" t="s">
        <v>20</v>
      </c>
      <c r="B2" s="3">
        <f>'2023.07'!B33</f>
        <v>1150.5300000000002</v>
      </c>
      <c r="C2" s="3">
        <f>'2023.07'!C33</f>
        <v>249</v>
      </c>
      <c r="D2" s="3">
        <f>'2023.07'!D33</f>
        <v>401.99</v>
      </c>
      <c r="E2" s="3">
        <f>'2023.07'!E33</f>
        <v>2092.42</v>
      </c>
      <c r="F2" s="3">
        <f>'2023.07'!F33</f>
        <v>96.88</v>
      </c>
      <c r="G2" s="3">
        <f>'2023.07'!G33</f>
        <v>33.5</v>
      </c>
      <c r="H2" s="3">
        <f>'2023.07'!H33</f>
        <v>1365.9999999999989</v>
      </c>
      <c r="I2" s="3">
        <f>'2023.07'!I33</f>
        <v>116.17</v>
      </c>
      <c r="J2" s="3">
        <f>'2023.07'!J33</f>
        <v>14.2</v>
      </c>
      <c r="K2" s="3">
        <f>'2023.07'!K33</f>
        <v>14</v>
      </c>
      <c r="L2" s="3">
        <f>'2023.07'!L33</f>
        <v>0</v>
      </c>
      <c r="M2" s="3">
        <f>'2023.07'!M33</f>
        <v>5534.6899999999987</v>
      </c>
      <c r="N2" s="3">
        <f>'2023.07'!N33</f>
        <v>4052.5199999999995</v>
      </c>
    </row>
    <row r="3" spans="1:14" x14ac:dyDescent="0.3">
      <c r="A3" s="9" t="s">
        <v>21</v>
      </c>
      <c r="B3" s="3">
        <f>'2023.08'!B33</f>
        <v>1130.04</v>
      </c>
      <c r="C3" s="3">
        <f>'2023.08'!C33</f>
        <v>219.77</v>
      </c>
      <c r="D3" s="3">
        <f>'2023.08'!D33</f>
        <v>913.5200000000001</v>
      </c>
      <c r="E3" s="3">
        <f>'2023.08'!E33</f>
        <v>323.20999999999992</v>
      </c>
      <c r="F3" s="3">
        <f>'2023.08'!F33</f>
        <v>82.89</v>
      </c>
      <c r="G3" s="3">
        <f>'2023.08'!G33</f>
        <v>8.5</v>
      </c>
      <c r="H3" s="3">
        <f>'2023.08'!H33</f>
        <v>1270.0000000000007</v>
      </c>
      <c r="I3" s="3">
        <f>'2023.08'!I33</f>
        <v>134</v>
      </c>
      <c r="J3" s="3">
        <f>'2023.08'!J33</f>
        <v>0</v>
      </c>
      <c r="K3" s="3">
        <f>'2023.08'!K33</f>
        <v>0</v>
      </c>
      <c r="L3" s="3">
        <f>'2023.08'!L33</f>
        <v>450</v>
      </c>
      <c r="M3" s="3">
        <f>SUM(表2_245678[[#This Row],[吃饭]:[学习阅读]])</f>
        <v>4531.93</v>
      </c>
      <c r="N3" s="3">
        <f>'2023.08'!N33</f>
        <v>3149.83</v>
      </c>
    </row>
    <row r="4" spans="1:14" ht="13.5" customHeight="1" x14ac:dyDescent="0.3">
      <c r="A4" s="9" t="s">
        <v>22</v>
      </c>
      <c r="B4" s="3">
        <f>'2023.09 '!B32</f>
        <v>1681.47</v>
      </c>
      <c r="C4" s="3">
        <f>'2023.09 '!C32</f>
        <v>76.7</v>
      </c>
      <c r="D4" s="3">
        <f>'2023.09 '!D32</f>
        <v>1613.3999999999999</v>
      </c>
      <c r="E4" s="3">
        <f>'2023.09 '!E32</f>
        <v>529.09999999999991</v>
      </c>
      <c r="F4" s="3">
        <f>'2023.09 '!F32</f>
        <v>60.23</v>
      </c>
      <c r="G4" s="3">
        <f>'2023.09 '!G32</f>
        <v>22</v>
      </c>
      <c r="H4" s="3">
        <f>'2023.09 '!H32</f>
        <v>1366.6599999999996</v>
      </c>
      <c r="I4" s="3">
        <f>'2023.09 '!I32</f>
        <v>114</v>
      </c>
      <c r="J4" s="3">
        <f>'2023.09 '!J32</f>
        <v>0</v>
      </c>
      <c r="K4" s="3">
        <f>'2023.09 '!K32</f>
        <v>20</v>
      </c>
      <c r="L4" s="3">
        <f>'2023.09 '!L32</f>
        <v>0</v>
      </c>
      <c r="M4" s="3">
        <f>'2023.09 '!M32</f>
        <v>5483.56</v>
      </c>
      <c r="N4" s="3">
        <f>'2023.09 '!N32</f>
        <v>4002.9000000000005</v>
      </c>
    </row>
    <row r="5" spans="1:14" x14ac:dyDescent="0.3">
      <c r="A5" s="9" t="s">
        <v>17</v>
      </c>
      <c r="B5" s="3">
        <f>'2023.10'!B33</f>
        <v>1430.7449999999997</v>
      </c>
      <c r="C5" s="3">
        <f>'2023.10'!C33</f>
        <v>88</v>
      </c>
      <c r="D5" s="3">
        <f>'2023.10'!D33</f>
        <v>1021.7249999999999</v>
      </c>
      <c r="E5" s="3">
        <f>'2023.10'!E33</f>
        <v>316.93</v>
      </c>
      <c r="F5" s="3">
        <f>'2023.10'!F33</f>
        <v>97.92</v>
      </c>
      <c r="G5" s="3">
        <f>'2023.10'!G33</f>
        <v>0</v>
      </c>
      <c r="H5" s="3">
        <f>'2023.10'!H33</f>
        <v>1361.0000000000002</v>
      </c>
      <c r="I5" s="3">
        <f>'2023.10'!I33</f>
        <v>110</v>
      </c>
      <c r="J5" s="3">
        <f>'2023.10'!J33</f>
        <v>0</v>
      </c>
      <c r="K5" s="3">
        <f>'2023.10'!K33</f>
        <v>20</v>
      </c>
      <c r="L5" s="3">
        <f>'2023.10'!L33</f>
        <v>0</v>
      </c>
      <c r="M5" s="3">
        <f>'2023.10'!M33</f>
        <v>4446.3200000000015</v>
      </c>
      <c r="N5" s="3">
        <f>'2023.10'!N33</f>
        <v>2975.3200000000015</v>
      </c>
    </row>
    <row r="6" spans="1:14" x14ac:dyDescent="0.3">
      <c r="A6" s="9" t="s">
        <v>18</v>
      </c>
      <c r="B6" s="3">
        <f>'2023.11'!B32</f>
        <v>947.70999999999981</v>
      </c>
      <c r="C6" s="3">
        <f>'2023.11'!C32</f>
        <v>34.5</v>
      </c>
      <c r="D6" s="3">
        <f>'2023.11'!D32</f>
        <v>773.05</v>
      </c>
      <c r="E6" s="3">
        <f>'2023.11'!E32</f>
        <v>1356.4</v>
      </c>
      <c r="F6" s="3">
        <f>'2023.11'!F32</f>
        <v>94.7</v>
      </c>
      <c r="G6" s="3">
        <f>'2023.11'!G32</f>
        <v>0</v>
      </c>
      <c r="H6" s="3">
        <f>'2023.11'!H32</f>
        <v>1367.0000000000002</v>
      </c>
      <c r="I6" s="3">
        <f>'2023.11'!I32</f>
        <v>175.5</v>
      </c>
      <c r="J6" s="3">
        <f>'2023.11'!J32</f>
        <v>38.5</v>
      </c>
      <c r="K6" s="3">
        <f>'2023.11'!K32</f>
        <v>0</v>
      </c>
      <c r="L6" s="3">
        <f>'2023.11'!L32</f>
        <v>0</v>
      </c>
      <c r="M6" s="3">
        <f>'2023.11'!M32</f>
        <v>4787.3599999999997</v>
      </c>
      <c r="N6" s="3">
        <f>'2023.11'!N32</f>
        <v>3244.8599999999997</v>
      </c>
    </row>
    <row r="7" spans="1:14" x14ac:dyDescent="0.3">
      <c r="A7" s="9" t="s">
        <v>19</v>
      </c>
      <c r="B7" s="3">
        <f>'2023.12'!B33</f>
        <v>1511.12</v>
      </c>
      <c r="C7" s="3">
        <f>'2023.12'!C33</f>
        <v>140.37</v>
      </c>
      <c r="D7" s="3">
        <f>'2023.12'!D33</f>
        <v>936.69999999999993</v>
      </c>
      <c r="E7" s="3">
        <f>'2023.12'!E33</f>
        <v>1207.55</v>
      </c>
      <c r="F7" s="3">
        <f>'2023.12'!F33</f>
        <v>164.6</v>
      </c>
      <c r="G7" s="3">
        <f>'2023.12'!G33</f>
        <v>5</v>
      </c>
      <c r="H7" s="3">
        <f>'2023.12'!H33</f>
        <v>1270.0000000000007</v>
      </c>
      <c r="I7" s="3">
        <f>'2023.12'!I33</f>
        <v>165.5</v>
      </c>
      <c r="J7" s="3">
        <f>'2023.12'!J33</f>
        <v>0</v>
      </c>
      <c r="K7" s="3">
        <f>'2023.12'!K33</f>
        <v>0</v>
      </c>
      <c r="L7" s="3">
        <f>'2023.12'!L33</f>
        <v>22.8</v>
      </c>
      <c r="M7" s="3">
        <f>'2023.12'!M33</f>
        <v>5423.64</v>
      </c>
      <c r="N7" s="3">
        <f>'2023.12'!N33</f>
        <v>3988.1399999999994</v>
      </c>
    </row>
    <row r="8" spans="1:14" ht="37.25" customHeight="1" x14ac:dyDescent="0.3">
      <c r="A8" s="10" t="s">
        <v>23</v>
      </c>
      <c r="B8" s="3">
        <f>SUM(B2:B7)</f>
        <v>7851.6149999999998</v>
      </c>
      <c r="C8" s="3">
        <f>SUM(C2:C7)</f>
        <v>808.34</v>
      </c>
      <c r="D8" s="3">
        <f>SUM(D2:D7)</f>
        <v>5660.3849999999993</v>
      </c>
      <c r="E8" s="3">
        <f>SUM(E2:E7)</f>
        <v>5825.61</v>
      </c>
      <c r="F8" s="3">
        <f>SUM(F2:F7)</f>
        <v>597.21999999999991</v>
      </c>
      <c r="G8" s="3">
        <f>SUM(G2:G7)</f>
        <v>69</v>
      </c>
      <c r="H8" s="3">
        <f>SUM(H2:H7)</f>
        <v>8000.66</v>
      </c>
      <c r="I8" s="3">
        <f>SUM(I2:I7)</f>
        <v>815.17000000000007</v>
      </c>
      <c r="J8" s="3">
        <f>SUM(J2:J7)</f>
        <v>52.7</v>
      </c>
      <c r="K8" s="3">
        <f>SUM(K2:K7)</f>
        <v>54</v>
      </c>
      <c r="L8" s="3">
        <f>SUM(L2:L7)</f>
        <v>472.8</v>
      </c>
      <c r="M8" s="5">
        <f>SUM(M2:M7)</f>
        <v>30207.5</v>
      </c>
      <c r="N8" s="3">
        <f>表2_245678[[#This Row],[合计]]-表2_245678[[#This Row],[房租]]-表2_245678[[#This Row],[水电话费]]</f>
        <v>21391.67</v>
      </c>
    </row>
    <row r="9" spans="1:1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>
        <f>SUM(B8:L8)</f>
        <v>30207.5</v>
      </c>
      <c r="M9" s="3"/>
    </row>
    <row r="10" spans="1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3">
      <c r="D11" s="3"/>
    </row>
    <row r="12" spans="1:14" x14ac:dyDescent="0.3">
      <c r="D12" s="3"/>
    </row>
    <row r="13" spans="1:14" x14ac:dyDescent="0.3">
      <c r="D13" s="3"/>
    </row>
    <row r="14" spans="1:14" x14ac:dyDescent="0.3">
      <c r="D14" s="3"/>
    </row>
    <row r="15" spans="1:14" x14ac:dyDescent="0.3">
      <c r="D15" s="3"/>
    </row>
    <row r="16" spans="1:14" x14ac:dyDescent="0.3">
      <c r="D16" s="3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I30" sqref="I30"/>
    </sheetView>
  </sheetViews>
  <sheetFormatPr defaultRowHeight="14" x14ac:dyDescent="0.3"/>
  <sheetData>
    <row r="5" ht="15" customHeight="1" x14ac:dyDescent="0.3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2023.07</vt:lpstr>
      <vt:lpstr>2023.08</vt:lpstr>
      <vt:lpstr>2023.09 </vt:lpstr>
      <vt:lpstr>2023.10</vt:lpstr>
      <vt:lpstr>2023.11</vt:lpstr>
      <vt:lpstr>2023.12</vt:lpstr>
      <vt:lpstr>年度总结</vt:lpstr>
      <vt:lpstr>年度总结1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2024-01-03T15:44:22Z</dcterms:modified>
</cp:coreProperties>
</file>