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code\zhubiye\personal space(program)\"/>
    </mc:Choice>
  </mc:AlternateContent>
  <xr:revisionPtr revIDLastSave="0" documentId="13_ncr:1_{FBF72600-D7F7-4F8F-B731-EB561832C5D6}" xr6:coauthVersionLast="47" xr6:coauthVersionMax="47" xr10:uidLastSave="{00000000-0000-0000-0000-000000000000}"/>
  <bookViews>
    <workbookView xWindow="-24" yWindow="-13068" windowWidth="23256" windowHeight="12456" firstSheet="2" activeTab="10" xr2:uid="{00000000-000D-0000-FFFF-FFFF00000000}"/>
  </bookViews>
  <sheets>
    <sheet name="2024.01" sheetId="1" r:id="rId1"/>
    <sheet name="2024.02" sheetId="3" r:id="rId2"/>
    <sheet name="2024.03" sheetId="4" r:id="rId3"/>
    <sheet name="2024.04" sheetId="5" r:id="rId4"/>
    <sheet name="2024.05" sheetId="6" r:id="rId5"/>
    <sheet name="2024.06" sheetId="7" r:id="rId6"/>
    <sheet name="2024.07" sheetId="8" r:id="rId7"/>
    <sheet name="2024.08" sheetId="9" r:id="rId8"/>
    <sheet name="2024.09" sheetId="10" r:id="rId9"/>
    <sheet name="2024.10" sheetId="11" r:id="rId10"/>
    <sheet name="2024.11" sheetId="12" r:id="rId11"/>
    <sheet name="年度总结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2" l="1"/>
  <c r="B7" i="12"/>
  <c r="B6" i="12"/>
  <c r="B5" i="12"/>
  <c r="H3" i="12"/>
  <c r="H4" i="12"/>
  <c r="H5" i="12"/>
  <c r="H6" i="12"/>
  <c r="H7" i="12"/>
  <c r="H8" i="12"/>
  <c r="H9" i="12"/>
  <c r="M9" i="12" s="1"/>
  <c r="N9" i="12" s="1"/>
  <c r="H10" i="12"/>
  <c r="H11" i="12"/>
  <c r="H12" i="12"/>
  <c r="H13" i="12"/>
  <c r="H14" i="12"/>
  <c r="H15" i="12"/>
  <c r="H16" i="12"/>
  <c r="H17" i="12"/>
  <c r="H18" i="12"/>
  <c r="M18" i="12" s="1"/>
  <c r="N18" i="12" s="1"/>
  <c r="H19" i="12"/>
  <c r="H20" i="12"/>
  <c r="H21" i="12"/>
  <c r="H22" i="12"/>
  <c r="H23" i="12"/>
  <c r="H24" i="12"/>
  <c r="H25" i="12"/>
  <c r="H26" i="12"/>
  <c r="M26" i="12" s="1"/>
  <c r="N26" i="12" s="1"/>
  <c r="H27" i="12"/>
  <c r="H28" i="12"/>
  <c r="H29" i="12"/>
  <c r="H30" i="12"/>
  <c r="H31" i="12"/>
  <c r="H2" i="12"/>
  <c r="E15" i="11"/>
  <c r="L32" i="12"/>
  <c r="K32" i="12"/>
  <c r="J32" i="12"/>
  <c r="I32" i="12"/>
  <c r="F32" i="12"/>
  <c r="E32" i="12"/>
  <c r="D32" i="12"/>
  <c r="C32" i="12"/>
  <c r="B32" i="12"/>
  <c r="M31" i="12"/>
  <c r="N31" i="12" s="1"/>
  <c r="M30" i="12"/>
  <c r="N30" i="12" s="1"/>
  <c r="M29" i="12"/>
  <c r="N29" i="12" s="1"/>
  <c r="M28" i="12"/>
  <c r="N28" i="12" s="1"/>
  <c r="M27" i="12"/>
  <c r="N27" i="12" s="1"/>
  <c r="M25" i="12"/>
  <c r="N25" i="12" s="1"/>
  <c r="M24" i="12"/>
  <c r="N24" i="12" s="1"/>
  <c r="M23" i="12"/>
  <c r="N23" i="12" s="1"/>
  <c r="M22" i="12"/>
  <c r="N22" i="12" s="1"/>
  <c r="M21" i="12"/>
  <c r="N21" i="12" s="1"/>
  <c r="M20" i="12"/>
  <c r="N20" i="12" s="1"/>
  <c r="M19" i="12"/>
  <c r="N19" i="12" s="1"/>
  <c r="M17" i="12"/>
  <c r="N17" i="12" s="1"/>
  <c r="M16" i="12"/>
  <c r="N16" i="12" s="1"/>
  <c r="M15" i="12"/>
  <c r="N15" i="12" s="1"/>
  <c r="M14" i="12"/>
  <c r="N14" i="12" s="1"/>
  <c r="G32" i="12"/>
  <c r="M13" i="12"/>
  <c r="N13" i="12" s="1"/>
  <c r="M12" i="12"/>
  <c r="N12" i="12" s="1"/>
  <c r="M11" i="12"/>
  <c r="N11" i="12" s="1"/>
  <c r="M10" i="12"/>
  <c r="N10" i="12" s="1"/>
  <c r="M8" i="12"/>
  <c r="N8" i="12" s="1"/>
  <c r="M7" i="12"/>
  <c r="N7" i="12" s="1"/>
  <c r="M6" i="12"/>
  <c r="N6" i="12" s="1"/>
  <c r="M5" i="12"/>
  <c r="N5" i="12" s="1"/>
  <c r="M4" i="12"/>
  <c r="N4" i="12" s="1"/>
  <c r="M3" i="12"/>
  <c r="N3" i="12" s="1"/>
  <c r="M2" i="12"/>
  <c r="H3" i="11"/>
  <c r="H4" i="11"/>
  <c r="H5" i="11"/>
  <c r="H6" i="11"/>
  <c r="H7" i="11"/>
  <c r="H8" i="11"/>
  <c r="H9" i="11"/>
  <c r="H10" i="11"/>
  <c r="H33" i="11" s="1"/>
  <c r="H11" i="11"/>
  <c r="H12" i="11"/>
  <c r="H13" i="11"/>
  <c r="H14" i="11"/>
  <c r="H15" i="11"/>
  <c r="H16" i="11"/>
  <c r="H17" i="11"/>
  <c r="H18" i="11"/>
  <c r="M18" i="11" s="1"/>
  <c r="N18" i="11" s="1"/>
  <c r="H19" i="11"/>
  <c r="H20" i="11"/>
  <c r="H21" i="11"/>
  <c r="H22" i="11"/>
  <c r="H23" i="11"/>
  <c r="H24" i="11"/>
  <c r="H25" i="11"/>
  <c r="H26" i="11"/>
  <c r="M26" i="11" s="1"/>
  <c r="N26" i="11" s="1"/>
  <c r="H27" i="11"/>
  <c r="H28" i="11"/>
  <c r="H29" i="11"/>
  <c r="H30" i="11"/>
  <c r="H31" i="11"/>
  <c r="H32" i="11"/>
  <c r="H2" i="11"/>
  <c r="L33" i="11"/>
  <c r="K33" i="11"/>
  <c r="J33" i="11"/>
  <c r="I33" i="11"/>
  <c r="F33" i="11"/>
  <c r="E33" i="11"/>
  <c r="D33" i="11"/>
  <c r="C33" i="11"/>
  <c r="M32" i="11"/>
  <c r="N32" i="11" s="1"/>
  <c r="M31" i="11"/>
  <c r="N31" i="11" s="1"/>
  <c r="M30" i="11"/>
  <c r="N30" i="11" s="1"/>
  <c r="M29" i="11"/>
  <c r="N29" i="11" s="1"/>
  <c r="M28" i="11"/>
  <c r="N28" i="11" s="1"/>
  <c r="M27" i="11"/>
  <c r="N27" i="11" s="1"/>
  <c r="M25" i="11"/>
  <c r="N25" i="11" s="1"/>
  <c r="M24" i="11"/>
  <c r="N24" i="11" s="1"/>
  <c r="M23" i="11"/>
  <c r="N23" i="11" s="1"/>
  <c r="M22" i="11"/>
  <c r="N22" i="11" s="1"/>
  <c r="M21" i="11"/>
  <c r="N21" i="11" s="1"/>
  <c r="M20" i="11"/>
  <c r="N20" i="11" s="1"/>
  <c r="M19" i="11"/>
  <c r="N19" i="11" s="1"/>
  <c r="M17" i="11"/>
  <c r="N17" i="11" s="1"/>
  <c r="M16" i="11"/>
  <c r="N16" i="11" s="1"/>
  <c r="M15" i="11"/>
  <c r="N15" i="11" s="1"/>
  <c r="M14" i="11"/>
  <c r="N14" i="11" s="1"/>
  <c r="M13" i="11"/>
  <c r="N13" i="11" s="1"/>
  <c r="M12" i="11"/>
  <c r="N12" i="11" s="1"/>
  <c r="M11" i="11"/>
  <c r="N11" i="11" s="1"/>
  <c r="M9" i="11"/>
  <c r="N9" i="11" s="1"/>
  <c r="M8" i="11"/>
  <c r="N8" i="11" s="1"/>
  <c r="M7" i="11"/>
  <c r="N7" i="11" s="1"/>
  <c r="G33" i="11"/>
  <c r="M5" i="11"/>
  <c r="M4" i="11"/>
  <c r="N4" i="11" s="1"/>
  <c r="M3" i="11"/>
  <c r="N3" i="11" s="1"/>
  <c r="M2" i="11"/>
  <c r="N2" i="11" s="1"/>
  <c r="H32" i="10"/>
  <c r="G18" i="10"/>
  <c r="G17" i="10"/>
  <c r="G16" i="10"/>
  <c r="G15" i="10"/>
  <c r="G14" i="10"/>
  <c r="H31" i="10"/>
  <c r="H30" i="10"/>
  <c r="H29" i="10"/>
  <c r="H28" i="10"/>
  <c r="H27" i="10"/>
  <c r="M27" i="10" s="1"/>
  <c r="N27" i="10" s="1"/>
  <c r="H26" i="10"/>
  <c r="M26" i="10" s="1"/>
  <c r="N26" i="10" s="1"/>
  <c r="H25" i="10"/>
  <c r="M25" i="10" s="1"/>
  <c r="N25" i="10" s="1"/>
  <c r="H24" i="10"/>
  <c r="H23" i="10"/>
  <c r="H22" i="10"/>
  <c r="H21" i="10"/>
  <c r="H20" i="10"/>
  <c r="H19" i="10"/>
  <c r="M19" i="10" s="1"/>
  <c r="N19" i="10" s="1"/>
  <c r="H18" i="10"/>
  <c r="M18" i="10" s="1"/>
  <c r="N18" i="10" s="1"/>
  <c r="H17" i="10"/>
  <c r="M17" i="10" s="1"/>
  <c r="N17" i="10" s="1"/>
  <c r="H16" i="10"/>
  <c r="H15" i="10"/>
  <c r="H14" i="10"/>
  <c r="H13" i="10"/>
  <c r="H12" i="10"/>
  <c r="H11" i="10"/>
  <c r="M11" i="10" s="1"/>
  <c r="N11" i="10" s="1"/>
  <c r="H10" i="10"/>
  <c r="M10" i="10" s="1"/>
  <c r="N10" i="10" s="1"/>
  <c r="H9" i="10"/>
  <c r="H8" i="10"/>
  <c r="H7" i="10"/>
  <c r="H6" i="10"/>
  <c r="H5" i="10"/>
  <c r="H4" i="10"/>
  <c r="H3" i="10"/>
  <c r="M3" i="10" s="1"/>
  <c r="N3" i="10" s="1"/>
  <c r="H2" i="10"/>
  <c r="M2" i="10" s="1"/>
  <c r="L32" i="10"/>
  <c r="K32" i="10"/>
  <c r="J32" i="10"/>
  <c r="I32" i="10"/>
  <c r="F32" i="10"/>
  <c r="D32" i="10"/>
  <c r="C32" i="10"/>
  <c r="M31" i="10"/>
  <c r="N31" i="10" s="1"/>
  <c r="M30" i="10"/>
  <c r="N30" i="10" s="1"/>
  <c r="M29" i="10"/>
  <c r="N29" i="10" s="1"/>
  <c r="M28" i="10"/>
  <c r="N28" i="10" s="1"/>
  <c r="M24" i="10"/>
  <c r="N24" i="10" s="1"/>
  <c r="M23" i="10"/>
  <c r="N23" i="10" s="1"/>
  <c r="M22" i="10"/>
  <c r="N22" i="10" s="1"/>
  <c r="M21" i="10"/>
  <c r="N21" i="10" s="1"/>
  <c r="M20" i="10"/>
  <c r="N20" i="10" s="1"/>
  <c r="M16" i="10"/>
  <c r="N16" i="10" s="1"/>
  <c r="G32" i="10"/>
  <c r="M15" i="10"/>
  <c r="N15" i="10" s="1"/>
  <c r="M14" i="10"/>
  <c r="N14" i="10" s="1"/>
  <c r="M13" i="10"/>
  <c r="N13" i="10" s="1"/>
  <c r="M12" i="10"/>
  <c r="N12" i="10" s="1"/>
  <c r="M9" i="10"/>
  <c r="N9" i="10" s="1"/>
  <c r="M8" i="10"/>
  <c r="N8" i="10" s="1"/>
  <c r="M7" i="10"/>
  <c r="N7" i="10" s="1"/>
  <c r="M6" i="10"/>
  <c r="N6" i="10" s="1"/>
  <c r="M5" i="10"/>
  <c r="N5" i="10" s="1"/>
  <c r="M4" i="10"/>
  <c r="N4" i="10" s="1"/>
  <c r="E32" i="10"/>
  <c r="B32" i="10"/>
  <c r="O33" i="9"/>
  <c r="B5" i="9"/>
  <c r="B30" i="8"/>
  <c r="B26" i="8"/>
  <c r="G6" i="9"/>
  <c r="H32" i="9"/>
  <c r="H31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M8" i="9" s="1"/>
  <c r="N8" i="9" s="1"/>
  <c r="H7" i="9"/>
  <c r="H6" i="9"/>
  <c r="H5" i="9"/>
  <c r="H4" i="9"/>
  <c r="H3" i="9"/>
  <c r="H2" i="9"/>
  <c r="L33" i="9"/>
  <c r="K33" i="9"/>
  <c r="J33" i="9"/>
  <c r="I33" i="9"/>
  <c r="G33" i="9"/>
  <c r="E33" i="9"/>
  <c r="D33" i="9"/>
  <c r="C33" i="9"/>
  <c r="M32" i="9"/>
  <c r="N32" i="9" s="1"/>
  <c r="M31" i="9"/>
  <c r="N31" i="9" s="1"/>
  <c r="M30" i="9"/>
  <c r="N30" i="9" s="1"/>
  <c r="H30" i="9"/>
  <c r="M29" i="9"/>
  <c r="N29" i="9" s="1"/>
  <c r="M28" i="9"/>
  <c r="N28" i="9" s="1"/>
  <c r="M27" i="9"/>
  <c r="N27" i="9" s="1"/>
  <c r="M26" i="9"/>
  <c r="N26" i="9" s="1"/>
  <c r="M25" i="9"/>
  <c r="N25" i="9" s="1"/>
  <c r="M24" i="9"/>
  <c r="N24" i="9" s="1"/>
  <c r="M23" i="9"/>
  <c r="N23" i="9" s="1"/>
  <c r="M22" i="9"/>
  <c r="N22" i="9" s="1"/>
  <c r="M21" i="9"/>
  <c r="N21" i="9" s="1"/>
  <c r="M20" i="9"/>
  <c r="N20" i="9" s="1"/>
  <c r="M19" i="9"/>
  <c r="N19" i="9" s="1"/>
  <c r="M18" i="9"/>
  <c r="N18" i="9" s="1"/>
  <c r="M17" i="9"/>
  <c r="N17" i="9" s="1"/>
  <c r="M16" i="9"/>
  <c r="N16" i="9" s="1"/>
  <c r="M15" i="9"/>
  <c r="N15" i="9" s="1"/>
  <c r="M14" i="9"/>
  <c r="N14" i="9" s="1"/>
  <c r="M13" i="9"/>
  <c r="N13" i="9" s="1"/>
  <c r="M12" i="9"/>
  <c r="N12" i="9" s="1"/>
  <c r="M11" i="9"/>
  <c r="N11" i="9" s="1"/>
  <c r="M10" i="9"/>
  <c r="N10" i="9" s="1"/>
  <c r="M9" i="9"/>
  <c r="N9" i="9" s="1"/>
  <c r="F33" i="9"/>
  <c r="M7" i="9"/>
  <c r="N7" i="9" s="1"/>
  <c r="M6" i="9"/>
  <c r="N6" i="9" s="1"/>
  <c r="M5" i="9"/>
  <c r="N5" i="9" s="1"/>
  <c r="M4" i="9"/>
  <c r="N4" i="9" s="1"/>
  <c r="M3" i="9"/>
  <c r="N3" i="9" s="1"/>
  <c r="B33" i="9"/>
  <c r="M2" i="9"/>
  <c r="H28" i="8"/>
  <c r="H29" i="8"/>
  <c r="H30" i="8"/>
  <c r="H31" i="8"/>
  <c r="H32" i="8"/>
  <c r="H33" i="8" s="1"/>
  <c r="H27" i="8"/>
  <c r="H19" i="8"/>
  <c r="H20" i="8"/>
  <c r="H21" i="8"/>
  <c r="H22" i="8"/>
  <c r="H23" i="8"/>
  <c r="H24" i="8"/>
  <c r="H25" i="8"/>
  <c r="M25" i="8" s="1"/>
  <c r="N25" i="8" s="1"/>
  <c r="H26" i="8"/>
  <c r="H18" i="8"/>
  <c r="B21" i="8"/>
  <c r="B19" i="8"/>
  <c r="B16" i="8"/>
  <c r="B15" i="8"/>
  <c r="B14" i="8"/>
  <c r="B13" i="8"/>
  <c r="B12" i="8"/>
  <c r="B11" i="8"/>
  <c r="B9" i="8"/>
  <c r="B8" i="8"/>
  <c r="F8" i="8"/>
  <c r="B5" i="8"/>
  <c r="B3" i="8"/>
  <c r="E30" i="7"/>
  <c r="H3" i="8"/>
  <c r="H4" i="8"/>
  <c r="H5" i="8"/>
  <c r="H6" i="8"/>
  <c r="H7" i="8"/>
  <c r="H8" i="8"/>
  <c r="M8" i="8" s="1"/>
  <c r="N8" i="8" s="1"/>
  <c r="H9" i="8"/>
  <c r="M9" i="8" s="1"/>
  <c r="N9" i="8" s="1"/>
  <c r="H10" i="8"/>
  <c r="M10" i="8" s="1"/>
  <c r="N10" i="8" s="1"/>
  <c r="H11" i="8"/>
  <c r="H12" i="8"/>
  <c r="H13" i="8"/>
  <c r="H14" i="8"/>
  <c r="H15" i="8"/>
  <c r="H16" i="8"/>
  <c r="M16" i="8" s="1"/>
  <c r="N16" i="8" s="1"/>
  <c r="H17" i="8"/>
  <c r="M17" i="8" s="1"/>
  <c r="N17" i="8" s="1"/>
  <c r="M23" i="8"/>
  <c r="N23" i="8" s="1"/>
  <c r="M24" i="8"/>
  <c r="N24" i="8" s="1"/>
  <c r="H2" i="8"/>
  <c r="L33" i="8"/>
  <c r="K33" i="8"/>
  <c r="J33" i="8"/>
  <c r="I33" i="8"/>
  <c r="F33" i="8"/>
  <c r="C33" i="8"/>
  <c r="M32" i="8"/>
  <c r="N32" i="8" s="1"/>
  <c r="M31" i="8"/>
  <c r="N31" i="8" s="1"/>
  <c r="M30" i="8"/>
  <c r="N30" i="8" s="1"/>
  <c r="M29" i="8"/>
  <c r="N29" i="8" s="1"/>
  <c r="M28" i="8"/>
  <c r="N28" i="8" s="1"/>
  <c r="M27" i="8"/>
  <c r="N27" i="8" s="1"/>
  <c r="M26" i="8"/>
  <c r="N26" i="8" s="1"/>
  <c r="M22" i="8"/>
  <c r="N22" i="8" s="1"/>
  <c r="M21" i="8"/>
  <c r="N21" i="8" s="1"/>
  <c r="M20" i="8"/>
  <c r="N20" i="8" s="1"/>
  <c r="M19" i="8"/>
  <c r="N19" i="8" s="1"/>
  <c r="M18" i="8"/>
  <c r="N18" i="8" s="1"/>
  <c r="M15" i="8"/>
  <c r="N15" i="8" s="1"/>
  <c r="M14" i="8"/>
  <c r="N14" i="8" s="1"/>
  <c r="E33" i="8"/>
  <c r="M13" i="8"/>
  <c r="N13" i="8" s="1"/>
  <c r="M12" i="8"/>
  <c r="N12" i="8" s="1"/>
  <c r="M11" i="8"/>
  <c r="N11" i="8" s="1"/>
  <c r="M7" i="8"/>
  <c r="N7" i="8" s="1"/>
  <c r="G33" i="8"/>
  <c r="M6" i="8"/>
  <c r="N6" i="8" s="1"/>
  <c r="M5" i="8"/>
  <c r="N5" i="8" s="1"/>
  <c r="M4" i="8"/>
  <c r="N4" i="8" s="1"/>
  <c r="M3" i="8"/>
  <c r="N3" i="8" s="1"/>
  <c r="M2" i="8"/>
  <c r="G16" i="7"/>
  <c r="B16" i="7"/>
  <c r="B3" i="7"/>
  <c r="E2" i="7"/>
  <c r="B2" i="7"/>
  <c r="B24" i="6"/>
  <c r="B7" i="7"/>
  <c r="B22" i="6"/>
  <c r="C18" i="7"/>
  <c r="L32" i="7"/>
  <c r="K32" i="7"/>
  <c r="J32" i="7"/>
  <c r="I32" i="7"/>
  <c r="H32" i="7"/>
  <c r="F32" i="7"/>
  <c r="D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N26" i="7" s="1"/>
  <c r="M25" i="7"/>
  <c r="N25" i="7" s="1"/>
  <c r="M24" i="7"/>
  <c r="N24" i="7" s="1"/>
  <c r="M23" i="7"/>
  <c r="N23" i="7" s="1"/>
  <c r="M22" i="7"/>
  <c r="N22" i="7" s="1"/>
  <c r="M21" i="7"/>
  <c r="N21" i="7" s="1"/>
  <c r="M20" i="7"/>
  <c r="N20" i="7" s="1"/>
  <c r="M19" i="7"/>
  <c r="N19" i="7" s="1"/>
  <c r="M18" i="7"/>
  <c r="N18" i="7" s="1"/>
  <c r="M17" i="7"/>
  <c r="N17" i="7" s="1"/>
  <c r="C32" i="7"/>
  <c r="G32" i="7"/>
  <c r="M15" i="7"/>
  <c r="N15" i="7" s="1"/>
  <c r="E32" i="7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B32" i="7"/>
  <c r="B18" i="6"/>
  <c r="M18" i="6" s="1"/>
  <c r="N18" i="6" s="1"/>
  <c r="B13" i="6"/>
  <c r="B10" i="6"/>
  <c r="D6" i="6"/>
  <c r="G7" i="6"/>
  <c r="E13" i="6"/>
  <c r="G29" i="5"/>
  <c r="B29" i="5"/>
  <c r="B28" i="5"/>
  <c r="B27" i="5"/>
  <c r="B22" i="5"/>
  <c r="B19" i="5"/>
  <c r="B18" i="5"/>
  <c r="B17" i="5"/>
  <c r="B30" i="5"/>
  <c r="M3" i="6"/>
  <c r="N3" i="6" s="1"/>
  <c r="M4" i="6"/>
  <c r="N4" i="6" s="1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2" i="6"/>
  <c r="N12" i="6" s="1"/>
  <c r="M13" i="6"/>
  <c r="N13" i="6" s="1"/>
  <c r="M14" i="6"/>
  <c r="N14" i="6" s="1"/>
  <c r="M15" i="6"/>
  <c r="N15" i="6" s="1"/>
  <c r="M16" i="6"/>
  <c r="N16" i="6" s="1"/>
  <c r="M17" i="6"/>
  <c r="N17" i="6" s="1"/>
  <c r="M19" i="6"/>
  <c r="N19" i="6" s="1"/>
  <c r="M20" i="6"/>
  <c r="N20" i="6" s="1"/>
  <c r="M21" i="6"/>
  <c r="N21" i="6" s="1"/>
  <c r="M22" i="6"/>
  <c r="N22" i="6" s="1"/>
  <c r="M23" i="6"/>
  <c r="N23" i="6" s="1"/>
  <c r="M24" i="6"/>
  <c r="N24" i="6" s="1"/>
  <c r="M25" i="6"/>
  <c r="N25" i="6" s="1"/>
  <c r="M26" i="6"/>
  <c r="N26" i="6" s="1"/>
  <c r="M27" i="6"/>
  <c r="N27" i="6" s="1"/>
  <c r="M28" i="6"/>
  <c r="N28" i="6" s="1"/>
  <c r="M29" i="6"/>
  <c r="N29" i="6" s="1"/>
  <c r="M30" i="6"/>
  <c r="N30" i="6" s="1"/>
  <c r="M31" i="6"/>
  <c r="N31" i="6" s="1"/>
  <c r="M32" i="6"/>
  <c r="N32" i="6" s="1"/>
  <c r="M2" i="6"/>
  <c r="L33" i="6"/>
  <c r="K33" i="6"/>
  <c r="J33" i="6"/>
  <c r="I33" i="6"/>
  <c r="H33" i="6"/>
  <c r="G33" i="6"/>
  <c r="F33" i="6"/>
  <c r="E33" i="6"/>
  <c r="D33" i="6"/>
  <c r="C33" i="6"/>
  <c r="B26" i="5"/>
  <c r="B25" i="5"/>
  <c r="B24" i="5"/>
  <c r="B16" i="5"/>
  <c r="C17" i="5"/>
  <c r="G16" i="5"/>
  <c r="E15" i="5"/>
  <c r="B15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N18" i="3" s="1"/>
  <c r="M19" i="3"/>
  <c r="M20" i="3"/>
  <c r="M21" i="3"/>
  <c r="M22" i="3"/>
  <c r="M23" i="3"/>
  <c r="M24" i="3"/>
  <c r="M25" i="3"/>
  <c r="N25" i="3" s="1"/>
  <c r="M26" i="3"/>
  <c r="N26" i="3" s="1"/>
  <c r="M27" i="3"/>
  <c r="M28" i="3"/>
  <c r="M29" i="3"/>
  <c r="M30" i="3"/>
  <c r="M2" i="3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N25" i="1"/>
  <c r="N13" i="1"/>
  <c r="M2" i="1"/>
  <c r="M3" i="5"/>
  <c r="M4" i="5"/>
  <c r="N4" i="5" s="1"/>
  <c r="M5" i="5"/>
  <c r="M6" i="5"/>
  <c r="M7" i="5"/>
  <c r="N7" i="5" s="1"/>
  <c r="M8" i="5"/>
  <c r="N8" i="5" s="1"/>
  <c r="M9" i="5"/>
  <c r="M10" i="5"/>
  <c r="N10" i="5" s="1"/>
  <c r="M11" i="5"/>
  <c r="M12" i="5"/>
  <c r="M13" i="5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2" i="5"/>
  <c r="N2" i="5" s="1"/>
  <c r="M3" i="4"/>
  <c r="M4" i="4"/>
  <c r="M5" i="4"/>
  <c r="M6" i="4"/>
  <c r="M7" i="4"/>
  <c r="N7" i="4" s="1"/>
  <c r="M8" i="4"/>
  <c r="M9" i="4"/>
  <c r="M10" i="4"/>
  <c r="N10" i="4" s="1"/>
  <c r="M11" i="4"/>
  <c r="M12" i="4"/>
  <c r="M13" i="4"/>
  <c r="N13" i="4" s="1"/>
  <c r="M14" i="4"/>
  <c r="N14" i="4" s="1"/>
  <c r="M15" i="4"/>
  <c r="N15" i="4" s="1"/>
  <c r="M16" i="4"/>
  <c r="M17" i="4"/>
  <c r="M18" i="4"/>
  <c r="N18" i="4" s="1"/>
  <c r="M19" i="4"/>
  <c r="M20" i="4"/>
  <c r="N20" i="4" s="1"/>
  <c r="M21" i="4"/>
  <c r="M22" i="4"/>
  <c r="N22" i="4" s="1"/>
  <c r="M23" i="4"/>
  <c r="N23" i="4" s="1"/>
  <c r="M24" i="4"/>
  <c r="M25" i="4"/>
  <c r="M26" i="4"/>
  <c r="N26" i="4" s="1"/>
  <c r="M27" i="4"/>
  <c r="M28" i="4"/>
  <c r="M29" i="4"/>
  <c r="M30" i="4"/>
  <c r="N30" i="4" s="1"/>
  <c r="M31" i="4"/>
  <c r="N31" i="4" s="1"/>
  <c r="M32" i="4"/>
  <c r="N32" i="4" s="1"/>
  <c r="M2" i="4"/>
  <c r="N2" i="4" s="1"/>
  <c r="B3" i="5"/>
  <c r="B4" i="5"/>
  <c r="B5" i="5"/>
  <c r="B6" i="5"/>
  <c r="B7" i="5"/>
  <c r="B8" i="5"/>
  <c r="B9" i="5"/>
  <c r="B32" i="5" s="1"/>
  <c r="B10" i="5"/>
  <c r="B11" i="5"/>
  <c r="B12" i="5"/>
  <c r="B13" i="5"/>
  <c r="B14" i="5"/>
  <c r="B20" i="5"/>
  <c r="B21" i="5"/>
  <c r="B23" i="5"/>
  <c r="B31" i="5"/>
  <c r="B2" i="5"/>
  <c r="B2" i="4"/>
  <c r="B2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26" i="3"/>
  <c r="B27" i="3"/>
  <c r="B28" i="3"/>
  <c r="B29" i="3"/>
  <c r="B30" i="3"/>
  <c r="L32" i="5"/>
  <c r="K32" i="5"/>
  <c r="J32" i="5"/>
  <c r="I32" i="5"/>
  <c r="H32" i="5"/>
  <c r="G32" i="5"/>
  <c r="F32" i="5"/>
  <c r="E32" i="5"/>
  <c r="D32" i="5"/>
  <c r="C32" i="5"/>
  <c r="N21" i="5"/>
  <c r="N13" i="5"/>
  <c r="N12" i="5"/>
  <c r="N11" i="5"/>
  <c r="N6" i="5"/>
  <c r="N5" i="5"/>
  <c r="N3" i="5"/>
  <c r="L33" i="4"/>
  <c r="K33" i="4"/>
  <c r="J33" i="4"/>
  <c r="I33" i="4"/>
  <c r="H33" i="4"/>
  <c r="G33" i="4"/>
  <c r="F33" i="4"/>
  <c r="D33" i="4"/>
  <c r="C33" i="4"/>
  <c r="N29" i="4"/>
  <c r="N28" i="4"/>
  <c r="N27" i="4"/>
  <c r="N25" i="4"/>
  <c r="N24" i="4"/>
  <c r="N21" i="4"/>
  <c r="N19" i="4"/>
  <c r="N17" i="4"/>
  <c r="N16" i="4"/>
  <c r="N12" i="4"/>
  <c r="N11" i="4"/>
  <c r="N9" i="4"/>
  <c r="E33" i="4"/>
  <c r="N8" i="4"/>
  <c r="N6" i="4"/>
  <c r="N5" i="4"/>
  <c r="N4" i="4"/>
  <c r="N3" i="4"/>
  <c r="B33" i="4"/>
  <c r="L31" i="3"/>
  <c r="K31" i="3"/>
  <c r="J31" i="3"/>
  <c r="I31" i="3"/>
  <c r="G31" i="3"/>
  <c r="F31" i="3"/>
  <c r="D31" i="3"/>
  <c r="C31" i="3"/>
  <c r="N30" i="3"/>
  <c r="N29" i="3"/>
  <c r="N28" i="3"/>
  <c r="N27" i="3"/>
  <c r="N24" i="3"/>
  <c r="N23" i="3"/>
  <c r="N22" i="3"/>
  <c r="N14" i="3"/>
  <c r="N12" i="3"/>
  <c r="E31" i="3"/>
  <c r="N4" i="3"/>
  <c r="N3" i="3"/>
  <c r="B21" i="1"/>
  <c r="B20" i="1"/>
  <c r="B17" i="1"/>
  <c r="B16" i="1"/>
  <c r="B15" i="1"/>
  <c r="B13" i="1"/>
  <c r="B12" i="1"/>
  <c r="B11" i="1"/>
  <c r="B10" i="1"/>
  <c r="B9" i="1"/>
  <c r="E8" i="1"/>
  <c r="B8" i="1"/>
  <c r="B7" i="1"/>
  <c r="B6" i="1"/>
  <c r="B5" i="1"/>
  <c r="B33" i="1"/>
  <c r="B22" i="1"/>
  <c r="B19" i="1"/>
  <c r="B4" i="1"/>
  <c r="B2" i="1"/>
  <c r="N3" i="1"/>
  <c r="N4" i="1"/>
  <c r="N6" i="1"/>
  <c r="N12" i="1"/>
  <c r="N14" i="1"/>
  <c r="N15" i="1"/>
  <c r="N19" i="1"/>
  <c r="N20" i="1"/>
  <c r="N21" i="1"/>
  <c r="N22" i="1"/>
  <c r="N27" i="1"/>
  <c r="N28" i="1"/>
  <c r="N29" i="1"/>
  <c r="N30" i="1"/>
  <c r="H3" i="1"/>
  <c r="H4" i="1"/>
  <c r="H5" i="1"/>
  <c r="H6" i="1"/>
  <c r="H7" i="1"/>
  <c r="H8" i="1"/>
  <c r="H9" i="1"/>
  <c r="H33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33" i="1"/>
  <c r="K33" i="1"/>
  <c r="L33" i="1"/>
  <c r="J33" i="1"/>
  <c r="E33" i="1"/>
  <c r="C33" i="1"/>
  <c r="F33" i="1"/>
  <c r="G33" i="1"/>
  <c r="I33" i="1"/>
  <c r="N23" i="1"/>
  <c r="N24" i="1"/>
  <c r="N31" i="1"/>
  <c r="N32" i="1"/>
  <c r="M32" i="12" l="1"/>
  <c r="N2" i="12"/>
  <c r="H32" i="12"/>
  <c r="M10" i="11"/>
  <c r="N10" i="11" s="1"/>
  <c r="N5" i="11"/>
  <c r="M6" i="11"/>
  <c r="N6" i="11" s="1"/>
  <c r="B33" i="11"/>
  <c r="L34" i="11" s="1"/>
  <c r="M32" i="10"/>
  <c r="N32" i="10" s="1"/>
  <c r="L33" i="10"/>
  <c r="N2" i="10"/>
  <c r="M33" i="9"/>
  <c r="N33" i="9" s="1"/>
  <c r="P33" i="9" s="1"/>
  <c r="N2" i="9"/>
  <c r="H33" i="9"/>
  <c r="L34" i="9" s="1"/>
  <c r="M33" i="8"/>
  <c r="N33" i="8" s="1"/>
  <c r="B33" i="8"/>
  <c r="D33" i="8"/>
  <c r="N2" i="8"/>
  <c r="L33" i="7"/>
  <c r="M16" i="7"/>
  <c r="N16" i="7" s="1"/>
  <c r="N2" i="6"/>
  <c r="M33" i="6"/>
  <c r="N33" i="6" s="1"/>
  <c r="B33" i="6"/>
  <c r="L34" i="6" s="1"/>
  <c r="M32" i="5"/>
  <c r="N32" i="5" s="1"/>
  <c r="M33" i="1"/>
  <c r="N9" i="5"/>
  <c r="L33" i="5"/>
  <c r="L34" i="4"/>
  <c r="M33" i="4"/>
  <c r="N33" i="4" s="1"/>
  <c r="N6" i="3"/>
  <c r="N8" i="3"/>
  <c r="N9" i="3"/>
  <c r="N10" i="3"/>
  <c r="N16" i="3"/>
  <c r="N11" i="3"/>
  <c r="H31" i="3"/>
  <c r="N15" i="3"/>
  <c r="B31" i="3"/>
  <c r="N17" i="3"/>
  <c r="N21" i="3"/>
  <c r="N2" i="3"/>
  <c r="N7" i="3"/>
  <c r="N19" i="3"/>
  <c r="N13" i="3"/>
  <c r="N20" i="3"/>
  <c r="N5" i="3"/>
  <c r="N5" i="1"/>
  <c r="N7" i="1"/>
  <c r="N17" i="1"/>
  <c r="N26" i="1"/>
  <c r="N16" i="1"/>
  <c r="N8" i="1"/>
  <c r="N18" i="1"/>
  <c r="N9" i="1"/>
  <c r="L34" i="1"/>
  <c r="N2" i="1"/>
  <c r="N11" i="1"/>
  <c r="N32" i="12" l="1"/>
  <c r="L33" i="12"/>
  <c r="M33" i="11"/>
  <c r="N33" i="11" s="1"/>
  <c r="L34" i="8"/>
  <c r="M32" i="7"/>
  <c r="N32" i="7" s="1"/>
  <c r="L32" i="3"/>
  <c r="M31" i="3"/>
  <c r="N31" i="3" s="1"/>
  <c r="N33" i="1"/>
</calcChain>
</file>

<file path=xl/sharedStrings.xml><?xml version="1.0" encoding="utf-8"?>
<sst xmlns="http://schemas.openxmlformats.org/spreadsheetml/2006/main" count="167" uniqueCount="17">
  <si>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</si>
  <si>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</si>
  <si>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</si>
  <si>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</si>
  <si>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</si>
  <si>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</si>
  <si>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</si>
  <si>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</si>
  <si>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</si>
  <si>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</si>
  <si>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</si>
  <si>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</si>
  <si>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</si>
  <si>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</si>
  <si>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</si>
  <si>
    <t>旅游支出</t>
    <phoneticPr fontId="1" type="noConversion"/>
  </si>
  <si>
    <t>实际生活花费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</si>
</sst>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341"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339" dataDxfId="338">
  <autoFilter ref="A1:N33" xr:uid="{62DBF428-EA6E-4F16-A2E5-492FB36A65B6}"/>
  <tableColumns count="14">
    <tableColumn id="1" xr3:uid="{59D84569-A8BB-46A5-9CBC-5EF68588EE35}" name="日期" dataDxfId="337" totalsRowDxfId="336"/>
    <tableColumn id="2" xr3:uid="{2C662677-3D8C-4D8B-AE1F-E2248B7ABFF7}" name="吃饭" dataDxfId="335" totalsRowDxfId="334"/>
    <tableColumn id="3" xr3:uid="{AE70D7D4-9857-40D5-8BEB-34BF0C4CCA7A}" name="馋" dataDxfId="333" totalsRowDxfId="332"/>
    <tableColumn id="4" xr3:uid="{F3975E93-63B6-478C-B0F2-56460FBF1A23}" name="小余" dataDxfId="331" totalsRowDxfId="330"/>
    <tableColumn id="5" xr3:uid="{94F8752A-FBB0-4CE8-9D51-6324D8BBC87E}" name="生活" dataDxfId="329" totalsRowDxfId="328"/>
    <tableColumn id="15" xr3:uid="{30FDD512-0876-4E61-969E-6DA35E286B2C}" name="交通" dataDxfId="327" totalsRowDxfId="326"/>
    <tableColumn id="6" xr3:uid="{5C513997-5C16-4839-95D1-22245123DE2F}" name="爱好" dataDxfId="325" totalsRowDxfId="324"/>
    <tableColumn id="7" xr3:uid="{9E859D1E-EC02-49A9-BD03-97B27BCE859E}" name="房租" dataDxfId="323" totalsRowDxfId="322"/>
    <tableColumn id="8" xr3:uid="{EB58BFC7-02DA-46D2-AAFC-A0BA1323BE9D}" name="水电话费" dataDxfId="321" totalsRowDxfId="320"/>
    <tableColumn id="9" xr3:uid="{A2A17D77-95A1-459A-90A9-931CF7EEAF21}" name="懒" dataDxfId="319" totalsRowDxfId="318"/>
    <tableColumn id="11" xr3:uid="{FFABE2C4-74EE-4656-838D-CB10D6D9D4E8}" name="玩" dataDxfId="317" totalsRowDxfId="316"/>
    <tableColumn id="10" xr3:uid="{570141E9-E92B-4C59-AD38-CCA1569BD90C}" name="学习阅读" totalsRowFunction="custom" dataDxfId="315" totalsRowDxfId="314">
      <totalsRowFormula>SUM(B33:L33)</totalsRowFormula>
    </tableColumn>
    <tableColumn id="13" xr3:uid="{39BD7172-0D5C-49D9-87F6-B35B3F5628DB}" name="合计" dataDxfId="313" totalsRowDxfId="312"/>
    <tableColumn id="12" xr3:uid="{D46BD491-9DFD-4738-8C08-9D38C5B47D89}" name="合计（）" dataDxfId="311" totalsRowDxfId="310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FC55B8-A0ED-47F6-BE87-D05493AC4049}" name="表2_478911" displayName="表2_478911" ref="A1:N34" totalsRowCount="1" headerRowDxfId="60" dataDxfId="59">
  <autoFilter ref="A1:N33" xr:uid="{6C7D2DC4-9681-4990-8C7D-41F70811D8BA}"/>
  <tableColumns count="14">
    <tableColumn id="1" xr3:uid="{2806B019-4022-4DD1-B3E2-739EC105536D}" name="日期" dataDxfId="58" totalsRowDxfId="57"/>
    <tableColumn id="2" xr3:uid="{61468C3B-7D00-4589-A635-EF4A9B15CF7A}" name="吃饭" dataDxfId="56" totalsRowDxfId="55"/>
    <tableColumn id="3" xr3:uid="{D37DE389-3F6B-4BD9-AC78-1C80D0046E87}" name="馋" dataDxfId="54" totalsRowDxfId="53"/>
    <tableColumn id="4" xr3:uid="{1372F126-D909-4262-9A98-8DB88F12E3F3}" name="小余" dataDxfId="52" totalsRowDxfId="51"/>
    <tableColumn id="5" xr3:uid="{8A10186D-4310-47A8-A930-211CEBD4B09A}" name="生活" dataDxfId="50" totalsRowDxfId="49"/>
    <tableColumn id="15" xr3:uid="{0CA3C52B-2715-4B34-A7A1-F620DC76A618}" name="交通" dataDxfId="48" totalsRowDxfId="47"/>
    <tableColumn id="6" xr3:uid="{EFE22ED3-3E48-4926-BC9A-F2145F9F6FB6}" name="爱好" dataDxfId="46" totalsRowDxfId="45"/>
    <tableColumn id="7" xr3:uid="{74888BF2-64F2-45D6-800A-7421CC44DC46}" name="房租" dataDxfId="44" totalsRowDxfId="43"/>
    <tableColumn id="8" xr3:uid="{F9491386-4BD8-4B97-A32A-0F56B385B5FF}" name="水电话费" dataDxfId="42" totalsRowDxfId="41"/>
    <tableColumn id="9" xr3:uid="{16B50031-1580-482E-97E3-F7F6562762A8}" name="懒" dataDxfId="40" totalsRowDxfId="39"/>
    <tableColumn id="11" xr3:uid="{7D43A35C-2BF4-466F-BCC9-381C9752C1BA}" name="玩" dataDxfId="38" totalsRowDxfId="37"/>
    <tableColumn id="10" xr3:uid="{3EF9D836-7C8C-4383-93DB-366DB0B6A2C6}" name="学习阅读" totalsRowFunction="custom" dataDxfId="36" totalsRowDxfId="35">
      <totalsRowFormula>SUM(B33:L33)</totalsRowFormula>
    </tableColumn>
    <tableColumn id="13" xr3:uid="{72F050C2-1CE1-4450-AC20-7049FCDC209B}" name="合计" dataDxfId="34" totalsRowDxfId="33"/>
    <tableColumn id="12" xr3:uid="{13499077-25B4-4D1D-972E-D5E5DF56CDC4}" name="合计（）" dataDxfId="32" totalsRowDxfId="31">
      <calculatedColumnFormula>表2_478911[[#This Row],[合计]]-表2_478911[[#This Row],[房租]]-表2_478911[[#This Row],[水电话费]]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D8F19C-2DD0-4C59-A51B-15F75423EB7C}" name="表2_4561012" displayName="表2_4561012" ref="A1:N33" totalsRowCount="1" headerRowDxfId="29" dataDxfId="28">
  <autoFilter ref="A1:N32" xr:uid="{4783F111-60E6-47B5-9AB1-437C496BFA64}"/>
  <tableColumns count="14">
    <tableColumn id="1" xr3:uid="{C618F720-E758-4091-95B9-A16A4EBA1533}" name="日期" dataDxfId="27" totalsRowDxfId="13"/>
    <tableColumn id="2" xr3:uid="{1F96E219-DB50-486F-8570-DBF44B38E22B}" name="吃饭" dataDxfId="26" totalsRowDxfId="12"/>
    <tableColumn id="3" xr3:uid="{61EAFF41-5888-489B-9196-DD786161C5A4}" name="馋" dataDxfId="25" totalsRowDxfId="11"/>
    <tableColumn id="4" xr3:uid="{6E99EAD5-EE3A-451E-A248-40CBED41332E}" name="小余" dataDxfId="24" totalsRowDxfId="10"/>
    <tableColumn id="5" xr3:uid="{18C21F06-9B37-4402-892B-FCA37741E227}" name="生活" dataDxfId="23" totalsRowDxfId="9"/>
    <tableColumn id="15" xr3:uid="{80AB4C13-A583-4A87-AD6C-EBEB3448A8FA}" name="交通" dataDxfId="22" totalsRowDxfId="8"/>
    <tableColumn id="6" xr3:uid="{FEDAECBF-1E5D-42BF-8136-D0FBD99DC3D5}" name="爱好" dataDxfId="21" totalsRowDxfId="7"/>
    <tableColumn id="7" xr3:uid="{14F9E726-25B5-46A2-96B9-D5992FA69E71}" name="房租" dataDxfId="20" totalsRowDxfId="6">
      <calculatedColumnFormula>2700/60</calculatedColumnFormula>
    </tableColumn>
    <tableColumn id="8" xr3:uid="{63C1CCED-5794-4D08-8697-AB2B01E7754E}" name="水电话费" dataDxfId="19" totalsRowDxfId="5"/>
    <tableColumn id="9" xr3:uid="{6E91D01F-56E9-4E7F-B53D-3D3FF4A281E3}" name="懒" dataDxfId="18" totalsRowDxfId="4"/>
    <tableColumn id="11" xr3:uid="{8852A42C-B4B0-429A-9AE4-B9BF56FE665D}" name="玩" dataDxfId="17" totalsRowDxfId="3"/>
    <tableColumn id="10" xr3:uid="{C1BD7762-6CD1-4FD0-8EBD-97061B85B0B0}" name="学习阅读" totalsRowFunction="custom" dataDxfId="16" totalsRowDxfId="2">
      <totalsRowFormula>SUM(B32:L32)</totalsRowFormula>
    </tableColumn>
    <tableColumn id="13" xr3:uid="{50DF8B32-D09B-4C54-A088-827A73BFB4FC}" name="合计" dataDxfId="15" totalsRowDxfId="1"/>
    <tableColumn id="12" xr3:uid="{6E500027-168E-49B0-AD9B-D8F1510ABA55}" name="合计（）" dataDxfId="14" totalsRowDxfId="0">
      <calculatedColumnFormula>表2_4561012[[#This Row],[合计]]-表2_4561012[[#This Row],[房租]]-表2_4561012[[#This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5EC8C-CC53-4A27-BB75-0A6CACDDDE0C}" name="表2_2" displayName="表2_2" ref="A1:N32" totalsRowCount="1" headerRowDxfId="308" dataDxfId="307">
  <autoFilter ref="A1:N31" xr:uid="{9175EC8C-CC53-4A27-BB75-0A6CACDDDE0C}"/>
  <tableColumns count="14">
    <tableColumn id="1" xr3:uid="{110B2F1A-B6BF-44BF-ACB1-F19B6A141F34}" name="日期" dataDxfId="306" totalsRowDxfId="305"/>
    <tableColumn id="2" xr3:uid="{BC728776-957B-44F1-B2FE-57D5D4CA45FA}" name="吃饭" dataDxfId="304" totalsRowDxfId="303"/>
    <tableColumn id="3" xr3:uid="{8F707454-87C8-4D1C-B00D-DAA5509EC371}" name="馋" dataDxfId="302" totalsRowDxfId="301"/>
    <tableColumn id="4" xr3:uid="{893D28D4-9761-43F7-81A7-873346A1ADE0}" name="小余" dataDxfId="300" totalsRowDxfId="299"/>
    <tableColumn id="5" xr3:uid="{EF4D85C9-0B5C-426B-825B-4BB32A9AC4FF}" name="生活" dataDxfId="298" totalsRowDxfId="297"/>
    <tableColumn id="15" xr3:uid="{3DE63BAF-E6B5-4B67-9322-A7FF990070F8}" name="交通" dataDxfId="296" totalsRowDxfId="295"/>
    <tableColumn id="6" xr3:uid="{9FDB285E-FB04-4A56-A0DF-6982D921EEA6}" name="爱好" dataDxfId="294" totalsRowDxfId="293"/>
    <tableColumn id="7" xr3:uid="{1C6A890D-937B-45C4-A7E1-1DDAD63948C1}" name="房租" dataDxfId="292" totalsRowDxfId="291"/>
    <tableColumn id="8" xr3:uid="{6DA6BE0D-CF7D-4C12-B5D1-CEC533B474AF}" name="水电话费" dataDxfId="290" totalsRowDxfId="289"/>
    <tableColumn id="9" xr3:uid="{C996CD05-35A0-4BD7-93D5-5E73DF849EA1}" name="懒" dataDxfId="288" totalsRowDxfId="287"/>
    <tableColumn id="11" xr3:uid="{B604065C-64D4-478F-A033-C45E23344456}" name="玩" dataDxfId="286" totalsRowDxfId="285"/>
    <tableColumn id="10" xr3:uid="{4C0DD5C4-8F9D-484C-8109-61CDBB344EB6}" name="学习阅读" totalsRowFunction="custom" dataDxfId="284" totalsRowDxfId="283">
      <totalsRowFormula>SUM(B31:L31)</totalsRowFormula>
    </tableColumn>
    <tableColumn id="13" xr3:uid="{B730F2EE-713B-4A97-9E17-3623399D9E5B}" name="合计" dataDxfId="282" totalsRowDxfId="281"/>
    <tableColumn id="12" xr3:uid="{2F93C786-9B3B-42EA-B843-75A20D43DF83}" name="合计（）" dataDxfId="280" totalsRowDxfId="279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CFF680-2EC1-4599-BEE3-C1EC2946A723}" name="表2_4" displayName="表2_4" ref="A1:N34" totalsRowCount="1" headerRowDxfId="277" dataDxfId="276">
  <autoFilter ref="A1:N33" xr:uid="{F2CFF680-2EC1-4599-BEE3-C1EC2946A723}"/>
  <tableColumns count="14">
    <tableColumn id="1" xr3:uid="{B95FE3FC-E3C0-474F-A7EE-6ADF275C4FE5}" name="日期" dataDxfId="275" totalsRowDxfId="274"/>
    <tableColumn id="2" xr3:uid="{8B36C720-4E72-4E31-AECC-7DC7F136FF96}" name="吃饭" dataDxfId="273" totalsRowDxfId="272"/>
    <tableColumn id="3" xr3:uid="{2DF08235-AFD5-4D27-8CC2-56AAE7726D58}" name="馋" dataDxfId="271" totalsRowDxfId="270"/>
    <tableColumn id="4" xr3:uid="{701238C8-2D13-4DF6-90DF-82C04F4EBDFC}" name="小余" dataDxfId="269" totalsRowDxfId="268"/>
    <tableColumn id="5" xr3:uid="{65075409-AA0C-4A63-B36C-8BAF1B88F331}" name="生活" dataDxfId="267" totalsRowDxfId="266"/>
    <tableColumn id="15" xr3:uid="{488F3EB4-D5B5-4A6F-B8F5-BB183F879D60}" name="交通" dataDxfId="265" totalsRowDxfId="264"/>
    <tableColumn id="6" xr3:uid="{FFADE1D3-63B3-4E54-A5AF-B1784A8D293B}" name="爱好" dataDxfId="263" totalsRowDxfId="262"/>
    <tableColumn id="7" xr3:uid="{DA4A40FF-486B-4A95-A2F9-06CE392D8041}" name="房租" dataDxfId="261" totalsRowDxfId="260"/>
    <tableColumn id="8" xr3:uid="{FAE36F53-4A9E-40A8-B772-826119FD7E66}" name="水电话费" dataDxfId="259" totalsRowDxfId="258"/>
    <tableColumn id="9" xr3:uid="{8F64A473-D9DA-4B9E-81EC-3DB69653CCE5}" name="懒" dataDxfId="257" totalsRowDxfId="256"/>
    <tableColumn id="11" xr3:uid="{3754F808-A1ED-4C65-8182-083C24468AF4}" name="玩" dataDxfId="255" totalsRowDxfId="254"/>
    <tableColumn id="10" xr3:uid="{9E66DB33-7058-4D81-A11E-A34BBC7C4742}" name="学习阅读" totalsRowFunction="custom" dataDxfId="253" totalsRowDxfId="252">
      <totalsRowFormula>SUM(B33:L33)</totalsRowFormula>
    </tableColumn>
    <tableColumn id="13" xr3:uid="{093440BA-FE3B-4C1B-850D-9B426E707884}" name="合计" dataDxfId="251" totalsRowDxfId="250"/>
    <tableColumn id="12" xr3:uid="{6EC3C015-E2D7-4E98-90A6-57C3BAA36B35}" name="合计（）" dataDxfId="249" totalsRowDxfId="248">
      <calculatedColumnFormula>表2_4[[#This Row],[合计]]-表2_4[[#This Row],[房租]]-表2_4[[#This Row],[水电话费]]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3F111-60E6-47B5-9AB1-437C496BFA64}" name="表2_45" displayName="表2_45" ref="A1:N33" totalsRowCount="1" headerRowDxfId="246" dataDxfId="245">
  <autoFilter ref="A1:N32" xr:uid="{4783F111-60E6-47B5-9AB1-437C496BFA64}"/>
  <tableColumns count="14">
    <tableColumn id="1" xr3:uid="{253FD735-8925-47DC-9319-8F6CC7BEA25A}" name="日期" dataDxfId="244" totalsRowDxfId="243"/>
    <tableColumn id="2" xr3:uid="{1D5E92BE-2B1C-47A3-815B-4AB06CC80A74}" name="吃饭" dataDxfId="242" totalsRowDxfId="241"/>
    <tableColumn id="3" xr3:uid="{B6866B7B-720A-4511-8ABA-7AF6DB07BC3F}" name="馋" dataDxfId="240" totalsRowDxfId="239"/>
    <tableColumn id="4" xr3:uid="{7C40FE36-49F5-4328-8C59-AAAE298CF610}" name="小余" dataDxfId="238" totalsRowDxfId="237"/>
    <tableColumn id="5" xr3:uid="{3062D561-3042-41EA-9D56-F0D571200AE0}" name="生活" dataDxfId="236" totalsRowDxfId="235"/>
    <tableColumn id="15" xr3:uid="{65B8ED49-88EA-4649-B1AD-483DD62949AF}" name="交通" dataDxfId="234" totalsRowDxfId="233"/>
    <tableColumn id="6" xr3:uid="{32C3B1C3-0B70-4E65-9D77-F567F6F71141}" name="爱好" dataDxfId="232" totalsRowDxfId="231"/>
    <tableColumn id="7" xr3:uid="{9E8DEC50-7226-406D-A9B7-0F78077CEE73}" name="房租" dataDxfId="230" totalsRowDxfId="229"/>
    <tableColumn id="8" xr3:uid="{1B69408A-A9B1-4268-ADAF-B1F88C81A8C6}" name="水电话费" dataDxfId="228" totalsRowDxfId="227"/>
    <tableColumn id="9" xr3:uid="{175CD47C-ED6F-4F5A-89EB-025613A11EB3}" name="懒" dataDxfId="226" totalsRowDxfId="225"/>
    <tableColumn id="11" xr3:uid="{78C5E361-0822-44EE-9BD8-86A4AE5F34F7}" name="玩" dataDxfId="224" totalsRowDxfId="223"/>
    <tableColumn id="10" xr3:uid="{6230A14F-6BCA-49F1-8069-2B889BC1C291}" name="学习阅读" totalsRowFunction="custom" dataDxfId="222" totalsRowDxfId="221">
      <totalsRowFormula>SUM(B32:L32)</totalsRowFormula>
    </tableColumn>
    <tableColumn id="13" xr3:uid="{324358EF-836E-42BF-B637-20025D20A84F}" name="合计" dataDxfId="220" totalsRowDxfId="219"/>
    <tableColumn id="12" xr3:uid="{D3173285-B7ED-4BDD-848D-690D731AC05D}" name="合计（）" dataDxfId="218" totalsRowDxfId="217">
      <calculatedColumnFormula>表2_45[[#This Row],[合计]]-表2_45[[#This Row],[房租]]-表2_45[[#This Row],[水电话费]]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7D2DC4-9681-4990-8C7D-41F70811D8BA}" name="表2_47" displayName="表2_47" ref="A1:N34" totalsRowCount="1" headerRowDxfId="215" dataDxfId="214">
  <autoFilter ref="A1:N33" xr:uid="{6C7D2DC4-9681-4990-8C7D-41F70811D8BA}"/>
  <tableColumns count="14">
    <tableColumn id="1" xr3:uid="{74F0505F-93D3-4D6F-93D1-A9B1F8EE9B89}" name="日期" dataDxfId="213" totalsRowDxfId="212"/>
    <tableColumn id="2" xr3:uid="{F517E882-8B97-462D-9008-25C6535C1394}" name="吃饭" dataDxfId="211" totalsRowDxfId="210"/>
    <tableColumn id="3" xr3:uid="{BCD63472-400C-439E-A565-4F108DE430C4}" name="馋" dataDxfId="209" totalsRowDxfId="208"/>
    <tableColumn id="4" xr3:uid="{FA3A6E54-D9ED-4E96-B1BD-699B0C9BDF29}" name="小余" dataDxfId="207" totalsRowDxfId="206"/>
    <tableColumn id="5" xr3:uid="{B943C426-1FD4-49B1-B38D-16EF62561B05}" name="生活" dataDxfId="205" totalsRowDxfId="204"/>
    <tableColumn id="15" xr3:uid="{71F732A5-6C4D-43A1-9263-10BED9F15A63}" name="交通" dataDxfId="203" totalsRowDxfId="202"/>
    <tableColumn id="6" xr3:uid="{C517105C-C5D6-4615-8006-1942D76F1EFA}" name="爱好" dataDxfId="201" totalsRowDxfId="200"/>
    <tableColumn id="7" xr3:uid="{2026C728-11B7-44C1-B7B7-5898A06406BB}" name="房租" dataDxfId="199" totalsRowDxfId="198"/>
    <tableColumn id="8" xr3:uid="{010BC9D0-B40F-4BA0-B588-4485C9ABC790}" name="水电话费" dataDxfId="197" totalsRowDxfId="196"/>
    <tableColumn id="9" xr3:uid="{C3AEE5AC-F787-49CB-8E34-FA72F902203B}" name="懒" dataDxfId="195" totalsRowDxfId="194"/>
    <tableColumn id="11" xr3:uid="{692BC553-3866-4274-89D9-938123E93B86}" name="玩" dataDxfId="193" totalsRowDxfId="192"/>
    <tableColumn id="10" xr3:uid="{1A470B39-AF0F-4558-8A01-1B3941FE09D3}" name="学习阅读" totalsRowFunction="custom" dataDxfId="191" totalsRowDxfId="190">
      <totalsRowFormula>SUM(B33:L33)</totalsRowFormula>
    </tableColumn>
    <tableColumn id="13" xr3:uid="{45FDCD9A-7348-4954-A4C6-0876FD81425D}" name="合计" dataDxfId="189" totalsRowDxfId="188"/>
    <tableColumn id="12" xr3:uid="{EFE54995-75C1-458E-847A-8DCFA0927C89}" name="合计（）" dataDxfId="187" totalsRowDxfId="186">
      <calculatedColumnFormula>表2_47[[#This Row],[合计]]-表2_47[[#This Row],[房租]]-表2_47[[#This Row],[水电话费]]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EF4EB3-8DCE-4611-93FB-0A64B2378F43}" name="表2_456" displayName="表2_456" ref="A1:N33" totalsRowCount="1" headerRowDxfId="184" dataDxfId="183">
  <autoFilter ref="A1:N32" xr:uid="{4783F111-60E6-47B5-9AB1-437C496BFA64}"/>
  <tableColumns count="14">
    <tableColumn id="1" xr3:uid="{DC4C7EC2-FFA5-49AE-B5CE-FF5F9FFEC75B}" name="日期" dataDxfId="182" totalsRowDxfId="181"/>
    <tableColumn id="2" xr3:uid="{BD577491-7BC8-4A46-8B9D-B6465A58793D}" name="吃饭" dataDxfId="180" totalsRowDxfId="179"/>
    <tableColumn id="3" xr3:uid="{E6E0F346-6F32-40BF-B97B-58D0D86B2B79}" name="馋" dataDxfId="178" totalsRowDxfId="177"/>
    <tableColumn id="4" xr3:uid="{FC1BD07D-C04F-4A94-ACFB-4B134370FF88}" name="小余" dataDxfId="176" totalsRowDxfId="175"/>
    <tableColumn id="5" xr3:uid="{70E49A38-6380-4CFA-970D-21AF23C8D2FB}" name="生活" dataDxfId="174" totalsRowDxfId="173"/>
    <tableColumn id="15" xr3:uid="{540B07C7-82A3-4E18-A9B5-CC7F510ECED4}" name="交通" dataDxfId="172" totalsRowDxfId="171"/>
    <tableColumn id="6" xr3:uid="{F22A11BA-E075-43C0-8E3F-6FEA0B8CC7DB}" name="爱好" dataDxfId="170" totalsRowDxfId="169"/>
    <tableColumn id="7" xr3:uid="{2764A31E-0AA6-485C-B6FE-4D912CEAB6BA}" name="房租" dataDxfId="168" totalsRowDxfId="167"/>
    <tableColumn id="8" xr3:uid="{46855BB5-0279-48FE-8381-91E3B0B2F5D4}" name="水电话费" dataDxfId="166" totalsRowDxfId="165"/>
    <tableColumn id="9" xr3:uid="{2E461C15-3D65-4C4D-8353-8E3F1FB92AD2}" name="懒" dataDxfId="164" totalsRowDxfId="163"/>
    <tableColumn id="11" xr3:uid="{D51818B8-8E3F-4083-8C55-B52953A28CF3}" name="玩" dataDxfId="162" totalsRowDxfId="161"/>
    <tableColumn id="10" xr3:uid="{70907E0D-86C4-4FEF-98C7-528A15A3F82A}" name="学习阅读" totalsRowFunction="custom" dataDxfId="160" totalsRowDxfId="159">
      <totalsRowFormula>SUM(B32:L32)</totalsRowFormula>
    </tableColumn>
    <tableColumn id="13" xr3:uid="{BBC26AB6-5C58-426E-91FA-638F8671143C}" name="合计" dataDxfId="158" totalsRowDxfId="157"/>
    <tableColumn id="12" xr3:uid="{4FC4CAD3-987F-4949-B839-388424E40787}" name="合计（）" dataDxfId="156" totalsRowDxfId="155">
      <calculatedColumnFormula>表2_456[[#This Row],[合计]]-表2_456[[#This Row],[房租]]-表2_456[[#This Row],[水电话费]]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B38A3F-353C-446F-A3A2-A6F6396F531A}" name="表2_478" displayName="表2_478" ref="A1:N34" totalsRowCount="1" headerRowDxfId="153" dataDxfId="152">
  <autoFilter ref="A1:N33" xr:uid="{6C7D2DC4-9681-4990-8C7D-41F70811D8BA}"/>
  <tableColumns count="14">
    <tableColumn id="1" xr3:uid="{7DFA7012-48A7-49BB-9AC9-EA520DCFC819}" name="日期" dataDxfId="151" totalsRowDxfId="150"/>
    <tableColumn id="2" xr3:uid="{1D83433A-7520-4385-9622-D8674FA26A32}" name="吃饭" dataDxfId="149" totalsRowDxfId="148"/>
    <tableColumn id="3" xr3:uid="{4200389D-7C86-4B7C-A824-2D5DF7054612}" name="馋" dataDxfId="147" totalsRowDxfId="146"/>
    <tableColumn id="4" xr3:uid="{C19DD552-62C3-4C28-B00C-B05D99EB883F}" name="小余" dataDxfId="145" totalsRowDxfId="144"/>
    <tableColumn id="5" xr3:uid="{2EAF35DC-1490-4624-A7E6-E69BED631DCF}" name="生活" dataDxfId="143" totalsRowDxfId="142"/>
    <tableColumn id="15" xr3:uid="{8B116F3E-8AAF-41B0-8416-141426C8317E}" name="交通" dataDxfId="141" totalsRowDxfId="140"/>
    <tableColumn id="6" xr3:uid="{BCC2D5FA-8678-4FC3-AFCA-F067021D2B63}" name="爱好" dataDxfId="139" totalsRowDxfId="138"/>
    <tableColumn id="7" xr3:uid="{718CF231-F02E-4B57-A850-B8A59E063A27}" name="房租" dataDxfId="137" totalsRowDxfId="136"/>
    <tableColumn id="8" xr3:uid="{8FF0AA7F-AFA7-4DF0-8F4B-0BCDC20C3917}" name="水电话费" dataDxfId="135" totalsRowDxfId="134"/>
    <tableColumn id="9" xr3:uid="{AC89099A-C097-40C8-89E7-28D00A4BA6C2}" name="懒" dataDxfId="133" totalsRowDxfId="132"/>
    <tableColumn id="11" xr3:uid="{20CC3AB5-9D68-44F7-A15B-F718AC40BD4A}" name="玩" dataDxfId="131" totalsRowDxfId="130"/>
    <tableColumn id="10" xr3:uid="{6FC0A1FA-BD0C-4544-81F9-18E0A9A9E653}" name="学习阅读" totalsRowFunction="custom" dataDxfId="129" totalsRowDxfId="128">
      <totalsRowFormula>SUM(B33:L33)</totalsRowFormula>
    </tableColumn>
    <tableColumn id="13" xr3:uid="{8218A021-98D0-466F-9B23-8A378F33ED30}" name="合计" dataDxfId="127" totalsRowDxfId="126"/>
    <tableColumn id="12" xr3:uid="{8C520387-76A6-44B0-902F-32F052E563F3}" name="合计（）" dataDxfId="125" totalsRowDxfId="124">
      <calculatedColumnFormula>表2_478[[#This Row],[合计]]-表2_478[[#This Row],[房租]]-表2_478[[#This Row],[水电话费]]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AD4D-91E3-4076-BD9A-07516D424212}" name="表2_4789" displayName="表2_4789" ref="A1:N34" totalsRowCount="1" headerRowDxfId="122" dataDxfId="121">
  <autoFilter ref="A1:N33" xr:uid="{6C7D2DC4-9681-4990-8C7D-41F70811D8BA}"/>
  <tableColumns count="14">
    <tableColumn id="1" xr3:uid="{4E2ACB2F-0D6D-4A48-84DE-36E447C84EF3}" name="日期" dataDxfId="120" totalsRowDxfId="119"/>
    <tableColumn id="2" xr3:uid="{4061BBA9-110F-499A-B73D-CFAF32AB3A51}" name="吃饭" dataDxfId="118" totalsRowDxfId="117"/>
    <tableColumn id="3" xr3:uid="{6E493E70-DEB7-4B2A-875C-1B22EE4DD4A4}" name="馋" dataDxfId="116" totalsRowDxfId="115"/>
    <tableColumn id="4" xr3:uid="{E6E8B2AD-6562-4C13-85BF-F6E505479974}" name="小余" dataDxfId="114" totalsRowDxfId="113"/>
    <tableColumn id="5" xr3:uid="{F1DDF90B-4151-4D9A-A154-698CAD0FE23F}" name="生活" dataDxfId="112" totalsRowDxfId="111"/>
    <tableColumn id="15" xr3:uid="{B2770C1E-1AB2-474C-A9BC-FCF67296BACC}" name="交通" dataDxfId="110" totalsRowDxfId="109"/>
    <tableColumn id="6" xr3:uid="{EB56D2FE-1A67-4C22-AF71-1DE484370C11}" name="爱好" dataDxfId="108" totalsRowDxfId="107"/>
    <tableColumn id="7" xr3:uid="{6B622060-1C1F-44E3-8822-E87C81888211}" name="房租" dataDxfId="106" totalsRowDxfId="105"/>
    <tableColumn id="8" xr3:uid="{50B1ABA8-7A28-49FF-A0ED-ECB2F09C66EA}" name="水电话费" dataDxfId="104" totalsRowDxfId="103"/>
    <tableColumn id="9" xr3:uid="{9E9428CE-75EE-44F6-B776-5452C56751FE}" name="懒" dataDxfId="102" totalsRowDxfId="101"/>
    <tableColumn id="11" xr3:uid="{9B4B35E6-AB35-4CC3-B917-92D01D5C951D}" name="玩" dataDxfId="100" totalsRowDxfId="99"/>
    <tableColumn id="10" xr3:uid="{6C0B6BD2-DED2-4EAF-A5D3-CCB34B70770B}" name="学习阅读" totalsRowFunction="custom" dataDxfId="98" totalsRowDxfId="97">
      <totalsRowFormula>SUM(B33:L33)</totalsRowFormula>
    </tableColumn>
    <tableColumn id="13" xr3:uid="{A642FB39-4AEA-4894-8F79-325EF764858E}" name="合计" dataDxfId="96" totalsRowDxfId="95"/>
    <tableColumn id="12" xr3:uid="{24E2A3FC-6A65-420C-B77A-309E58D296FC}" name="合计（）" dataDxfId="94" totalsRowDxfId="93">
      <calculatedColumnFormula>表2_4789[[#This Row],[合计]]-表2_4789[[#This Row],[房租]]-表2_4789[[#This Row],[水电话费]]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267095-1F08-4F78-BDB2-1DDBABB1C1C3}" name="表2_45610" displayName="表2_45610" ref="A1:N33" totalsRowCount="1" headerRowDxfId="91" dataDxfId="90">
  <autoFilter ref="A1:N32" xr:uid="{4783F111-60E6-47B5-9AB1-437C496BFA64}"/>
  <tableColumns count="14">
    <tableColumn id="1" xr3:uid="{391D8D32-699D-4415-8110-305FCC210545}" name="日期" dataDxfId="89" totalsRowDxfId="88"/>
    <tableColumn id="2" xr3:uid="{94717B93-CE2F-4746-B439-73F8F68727D0}" name="吃饭" dataDxfId="87" totalsRowDxfId="86"/>
    <tableColumn id="3" xr3:uid="{23CCF45B-8D7A-43A0-9336-8B2FEDED6501}" name="馋" dataDxfId="85" totalsRowDxfId="84"/>
    <tableColumn id="4" xr3:uid="{95584A45-6A13-4388-B5EC-2CD9CDC1AF3A}" name="小余" dataDxfId="83" totalsRowDxfId="82"/>
    <tableColumn id="5" xr3:uid="{7629E00D-D1F1-4562-AC7B-4CBCD447A209}" name="生活" dataDxfId="81" totalsRowDxfId="80"/>
    <tableColumn id="15" xr3:uid="{6976ABC8-205C-4C79-A78C-EF3D4DF65039}" name="交通" dataDxfId="79" totalsRowDxfId="78"/>
    <tableColumn id="6" xr3:uid="{B38E331A-4C39-4F94-8BA4-7E48CE48499F}" name="爱好" dataDxfId="77" totalsRowDxfId="76"/>
    <tableColumn id="7" xr3:uid="{AFAB8892-73A8-4271-90F4-1DFA7EEBFC3D}" name="房租" dataDxfId="75" totalsRowDxfId="74">
      <calculatedColumnFormula>2700/60</calculatedColumnFormula>
    </tableColumn>
    <tableColumn id="8" xr3:uid="{C4C43711-6106-432A-BE87-F01D30946B4C}" name="水电话费" dataDxfId="73" totalsRowDxfId="72"/>
    <tableColumn id="9" xr3:uid="{A2893E56-1E7B-4CA8-AC83-35DE157F8CA5}" name="懒" dataDxfId="71" totalsRowDxfId="70"/>
    <tableColumn id="11" xr3:uid="{28ED9641-B02F-4576-9686-ED3695C4D134}" name="玩" dataDxfId="69" totalsRowDxfId="68"/>
    <tableColumn id="10" xr3:uid="{48D107DB-93EB-4489-B660-E35D77C2D950}" name="学习阅读" totalsRowFunction="custom" dataDxfId="67" totalsRowDxfId="66">
      <totalsRowFormula>SUM(B32:L32)</totalsRowFormula>
    </tableColumn>
    <tableColumn id="13" xr3:uid="{2B3980E8-A2AB-4836-AFD3-A735550CC472}" name="合计" dataDxfId="65" totalsRowDxfId="64"/>
    <tableColumn id="12" xr3:uid="{72666257-FE93-46BC-994D-9FAC0B9D6D09}" name="合计（）" dataDxfId="63" totalsRowDxfId="62">
      <calculatedColumnFormula>表2_45610[[#This Row],[合计]]-表2_45610[[#This Row],[房租]]-表2_45610[[#This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Normal="100" workbookViewId="0">
      <selection activeCell="K27" sqref="K27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45292</v>
      </c>
      <c r="B2" s="3">
        <f>28+3.7+8.1</f>
        <v>39.799999999999997</v>
      </c>
      <c r="C2" s="3"/>
      <c r="D2" s="3">
        <v>80</v>
      </c>
      <c r="E2" s="3">
        <v>105.77</v>
      </c>
      <c r="F2" s="3">
        <v>15</v>
      </c>
      <c r="G2" s="3"/>
      <c r="H2" s="3">
        <f>1260/31</f>
        <v>40.645161290322584</v>
      </c>
      <c r="I2" s="3">
        <v>99</v>
      </c>
      <c r="J2" s="3"/>
      <c r="K2" s="3"/>
      <c r="L2" s="3"/>
      <c r="M2" s="3">
        <f>SUM(表2[[#This Row],[吃饭]:[学习阅读]])</f>
        <v>380.21516129032256</v>
      </c>
      <c r="N2" s="3">
        <f>表2[[#This Row],[合计]]-表2[[#This Row],[房租]]-表2[[#This Row],[水电话费]]</f>
        <v>240.57</v>
      </c>
    </row>
    <row r="3" spans="1:14" x14ac:dyDescent="0.3">
      <c r="A3" s="1">
        <v>45293</v>
      </c>
      <c r="B3" s="3">
        <v>5.5</v>
      </c>
      <c r="C3" s="3"/>
      <c r="D3" s="3"/>
      <c r="E3" s="3"/>
      <c r="F3" s="3">
        <v>9</v>
      </c>
      <c r="G3" s="3"/>
      <c r="H3" s="3">
        <f t="shared" ref="H3:H32" si="0">1260/31</f>
        <v>40.645161290322584</v>
      </c>
      <c r="I3" s="3"/>
      <c r="J3" s="3"/>
      <c r="K3" s="3"/>
      <c r="L3" s="3"/>
      <c r="M3" s="3">
        <f>SUM(表2[[#This Row],[吃饭]:[学习阅读]])</f>
        <v>55.145161290322584</v>
      </c>
      <c r="N3" s="3">
        <f>表2[[#This Row],[合计]]-表2[[#This Row],[房租]]-表2[[#This Row],[水电话费]]</f>
        <v>14.5</v>
      </c>
    </row>
    <row r="4" spans="1:14" x14ac:dyDescent="0.3">
      <c r="A4" s="1">
        <v>45294</v>
      </c>
      <c r="B4" s="3">
        <f>1.5+13.9</f>
        <v>15.4</v>
      </c>
      <c r="C4" s="3">
        <v>10</v>
      </c>
      <c r="D4" s="3">
        <v>39</v>
      </c>
      <c r="E4" s="3"/>
      <c r="F4" s="3">
        <v>9.7200000000000006</v>
      </c>
      <c r="G4" s="3"/>
      <c r="H4" s="3">
        <f t="shared" si="0"/>
        <v>40.645161290322584</v>
      </c>
      <c r="I4" s="3"/>
      <c r="J4" s="3"/>
      <c r="K4" s="3"/>
      <c r="L4" s="3"/>
      <c r="M4" s="3">
        <f>SUM(表2[[#This Row],[吃饭]:[学习阅读]])</f>
        <v>114.7651612903226</v>
      </c>
      <c r="N4" s="3">
        <f>表2[[#This Row],[合计]]-表2[[#This Row],[房租]]-表2[[#This Row],[水电话费]]</f>
        <v>74.12</v>
      </c>
    </row>
    <row r="5" spans="1:14" x14ac:dyDescent="0.3">
      <c r="A5" s="1">
        <v>45295</v>
      </c>
      <c r="B5" s="3">
        <f>12.19+3.8+9+23.26</f>
        <v>48.25</v>
      </c>
      <c r="C5" s="3">
        <v>6</v>
      </c>
      <c r="D5" s="3"/>
      <c r="E5" s="3"/>
      <c r="F5" s="3"/>
      <c r="G5" s="3"/>
      <c r="H5" s="3">
        <f t="shared" si="0"/>
        <v>40.645161290322584</v>
      </c>
      <c r="I5" s="3"/>
      <c r="J5" s="3"/>
      <c r="K5" s="3"/>
      <c r="L5" s="3"/>
      <c r="M5" s="3">
        <f>SUM(表2[[#This Row],[吃饭]:[学习阅读]])</f>
        <v>94.895161290322591</v>
      </c>
      <c r="N5" s="3">
        <f>表2[[#This Row],[合计]]-表2[[#This Row],[房租]]-表2[[#This Row],[水电话费]]</f>
        <v>54.250000000000007</v>
      </c>
    </row>
    <row r="6" spans="1:14" x14ac:dyDescent="0.3">
      <c r="A6" s="1">
        <v>45296</v>
      </c>
      <c r="B6" s="3">
        <f>35+9+3.8</f>
        <v>47.8</v>
      </c>
      <c r="C6" s="3"/>
      <c r="D6" s="3"/>
      <c r="E6" s="3">
        <v>15</v>
      </c>
      <c r="F6" s="3">
        <v>8.6</v>
      </c>
      <c r="G6" s="3"/>
      <c r="H6" s="3">
        <f t="shared" si="0"/>
        <v>40.645161290322584</v>
      </c>
      <c r="I6" s="3"/>
      <c r="J6" s="3"/>
      <c r="K6" s="3"/>
      <c r="L6" s="3"/>
      <c r="M6" s="3">
        <f>SUM(表2[[#This Row],[吃饭]:[学习阅读]])</f>
        <v>112.04516129032257</v>
      </c>
      <c r="N6" s="3">
        <f>表2[[#This Row],[合计]]-表2[[#This Row],[房租]]-表2[[#This Row],[水电话费]]</f>
        <v>71.399999999999977</v>
      </c>
    </row>
    <row r="7" spans="1:14" x14ac:dyDescent="0.3">
      <c r="A7" s="1">
        <v>45297</v>
      </c>
      <c r="B7" s="3">
        <f>15.5+26</f>
        <v>41.5</v>
      </c>
      <c r="C7" s="3"/>
      <c r="D7" s="3"/>
      <c r="E7" s="3"/>
      <c r="F7" s="3">
        <v>18</v>
      </c>
      <c r="G7" s="3"/>
      <c r="H7" s="3">
        <f t="shared" si="0"/>
        <v>40.645161290322584</v>
      </c>
      <c r="I7" s="3"/>
      <c r="J7" s="3"/>
      <c r="K7" s="3"/>
      <c r="L7" s="3"/>
      <c r="M7" s="3">
        <f>SUM(表2[[#This Row],[吃饭]:[学习阅读]])</f>
        <v>100.14516129032259</v>
      </c>
      <c r="N7" s="3">
        <f>表2[[#This Row],[合计]]-表2[[#This Row],[房租]]-表2[[#This Row],[水电话费]]</f>
        <v>59.500000000000007</v>
      </c>
    </row>
    <row r="8" spans="1:14" x14ac:dyDescent="0.3">
      <c r="A8" s="1">
        <v>45298</v>
      </c>
      <c r="B8" s="3">
        <f>8.92+30</f>
        <v>38.92</v>
      </c>
      <c r="C8" s="3"/>
      <c r="D8" s="3"/>
      <c r="E8" s="3">
        <f>6+50</f>
        <v>56</v>
      </c>
      <c r="F8" s="3">
        <v>16</v>
      </c>
      <c r="G8" s="3"/>
      <c r="H8" s="3">
        <f t="shared" si="0"/>
        <v>40.645161290322584</v>
      </c>
      <c r="I8" s="3"/>
      <c r="J8" s="3"/>
      <c r="K8" s="3"/>
      <c r="L8" s="3"/>
      <c r="M8" s="3">
        <f>SUM(表2[[#This Row],[吃饭]:[学习阅读]])</f>
        <v>151.56516129032258</v>
      </c>
      <c r="N8" s="3">
        <f>表2[[#This Row],[合计]]-表2[[#This Row],[房租]]-表2[[#This Row],[水电话费]]</f>
        <v>110.91999999999999</v>
      </c>
    </row>
    <row r="9" spans="1:14" x14ac:dyDescent="0.3">
      <c r="A9" s="1">
        <v>45299</v>
      </c>
      <c r="B9" s="3">
        <f>10.47+9</f>
        <v>19.47</v>
      </c>
      <c r="C9" s="3"/>
      <c r="D9" s="3"/>
      <c r="E9" s="3"/>
      <c r="F9" s="3">
        <v>28</v>
      </c>
      <c r="G9" s="3"/>
      <c r="H9" s="3">
        <f t="shared" si="0"/>
        <v>40.645161290322584</v>
      </c>
      <c r="I9" s="3"/>
      <c r="J9" s="3"/>
      <c r="K9" s="3"/>
      <c r="L9" s="3"/>
      <c r="M9" s="3">
        <f>SUM(表2[[#This Row],[吃饭]:[学习阅读]])</f>
        <v>88.11516129032259</v>
      </c>
      <c r="N9" s="3">
        <f>表2[[#This Row],[合计]]-表2[[#This Row],[房租]]-表2[[#This Row],[水电话费]]</f>
        <v>47.470000000000006</v>
      </c>
    </row>
    <row r="10" spans="1:14" x14ac:dyDescent="0.3">
      <c r="A10" s="1">
        <v>45300</v>
      </c>
      <c r="B10" s="3">
        <f>3.8</f>
        <v>3.8</v>
      </c>
      <c r="C10" s="3"/>
      <c r="D10" s="3"/>
      <c r="E10" s="3">
        <v>7</v>
      </c>
      <c r="F10" s="3"/>
      <c r="G10" s="3"/>
      <c r="H10" s="3">
        <f t="shared" si="0"/>
        <v>40.645161290322584</v>
      </c>
      <c r="I10" s="3"/>
      <c r="J10" s="3"/>
      <c r="K10" s="3"/>
      <c r="L10" s="3"/>
      <c r="M10" s="3">
        <f>SUM(表2[[#This Row],[吃饭]:[学习阅读]])</f>
        <v>51.445161290322588</v>
      </c>
      <c r="N10" s="3">
        <f>表2[[#This Row],[合计]]-表2[[#This Row],[房租]]-表2[[#This Row],[水电话费]]</f>
        <v>10.800000000000004</v>
      </c>
    </row>
    <row r="11" spans="1:14" x14ac:dyDescent="0.3">
      <c r="A11" s="1">
        <v>45301</v>
      </c>
      <c r="B11" s="3">
        <f>10.82</f>
        <v>10.82</v>
      </c>
      <c r="C11" s="3"/>
      <c r="D11" s="3">
        <v>17</v>
      </c>
      <c r="E11" s="3"/>
      <c r="F11" s="3"/>
      <c r="G11" s="3"/>
      <c r="H11" s="3">
        <f t="shared" si="0"/>
        <v>40.645161290322584</v>
      </c>
      <c r="I11" s="3"/>
      <c r="J11" s="3"/>
      <c r="K11" s="3"/>
      <c r="L11" s="3"/>
      <c r="M11" s="3">
        <f>SUM(表2[[#This Row],[吃饭]:[学习阅读]])</f>
        <v>68.465161290322584</v>
      </c>
      <c r="N11" s="3">
        <f>表2[[#This Row],[合计]]-表2[[#This Row],[房租]]-表2[[#This Row],[水电话费]]</f>
        <v>27.82</v>
      </c>
    </row>
    <row r="12" spans="1:14" x14ac:dyDescent="0.3">
      <c r="A12" s="1">
        <v>45302</v>
      </c>
      <c r="B12" s="3">
        <f>1.5+19.5</f>
        <v>21</v>
      </c>
      <c r="C12" s="3"/>
      <c r="D12" s="3"/>
      <c r="E12" s="3"/>
      <c r="F12" s="3">
        <v>8</v>
      </c>
      <c r="G12" s="3"/>
      <c r="H12" s="3">
        <f t="shared" si="0"/>
        <v>40.645161290322584</v>
      </c>
      <c r="I12" s="3">
        <v>40.700000000000003</v>
      </c>
      <c r="J12" s="3"/>
      <c r="K12" s="3"/>
      <c r="L12" s="3"/>
      <c r="M12" s="3">
        <f>SUM(表2[[#This Row],[吃饭]:[学习阅读]])</f>
        <v>110.34516129032259</v>
      </c>
      <c r="N12" s="3">
        <f>表2[[#This Row],[合计]]-表2[[#This Row],[房租]]-表2[[#This Row],[水电话费]]</f>
        <v>29.000000000000014</v>
      </c>
    </row>
    <row r="13" spans="1:14" x14ac:dyDescent="0.3">
      <c r="A13" s="1">
        <v>45303</v>
      </c>
      <c r="B13" s="3">
        <f>9+6</f>
        <v>15</v>
      </c>
      <c r="C13" s="3"/>
      <c r="D13" s="3"/>
      <c r="E13" s="3"/>
      <c r="F13" s="3"/>
      <c r="G13" s="3"/>
      <c r="H13" s="3">
        <f t="shared" si="0"/>
        <v>40.645161290322584</v>
      </c>
      <c r="I13" s="3"/>
      <c r="J13" s="3"/>
      <c r="K13" s="3"/>
      <c r="L13" s="3"/>
      <c r="M13" s="3">
        <f>SUM(表2[[#This Row],[吃饭]:[学习阅读]])</f>
        <v>55.645161290322584</v>
      </c>
      <c r="N13" s="3">
        <f>表2[[#This Row],[合计]]-表2[[#This Row],[房租]]-表2[[#This Row],[水电话费]]</f>
        <v>15</v>
      </c>
    </row>
    <row r="14" spans="1:14" x14ac:dyDescent="0.3">
      <c r="A14" s="1">
        <v>45304</v>
      </c>
      <c r="B14" s="3">
        <v>50</v>
      </c>
      <c r="C14" s="3"/>
      <c r="D14" s="3"/>
      <c r="E14" s="3">
        <v>15</v>
      </c>
      <c r="F14" s="3">
        <v>13</v>
      </c>
      <c r="G14" s="3"/>
      <c r="H14" s="3">
        <f t="shared" si="0"/>
        <v>40.645161290322584</v>
      </c>
      <c r="I14" s="3"/>
      <c r="J14" s="3"/>
      <c r="K14" s="3"/>
      <c r="L14" s="3"/>
      <c r="M14" s="3">
        <f>SUM(表2[[#This Row],[吃饭]:[学习阅读]])</f>
        <v>118.64516129032259</v>
      </c>
      <c r="N14" s="3">
        <f>表2[[#This Row],[合计]]-表2[[#This Row],[房租]]-表2[[#This Row],[水电话费]]</f>
        <v>78</v>
      </c>
    </row>
    <row r="15" spans="1:14" x14ac:dyDescent="0.3">
      <c r="A15" s="1">
        <v>45305</v>
      </c>
      <c r="B15" s="3">
        <f>16.92</f>
        <v>16.920000000000002</v>
      </c>
      <c r="C15" s="3"/>
      <c r="D15" s="3"/>
      <c r="E15" s="3"/>
      <c r="F15" s="3"/>
      <c r="G15" s="3"/>
      <c r="H15" s="3">
        <f t="shared" si="0"/>
        <v>40.645161290322584</v>
      </c>
      <c r="I15" s="3"/>
      <c r="J15" s="3"/>
      <c r="K15" s="3"/>
      <c r="L15" s="3"/>
      <c r="M15" s="3">
        <f>SUM(表2[[#This Row],[吃饭]:[学习阅读]])</f>
        <v>57.565161290322585</v>
      </c>
      <c r="N15" s="3">
        <f>表2[[#This Row],[合计]]-表2[[#This Row],[房租]]-表2[[#This Row],[水电话费]]</f>
        <v>16.920000000000002</v>
      </c>
    </row>
    <row r="16" spans="1:14" x14ac:dyDescent="0.3">
      <c r="A16" s="1">
        <v>45306</v>
      </c>
      <c r="B16" s="3">
        <f>15</f>
        <v>15</v>
      </c>
      <c r="C16" s="3"/>
      <c r="D16" s="3"/>
      <c r="E16" s="3">
        <v>6</v>
      </c>
      <c r="F16" s="3">
        <v>10</v>
      </c>
      <c r="G16" s="3"/>
      <c r="H16" s="3">
        <f t="shared" si="0"/>
        <v>40.645161290322584</v>
      </c>
      <c r="I16" s="3"/>
      <c r="J16" s="3"/>
      <c r="K16" s="3"/>
      <c r="L16" s="3"/>
      <c r="M16" s="3">
        <f>SUM(表2[[#This Row],[吃饭]:[学习阅读]])</f>
        <v>71.645161290322591</v>
      </c>
      <c r="N16" s="3">
        <f>表2[[#This Row],[合计]]-表2[[#This Row],[房租]]-表2[[#This Row],[水电话费]]</f>
        <v>31.000000000000007</v>
      </c>
    </row>
    <row r="17" spans="1:14" x14ac:dyDescent="0.3">
      <c r="A17" s="1">
        <v>45307</v>
      </c>
      <c r="B17" s="3">
        <f>13+12</f>
        <v>25</v>
      </c>
      <c r="C17" s="3"/>
      <c r="D17" s="3">
        <v>9</v>
      </c>
      <c r="E17" s="3"/>
      <c r="F17" s="3"/>
      <c r="G17" s="3"/>
      <c r="H17" s="3">
        <f t="shared" si="0"/>
        <v>40.645161290322584</v>
      </c>
      <c r="I17" s="3"/>
      <c r="J17" s="3"/>
      <c r="K17" s="3"/>
      <c r="L17" s="3"/>
      <c r="M17" s="3">
        <f>SUM(表2[[#This Row],[吃饭]:[学习阅读]])</f>
        <v>74.645161290322591</v>
      </c>
      <c r="N17" s="3">
        <f>表2[[#This Row],[合计]]-表2[[#This Row],[房租]]-表2[[#This Row],[水电话费]]</f>
        <v>34.000000000000007</v>
      </c>
    </row>
    <row r="18" spans="1:14" x14ac:dyDescent="0.3">
      <c r="A18" s="1">
        <v>45308</v>
      </c>
      <c r="B18" s="3">
        <v>17</v>
      </c>
      <c r="C18" s="3">
        <v>4</v>
      </c>
      <c r="D18" s="3"/>
      <c r="E18" s="3"/>
      <c r="F18" s="3">
        <v>9</v>
      </c>
      <c r="G18" s="3"/>
      <c r="H18" s="3">
        <f t="shared" si="0"/>
        <v>40.645161290322584</v>
      </c>
      <c r="I18" s="3"/>
      <c r="J18" s="3"/>
      <c r="K18" s="3"/>
      <c r="L18" s="3"/>
      <c r="M18" s="3">
        <f>SUM(表2[[#This Row],[吃饭]:[学习阅读]])</f>
        <v>70.645161290322591</v>
      </c>
      <c r="N18" s="3">
        <f>表2[[#This Row],[合计]]-表2[[#This Row],[房租]]-表2[[#This Row],[水电话费]]</f>
        <v>30.000000000000007</v>
      </c>
    </row>
    <row r="19" spans="1:14" x14ac:dyDescent="0.3">
      <c r="A19" s="1">
        <v>45309</v>
      </c>
      <c r="B19" s="3">
        <f>10.9</f>
        <v>10.9</v>
      </c>
      <c r="C19" s="3">
        <v>2</v>
      </c>
      <c r="D19" s="3"/>
      <c r="E19" s="3"/>
      <c r="F19" s="3">
        <v>8.9</v>
      </c>
      <c r="G19" s="3"/>
      <c r="H19" s="3">
        <f t="shared" si="0"/>
        <v>40.645161290322584</v>
      </c>
      <c r="I19" s="3"/>
      <c r="J19" s="3"/>
      <c r="K19" s="3"/>
      <c r="L19" s="3"/>
      <c r="M19" s="3">
        <f>SUM(表2[[#This Row],[吃饭]:[学习阅读]])</f>
        <v>62.445161290322588</v>
      </c>
      <c r="N19" s="3">
        <f>表2[[#This Row],[合计]]-表2[[#This Row],[房租]]-表2[[#This Row],[水电话费]]</f>
        <v>21.800000000000004</v>
      </c>
    </row>
    <row r="20" spans="1:14" x14ac:dyDescent="0.3">
      <c r="A20" s="1">
        <v>45310</v>
      </c>
      <c r="B20" s="3">
        <f>13.99+3.8</f>
        <v>17.79</v>
      </c>
      <c r="C20" s="3">
        <v>9</v>
      </c>
      <c r="D20" s="3">
        <v>15</v>
      </c>
      <c r="E20" s="3"/>
      <c r="F20" s="3"/>
      <c r="G20" s="3"/>
      <c r="H20" s="3">
        <f t="shared" si="0"/>
        <v>40.645161290322584</v>
      </c>
      <c r="I20" s="3"/>
      <c r="J20" s="3"/>
      <c r="K20" s="3"/>
      <c r="L20" s="3"/>
      <c r="M20" s="3">
        <f>SUM(表2[[#This Row],[吃饭]:[学习阅读]])</f>
        <v>82.435161290322583</v>
      </c>
      <c r="N20" s="3">
        <f>表2[[#This Row],[合计]]-表2[[#This Row],[房租]]-表2[[#This Row],[水电话费]]</f>
        <v>41.79</v>
      </c>
    </row>
    <row r="21" spans="1:14" x14ac:dyDescent="0.3">
      <c r="A21" s="1">
        <v>45311</v>
      </c>
      <c r="B21" s="3">
        <f>3.7+17.86+16.3</f>
        <v>37.86</v>
      </c>
      <c r="C21" s="3">
        <v>22</v>
      </c>
      <c r="D21" s="3"/>
      <c r="E21" s="3"/>
      <c r="F21" s="3">
        <v>15</v>
      </c>
      <c r="G21" s="3"/>
      <c r="H21" s="3">
        <f t="shared" si="0"/>
        <v>40.645161290322584</v>
      </c>
      <c r="I21" s="3"/>
      <c r="J21" s="3"/>
      <c r="K21" s="3"/>
      <c r="L21" s="3"/>
      <c r="M21" s="3">
        <f>SUM(表2[[#This Row],[吃饭]:[学习阅读]])</f>
        <v>115.50516129032258</v>
      </c>
      <c r="N21" s="3">
        <f>表2[[#This Row],[合计]]-表2[[#This Row],[房租]]-表2[[#This Row],[水电话费]]</f>
        <v>74.859999999999985</v>
      </c>
    </row>
    <row r="22" spans="1:14" x14ac:dyDescent="0.3">
      <c r="A22" s="1">
        <v>45312</v>
      </c>
      <c r="B22" s="3">
        <f>29.56</f>
        <v>29.56</v>
      </c>
      <c r="C22" s="3"/>
      <c r="D22" s="3"/>
      <c r="E22" s="3"/>
      <c r="F22" s="3"/>
      <c r="G22" s="3"/>
      <c r="H22" s="3">
        <f t="shared" si="0"/>
        <v>40.645161290322584</v>
      </c>
      <c r="I22" s="3"/>
      <c r="J22" s="3"/>
      <c r="K22" s="3"/>
      <c r="L22" s="3"/>
      <c r="M22" s="3">
        <f>SUM(表2[[#This Row],[吃饭]:[学习阅读]])</f>
        <v>70.205161290322579</v>
      </c>
      <c r="N22" s="3">
        <f>表2[[#This Row],[合计]]-表2[[#This Row],[房租]]-表2[[#This Row],[水电话费]]</f>
        <v>29.559999999999995</v>
      </c>
    </row>
    <row r="23" spans="1:14" x14ac:dyDescent="0.3">
      <c r="A23" s="1">
        <v>45313</v>
      </c>
      <c r="B23" s="3"/>
      <c r="C23" s="3"/>
      <c r="D23" s="3"/>
      <c r="E23" s="3"/>
      <c r="F23" s="3"/>
      <c r="G23" s="3"/>
      <c r="H23" s="3">
        <f t="shared" si="0"/>
        <v>40.645161290322584</v>
      </c>
      <c r="I23" s="3"/>
      <c r="J23" s="3"/>
      <c r="K23" s="3"/>
      <c r="L23" s="3"/>
      <c r="M23" s="3">
        <f>SUM(表2[[#This Row],[吃饭]:[学习阅读]])</f>
        <v>40.645161290322584</v>
      </c>
      <c r="N23" s="3">
        <f>表2[[#This Row],[合计]]-表2[[#This Row],[房租]]-表2[[#This Row],[水电话费]]</f>
        <v>0</v>
      </c>
    </row>
    <row r="24" spans="1:14" x14ac:dyDescent="0.3">
      <c r="A24" s="1">
        <v>45314</v>
      </c>
      <c r="B24" s="3"/>
      <c r="C24" s="3"/>
      <c r="D24" s="3"/>
      <c r="E24" s="3"/>
      <c r="F24" s="3"/>
      <c r="G24" s="3"/>
      <c r="H24" s="3">
        <f t="shared" si="0"/>
        <v>40.645161290322584</v>
      </c>
      <c r="I24" s="3"/>
      <c r="J24" s="3"/>
      <c r="K24" s="3"/>
      <c r="L24" s="3"/>
      <c r="M24" s="3">
        <f>SUM(表2[[#This Row],[吃饭]:[学习阅读]])</f>
        <v>40.645161290322584</v>
      </c>
      <c r="N24" s="3">
        <f>表2[[#This Row],[合计]]-表2[[#This Row],[房租]]-表2[[#This Row],[水电话费]]</f>
        <v>0</v>
      </c>
    </row>
    <row r="25" spans="1:14" x14ac:dyDescent="0.3">
      <c r="A25" s="1">
        <v>45315</v>
      </c>
      <c r="B25" s="3"/>
      <c r="C25" s="3"/>
      <c r="D25" s="3"/>
      <c r="E25" s="3"/>
      <c r="F25" s="3"/>
      <c r="G25" s="3"/>
      <c r="H25" s="3">
        <f t="shared" si="0"/>
        <v>40.645161290322584</v>
      </c>
      <c r="I25" s="3"/>
      <c r="J25" s="3"/>
      <c r="K25" s="3"/>
      <c r="L25" s="3"/>
      <c r="M25" s="3">
        <f>SUM(表2[[#This Row],[吃饭]:[学习阅读]])</f>
        <v>40.645161290322584</v>
      </c>
      <c r="N25" s="3">
        <f>表2[[#This Row],[合计]]-表2[[#This Row],[房租]]-表2[[#This Row],[水电话费]]</f>
        <v>0</v>
      </c>
    </row>
    <row r="26" spans="1:14" x14ac:dyDescent="0.3">
      <c r="A26" s="1">
        <v>45316</v>
      </c>
      <c r="B26" s="3"/>
      <c r="C26" s="3"/>
      <c r="D26" s="3"/>
      <c r="E26" s="3"/>
      <c r="F26" s="3"/>
      <c r="G26" s="3"/>
      <c r="H26" s="3">
        <f t="shared" si="0"/>
        <v>40.645161290322584</v>
      </c>
      <c r="I26" s="3"/>
      <c r="J26" s="3"/>
      <c r="K26" s="3"/>
      <c r="L26" s="3"/>
      <c r="M26" s="3">
        <f>SUM(表2[[#This Row],[吃饭]:[学习阅读]])</f>
        <v>40.645161290322584</v>
      </c>
      <c r="N26" s="3">
        <f>表2[[#This Row],[合计]]-表2[[#This Row],[房租]]-表2[[#This Row],[水电话费]]</f>
        <v>0</v>
      </c>
    </row>
    <row r="27" spans="1:14" x14ac:dyDescent="0.3">
      <c r="A27" s="1">
        <v>45317</v>
      </c>
      <c r="B27" s="3"/>
      <c r="C27" s="3"/>
      <c r="D27" s="3"/>
      <c r="E27" s="3"/>
      <c r="F27" s="3"/>
      <c r="G27" s="3"/>
      <c r="H27" s="3">
        <f t="shared" si="0"/>
        <v>40.645161290322584</v>
      </c>
      <c r="I27" s="3"/>
      <c r="J27" s="3"/>
      <c r="K27" s="3"/>
      <c r="L27" s="3"/>
      <c r="M27" s="3">
        <f>SUM(表2[[#This Row],[吃饭]:[学习阅读]])</f>
        <v>40.645161290322584</v>
      </c>
      <c r="N27" s="3">
        <f>表2[[#This Row],[合计]]-表2[[#This Row],[房租]]-表2[[#This Row],[水电话费]]</f>
        <v>0</v>
      </c>
    </row>
    <row r="28" spans="1:14" x14ac:dyDescent="0.3">
      <c r="A28" s="1">
        <v>45318</v>
      </c>
      <c r="B28" s="3"/>
      <c r="C28" s="3"/>
      <c r="D28" s="3"/>
      <c r="E28" s="3"/>
      <c r="F28" s="3"/>
      <c r="G28" s="3"/>
      <c r="H28" s="3">
        <f t="shared" si="0"/>
        <v>40.645161290322584</v>
      </c>
      <c r="I28" s="3"/>
      <c r="J28" s="3"/>
      <c r="K28" s="3"/>
      <c r="L28" s="3"/>
      <c r="M28" s="3">
        <f>SUM(表2[[#This Row],[吃饭]:[学习阅读]])</f>
        <v>40.645161290322584</v>
      </c>
      <c r="N28" s="3">
        <f>表2[[#This Row],[合计]]-表2[[#This Row],[房租]]-表2[[#This Row],[水电话费]]</f>
        <v>0</v>
      </c>
    </row>
    <row r="29" spans="1:14" x14ac:dyDescent="0.3">
      <c r="A29" s="1">
        <v>45319</v>
      </c>
      <c r="B29" s="3"/>
      <c r="C29" s="3"/>
      <c r="D29" s="3"/>
      <c r="E29" s="3"/>
      <c r="F29" s="3"/>
      <c r="G29" s="3"/>
      <c r="H29" s="3">
        <f t="shared" si="0"/>
        <v>40.645161290322584</v>
      </c>
      <c r="I29" s="3"/>
      <c r="J29" s="3"/>
      <c r="K29" s="3"/>
      <c r="L29" s="3"/>
      <c r="M29" s="3">
        <f>SUM(表2[[#This Row],[吃饭]:[学习阅读]])</f>
        <v>40.645161290322584</v>
      </c>
      <c r="N29" s="3">
        <f>表2[[#This Row],[合计]]-表2[[#This Row],[房租]]-表2[[#This Row],[水电话费]]</f>
        <v>0</v>
      </c>
    </row>
    <row r="30" spans="1:14" x14ac:dyDescent="0.3">
      <c r="A30" s="1">
        <v>45320</v>
      </c>
      <c r="B30" s="3"/>
      <c r="C30" s="3"/>
      <c r="D30" s="3"/>
      <c r="E30" s="3"/>
      <c r="F30" s="3"/>
      <c r="G30" s="3"/>
      <c r="H30" s="3">
        <f t="shared" si="0"/>
        <v>40.645161290322584</v>
      </c>
      <c r="I30" s="3"/>
      <c r="J30" s="3"/>
      <c r="K30" s="3"/>
      <c r="L30" s="3"/>
      <c r="M30" s="3">
        <f>SUM(表2[[#This Row],[吃饭]:[学习阅读]])</f>
        <v>40.645161290322584</v>
      </c>
      <c r="N30" s="3">
        <f>表2[[#This Row],[合计]]-表2[[#This Row],[房租]]-表2[[#This Row],[水电话费]]</f>
        <v>0</v>
      </c>
    </row>
    <row r="31" spans="1:14" x14ac:dyDescent="0.3">
      <c r="A31" s="1">
        <v>45321</v>
      </c>
      <c r="B31" s="3"/>
      <c r="C31" s="3"/>
      <c r="D31" s="3"/>
      <c r="E31" s="3"/>
      <c r="F31" s="3"/>
      <c r="G31" s="3"/>
      <c r="H31" s="3">
        <f t="shared" si="0"/>
        <v>40.645161290322584</v>
      </c>
      <c r="I31" s="3"/>
      <c r="J31" s="3"/>
      <c r="K31" s="3"/>
      <c r="L31" s="3"/>
      <c r="M31" s="3">
        <f>SUM(表2[[#This Row],[吃饭]:[学习阅读]])</f>
        <v>40.645161290322584</v>
      </c>
      <c r="N31" s="3">
        <f>表2[[#This Row],[合计]]-表2[[#This Row],[房租]]-表2[[#This Row],[水电话费]]</f>
        <v>0</v>
      </c>
    </row>
    <row r="32" spans="1:14" x14ac:dyDescent="0.3">
      <c r="A32" s="1">
        <v>45322</v>
      </c>
      <c r="B32" s="3"/>
      <c r="C32" s="3"/>
      <c r="D32" s="3"/>
      <c r="E32" s="3"/>
      <c r="F32" s="3"/>
      <c r="G32" s="3"/>
      <c r="H32" s="3">
        <f t="shared" si="0"/>
        <v>40.645161290322584</v>
      </c>
      <c r="I32" s="3"/>
      <c r="J32" s="3"/>
      <c r="K32" s="3"/>
      <c r="L32" s="3"/>
      <c r="M32" s="3">
        <f>SUM(表2[[#This Row],[吃饭]:[学习阅读]])</f>
        <v>40.645161290322584</v>
      </c>
      <c r="N32" s="3">
        <f>表2[[#This Row],[合计]]-表2[[#This Row],[房租]]-表2[[#This Row],[水电话费]]</f>
        <v>0</v>
      </c>
    </row>
    <row r="33" spans="1:14" ht="37.25" customHeight="1" x14ac:dyDescent="0.3">
      <c r="A33" s="4" t="s">
        <v>11</v>
      </c>
      <c r="B33" s="3">
        <f>SUM(B2:B32)</f>
        <v>527.29</v>
      </c>
      <c r="C33" s="3">
        <f t="shared" ref="C33:I33" si="1">SUM(C2:C32)</f>
        <v>53</v>
      </c>
      <c r="D33" s="3">
        <f>SUM(D2:D32)</f>
        <v>160</v>
      </c>
      <c r="E33" s="3">
        <f t="shared" si="1"/>
        <v>204.76999999999998</v>
      </c>
      <c r="F33" s="3">
        <f>SUM(F2:F32)</f>
        <v>168.22</v>
      </c>
      <c r="G33" s="3">
        <f t="shared" si="1"/>
        <v>0</v>
      </c>
      <c r="H33" s="3">
        <f t="shared" si="1"/>
        <v>1260.0000000000002</v>
      </c>
      <c r="I33" s="3">
        <f t="shared" si="1"/>
        <v>139.69999999999999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2512.9799999999991</v>
      </c>
      <c r="N33" s="3">
        <f>表2[[#This Row],[合计]]-表2[[#This Row],[房租]]-表2[[#This Row],[水电话费]]</f>
        <v>1113.2799999999988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2512.98</v>
      </c>
      <c r="M34" s="3"/>
    </row>
  </sheetData>
  <phoneticPr fontId="1" type="noConversion"/>
  <conditionalFormatting sqref="N2:N32">
    <cfRule type="cellIs" dxfId="34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4B9-86C1-4D89-9506-A76ACBD8BFFA}">
  <dimension ref="A1:P34"/>
  <sheetViews>
    <sheetView workbookViewId="0">
      <selection activeCell="H2" sqref="H2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45566</v>
      </c>
      <c r="B2" s="3"/>
      <c r="C2" s="3"/>
      <c r="D2" s="3">
        <v>50</v>
      </c>
      <c r="E2" s="3">
        <v>257</v>
      </c>
      <c r="F2" s="3">
        <v>13.99</v>
      </c>
      <c r="G2" s="3"/>
      <c r="H2" s="3">
        <f>2700/60</f>
        <v>45</v>
      </c>
      <c r="I2" s="3">
        <v>100</v>
      </c>
      <c r="J2" s="3"/>
      <c r="K2" s="3"/>
      <c r="L2" s="3"/>
      <c r="M2" s="3">
        <f>SUM(表2_478911[[#This Row],[吃饭]:[学习阅读]])</f>
        <v>465.99</v>
      </c>
      <c r="N2" s="3">
        <f>表2_478911[[#This Row],[合计]]-表2_478911[[#This Row],[房租]]-表2_478911[[#This Row],[水电话费]]</f>
        <v>320.99</v>
      </c>
    </row>
    <row r="3" spans="1:14" x14ac:dyDescent="0.3">
      <c r="A3" s="1">
        <v>45567</v>
      </c>
      <c r="B3" s="3"/>
      <c r="C3" s="3"/>
      <c r="D3" s="3">
        <v>36</v>
      </c>
      <c r="E3" s="3">
        <v>6</v>
      </c>
      <c r="F3" s="3"/>
      <c r="G3" s="3"/>
      <c r="H3" s="3">
        <f t="shared" ref="H3:H32" si="0">2700/60</f>
        <v>45</v>
      </c>
      <c r="I3" s="3"/>
      <c r="J3" s="3"/>
      <c r="K3" s="3"/>
      <c r="L3" s="3"/>
      <c r="M3" s="3">
        <f>SUM(表2_478911[[#This Row],[吃饭]:[学习阅读]])</f>
        <v>87</v>
      </c>
      <c r="N3" s="3">
        <f>表2_478911[[#This Row],[合计]]-表2_478911[[#This Row],[房租]]-表2_478911[[#This Row],[水电话费]]</f>
        <v>42</v>
      </c>
    </row>
    <row r="4" spans="1:14" x14ac:dyDescent="0.3">
      <c r="A4" s="1">
        <v>45568</v>
      </c>
      <c r="B4" s="3"/>
      <c r="C4" s="3"/>
      <c r="D4" s="3">
        <v>60</v>
      </c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SUM(表2_478911[[#This Row],[吃饭]:[学习阅读]])</f>
        <v>105</v>
      </c>
      <c r="N4" s="3">
        <f>表2_478911[[#This Row],[合计]]-表2_478911[[#This Row],[房租]]-表2_478911[[#This Row],[水电话费]]</f>
        <v>60</v>
      </c>
    </row>
    <row r="5" spans="1:14" x14ac:dyDescent="0.3">
      <c r="A5" s="1">
        <v>45569</v>
      </c>
      <c r="B5" s="3"/>
      <c r="C5" s="3"/>
      <c r="D5" s="3">
        <v>52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SUM(表2_478911[[#This Row],[吃饭]:[学习阅读]])</f>
        <v>97</v>
      </c>
      <c r="N5" s="3">
        <f>表2_478911[[#This Row],[合计]]-表2_478911[[#This Row],[房租]]-表2_478911[[#This Row],[水电话费]]</f>
        <v>52</v>
      </c>
    </row>
    <row r="6" spans="1:14" x14ac:dyDescent="0.3">
      <c r="A6" s="1">
        <v>45570</v>
      </c>
      <c r="B6" s="3">
        <v>12</v>
      </c>
      <c r="C6" s="3"/>
      <c r="D6" s="3">
        <v>12</v>
      </c>
      <c r="E6" s="3"/>
      <c r="F6" s="3"/>
      <c r="G6" s="3">
        <v>15</v>
      </c>
      <c r="H6" s="3">
        <f t="shared" si="0"/>
        <v>45</v>
      </c>
      <c r="I6" s="3"/>
      <c r="J6" s="3"/>
      <c r="K6" s="3"/>
      <c r="L6" s="3"/>
      <c r="M6" s="3">
        <f>SUM(表2_478911[[#This Row],[吃饭]:[学习阅读]])</f>
        <v>84</v>
      </c>
      <c r="N6" s="3">
        <f>表2_478911[[#This Row],[合计]]-表2_478911[[#This Row],[房租]]-表2_478911[[#This Row],[水电话费]]</f>
        <v>39</v>
      </c>
    </row>
    <row r="7" spans="1:14" x14ac:dyDescent="0.3">
      <c r="A7" s="1">
        <v>45571</v>
      </c>
      <c r="B7" s="3"/>
      <c r="C7" s="3"/>
      <c r="D7" s="3">
        <v>53</v>
      </c>
      <c r="E7" s="3">
        <v>195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SUM(表2_478911[[#This Row],[吃饭]:[学习阅读]])</f>
        <v>293</v>
      </c>
      <c r="N7" s="3">
        <f>表2_478911[[#This Row],[合计]]-表2_478911[[#This Row],[房租]]-表2_478911[[#This Row],[水电话费]]</f>
        <v>248</v>
      </c>
    </row>
    <row r="8" spans="1:14" x14ac:dyDescent="0.3">
      <c r="A8" s="1">
        <v>45572</v>
      </c>
      <c r="B8" s="3">
        <v>189</v>
      </c>
      <c r="C8" s="3"/>
      <c r="D8" s="3"/>
      <c r="E8" s="3">
        <v>85</v>
      </c>
      <c r="F8" s="3"/>
      <c r="G8" s="3"/>
      <c r="H8" s="3">
        <f t="shared" si="0"/>
        <v>45</v>
      </c>
      <c r="I8" s="3"/>
      <c r="J8" s="3"/>
      <c r="K8" s="3"/>
      <c r="L8" s="3"/>
      <c r="M8" s="3">
        <f>SUM(表2_478911[[#This Row],[吃饭]:[学习阅读]])</f>
        <v>319</v>
      </c>
      <c r="N8" s="3">
        <f>表2_478911[[#This Row],[合计]]-表2_478911[[#This Row],[房租]]-表2_478911[[#This Row],[水电话费]]</f>
        <v>274</v>
      </c>
    </row>
    <row r="9" spans="1:14" x14ac:dyDescent="0.3">
      <c r="A9" s="1">
        <v>45573</v>
      </c>
      <c r="B9" s="3"/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SUM(表2_478911[[#This Row],[吃饭]:[学习阅读]])</f>
        <v>45</v>
      </c>
      <c r="N9" s="3">
        <f>表2_478911[[#This Row],[合计]]-表2_478911[[#This Row],[房租]]-表2_478911[[#This Row],[水电话费]]</f>
        <v>0</v>
      </c>
    </row>
    <row r="10" spans="1:14" x14ac:dyDescent="0.3">
      <c r="A10" s="1">
        <v>45574</v>
      </c>
      <c r="B10" s="3">
        <v>38</v>
      </c>
      <c r="C10" s="3">
        <v>12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SUM(表2_478911[[#This Row],[吃饭]:[学习阅读]])</f>
        <v>95</v>
      </c>
      <c r="N10" s="3">
        <f>表2_478911[[#This Row],[合计]]-表2_478911[[#This Row],[房租]]-表2_478911[[#This Row],[水电话费]]</f>
        <v>50</v>
      </c>
    </row>
    <row r="11" spans="1:14" x14ac:dyDescent="0.3">
      <c r="A11" s="1">
        <v>45575</v>
      </c>
      <c r="B11" s="3">
        <v>15</v>
      </c>
      <c r="C11" s="3">
        <v>1.85</v>
      </c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SUM(表2_478911[[#This Row],[吃饭]:[学习阅读]])</f>
        <v>61.85</v>
      </c>
      <c r="N11" s="3">
        <f>表2_478911[[#This Row],[合计]]-表2_478911[[#This Row],[房租]]-表2_478911[[#This Row],[水电话费]]</f>
        <v>16.850000000000001</v>
      </c>
    </row>
    <row r="12" spans="1:14" x14ac:dyDescent="0.3">
      <c r="A12" s="1">
        <v>45576</v>
      </c>
      <c r="B12" s="3">
        <v>20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SUM(表2_478911[[#This Row],[吃饭]:[学习阅读]])</f>
        <v>65</v>
      </c>
      <c r="N12" s="3">
        <f>表2_478911[[#This Row],[合计]]-表2_478911[[#This Row],[房租]]-表2_478911[[#This Row],[水电话费]]</f>
        <v>20</v>
      </c>
    </row>
    <row r="13" spans="1:14" x14ac:dyDescent="0.3">
      <c r="A13" s="1">
        <v>45577</v>
      </c>
      <c r="B13" s="3">
        <v>8.9</v>
      </c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SUM(表2_478911[[#This Row],[吃饭]:[学习阅读]])</f>
        <v>53.9</v>
      </c>
      <c r="N13" s="3">
        <f>表2_478911[[#This Row],[合计]]-表2_478911[[#This Row],[房租]]-表2_478911[[#This Row],[水电话费]]</f>
        <v>8.8999999999999986</v>
      </c>
    </row>
    <row r="14" spans="1:14" x14ac:dyDescent="0.3">
      <c r="A14" s="1">
        <v>45578</v>
      </c>
      <c r="B14" s="3">
        <v>33</v>
      </c>
      <c r="C14" s="3"/>
      <c r="D14" s="3">
        <v>25</v>
      </c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SUM(表2_478911[[#This Row],[吃饭]:[学习阅读]])</f>
        <v>103</v>
      </c>
      <c r="N14" s="3">
        <f>表2_478911[[#This Row],[合计]]-表2_478911[[#This Row],[房租]]-表2_478911[[#This Row],[水电话费]]</f>
        <v>58</v>
      </c>
    </row>
    <row r="15" spans="1:14" x14ac:dyDescent="0.3">
      <c r="A15" s="1">
        <v>45579</v>
      </c>
      <c r="B15" s="3">
        <v>20.9</v>
      </c>
      <c r="C15" s="3">
        <v>5</v>
      </c>
      <c r="D15" s="3"/>
      <c r="E15" s="3">
        <f>520+899+399</f>
        <v>1818</v>
      </c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SUM(表2_478911[[#This Row],[吃饭]:[学习阅读]])</f>
        <v>1888.9</v>
      </c>
      <c r="N15" s="3">
        <f>表2_478911[[#This Row],[合计]]-表2_478911[[#This Row],[房租]]-表2_478911[[#This Row],[水电话费]]</f>
        <v>1843.9</v>
      </c>
    </row>
    <row r="16" spans="1:14" x14ac:dyDescent="0.3">
      <c r="A16" s="1">
        <v>45580</v>
      </c>
      <c r="B16" s="3">
        <v>172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SUM(表2_478911[[#This Row],[吃饭]:[学习阅读]])</f>
        <v>217</v>
      </c>
      <c r="N16" s="3">
        <f>表2_478911[[#This Row],[合计]]-表2_478911[[#This Row],[房租]]-表2_478911[[#This Row],[水电话费]]</f>
        <v>172</v>
      </c>
    </row>
    <row r="17" spans="1:14" x14ac:dyDescent="0.3">
      <c r="A17" s="1">
        <v>45581</v>
      </c>
      <c r="B17" s="3">
        <v>6</v>
      </c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SUM(表2_478911[[#This Row],[吃饭]:[学习阅读]])</f>
        <v>51</v>
      </c>
      <c r="N17" s="3">
        <f>表2_478911[[#This Row],[合计]]-表2_478911[[#This Row],[房租]]-表2_478911[[#This Row],[水电话费]]</f>
        <v>6</v>
      </c>
    </row>
    <row r="18" spans="1:14" x14ac:dyDescent="0.3">
      <c r="A18" s="1">
        <v>45582</v>
      </c>
      <c r="B18" s="3">
        <v>39</v>
      </c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SUM(表2_478911[[#This Row],[吃饭]:[学习阅读]])</f>
        <v>84</v>
      </c>
      <c r="N18" s="3">
        <f>表2_478911[[#This Row],[合计]]-表2_478911[[#This Row],[房租]]-表2_478911[[#This Row],[水电话费]]</f>
        <v>39</v>
      </c>
    </row>
    <row r="19" spans="1:14" x14ac:dyDescent="0.3">
      <c r="A19" s="1">
        <v>45583</v>
      </c>
      <c r="B19" s="3">
        <v>13.5</v>
      </c>
      <c r="C19" s="3">
        <v>15</v>
      </c>
      <c r="D19" s="3"/>
      <c r="E19" s="3">
        <v>15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SUM(表2_478911[[#This Row],[吃饭]:[学习阅读]])</f>
        <v>88.5</v>
      </c>
      <c r="N19" s="3">
        <f>表2_478911[[#This Row],[合计]]-表2_478911[[#This Row],[房租]]-表2_478911[[#This Row],[水电话费]]</f>
        <v>43.5</v>
      </c>
    </row>
    <row r="20" spans="1:14" x14ac:dyDescent="0.3">
      <c r="A20" s="1">
        <v>45584</v>
      </c>
      <c r="B20" s="3">
        <v>9</v>
      </c>
      <c r="C20" s="3">
        <v>6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SUM(表2_478911[[#This Row],[吃饭]:[学习阅读]])</f>
        <v>60</v>
      </c>
      <c r="N20" s="3">
        <f>表2_478911[[#This Row],[合计]]-表2_478911[[#This Row],[房租]]-表2_478911[[#This Row],[水电话费]]</f>
        <v>15</v>
      </c>
    </row>
    <row r="21" spans="1:14" x14ac:dyDescent="0.3">
      <c r="A21" s="1">
        <v>45585</v>
      </c>
      <c r="B21" s="3">
        <v>29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SUM(表2_478911[[#This Row],[吃饭]:[学习阅读]])</f>
        <v>74</v>
      </c>
      <c r="N21" s="3">
        <f>表2_478911[[#This Row],[合计]]-表2_478911[[#This Row],[房租]]-表2_478911[[#This Row],[水电话费]]</f>
        <v>29</v>
      </c>
    </row>
    <row r="22" spans="1:14" x14ac:dyDescent="0.3">
      <c r="A22" s="1">
        <v>45586</v>
      </c>
      <c r="B22" s="3">
        <v>7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SUM(表2_478911[[#This Row],[吃饭]:[学习阅读]])</f>
        <v>52</v>
      </c>
      <c r="N22" s="3">
        <f>表2_478911[[#This Row],[合计]]-表2_478911[[#This Row],[房租]]-表2_478911[[#This Row],[水电话费]]</f>
        <v>7</v>
      </c>
    </row>
    <row r="23" spans="1:14" s="8" customFormat="1" x14ac:dyDescent="0.3">
      <c r="A23" s="1">
        <v>45587</v>
      </c>
      <c r="B23" s="7"/>
      <c r="C23" s="7"/>
      <c r="D23" s="7"/>
      <c r="E23" s="7"/>
      <c r="F23" s="7"/>
      <c r="G23" s="7"/>
      <c r="H23" s="3">
        <f t="shared" si="0"/>
        <v>45</v>
      </c>
      <c r="I23" s="7"/>
      <c r="J23" s="7"/>
      <c r="K23" s="7"/>
      <c r="L23" s="7"/>
      <c r="M23" s="7">
        <f>SUM(表2_478911[[#This Row],[吃饭]:[学习阅读]])</f>
        <v>45</v>
      </c>
      <c r="N23" s="7">
        <f>表2_478911[[#This Row],[合计]]-表2_478911[[#This Row],[房租]]-表2_478911[[#This Row],[水电话费]]</f>
        <v>0</v>
      </c>
    </row>
    <row r="24" spans="1:14" x14ac:dyDescent="0.3">
      <c r="A24" s="1">
        <v>45588</v>
      </c>
      <c r="B24" s="3">
        <v>33</v>
      </c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SUM(表2_478911[[#This Row],[吃饭]:[学习阅读]])</f>
        <v>78</v>
      </c>
      <c r="N24" s="3">
        <f>表2_478911[[#This Row],[合计]]-表2_478911[[#This Row],[房租]]-表2_478911[[#This Row],[水电话费]]</f>
        <v>33</v>
      </c>
    </row>
    <row r="25" spans="1:14" x14ac:dyDescent="0.3">
      <c r="A25" s="1">
        <v>45589</v>
      </c>
      <c r="B25" s="3">
        <v>6.9</v>
      </c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SUM(表2_478911[[#This Row],[吃饭]:[学习阅读]])</f>
        <v>51.9</v>
      </c>
      <c r="N25" s="3">
        <f>表2_478911[[#This Row],[合计]]-表2_478911[[#This Row],[房租]]-表2_478911[[#This Row],[水电话费]]</f>
        <v>6.8999999999999986</v>
      </c>
    </row>
    <row r="26" spans="1:14" x14ac:dyDescent="0.3">
      <c r="A26" s="1">
        <v>45590</v>
      </c>
      <c r="B26" s="3">
        <v>27</v>
      </c>
      <c r="C26" s="3">
        <v>7</v>
      </c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SUM(表2_478911[[#This Row],[吃饭]:[学习阅读]])</f>
        <v>79</v>
      </c>
      <c r="N26" s="3">
        <f>表2_478911[[#This Row],[合计]]-表2_478911[[#This Row],[房租]]-表2_478911[[#This Row],[水电话费]]</f>
        <v>34</v>
      </c>
    </row>
    <row r="27" spans="1:14" x14ac:dyDescent="0.3">
      <c r="A27" s="1">
        <v>45591</v>
      </c>
      <c r="B27" s="3">
        <v>79</v>
      </c>
      <c r="C27" s="3">
        <v>6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SUM(表2_478911[[#This Row],[吃饭]:[学习阅读]])</f>
        <v>130</v>
      </c>
      <c r="N27" s="3">
        <f>表2_478911[[#This Row],[合计]]-表2_478911[[#This Row],[房租]]-表2_478911[[#This Row],[水电话费]]</f>
        <v>85</v>
      </c>
    </row>
    <row r="28" spans="1:14" x14ac:dyDescent="0.3">
      <c r="A28" s="1">
        <v>45592</v>
      </c>
      <c r="B28" s="3">
        <v>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SUM(表2_478911[[#This Row],[吃饭]:[学习阅读]])</f>
        <v>54</v>
      </c>
      <c r="N28" s="3">
        <f>表2_478911[[#This Row],[合计]]-表2_478911[[#This Row],[房租]]-表2_478911[[#This Row],[水电话费]]</f>
        <v>9</v>
      </c>
    </row>
    <row r="29" spans="1:14" x14ac:dyDescent="0.3">
      <c r="A29" s="1">
        <v>45593</v>
      </c>
      <c r="B29" s="3">
        <v>47</v>
      </c>
      <c r="C29" s="3"/>
      <c r="D29" s="3"/>
      <c r="E29" s="3">
        <v>62</v>
      </c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SUM(表2_478911[[#This Row],[吃饭]:[学习阅读]])</f>
        <v>154</v>
      </c>
      <c r="N29" s="3">
        <f>表2_478911[[#This Row],[合计]]-表2_478911[[#This Row],[房租]]-表2_478911[[#This Row],[水电话费]]</f>
        <v>109</v>
      </c>
    </row>
    <row r="30" spans="1:14" x14ac:dyDescent="0.3">
      <c r="A30" s="1">
        <v>45594</v>
      </c>
      <c r="B30" s="3">
        <v>47</v>
      </c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SUM(表2_478911[[#This Row],[吃饭]:[学习阅读]])</f>
        <v>92</v>
      </c>
      <c r="N30" s="3">
        <f>表2_478911[[#This Row],[合计]]-表2_478911[[#This Row],[房租]]-表2_478911[[#This Row],[水电话费]]</f>
        <v>47</v>
      </c>
    </row>
    <row r="31" spans="1:14" x14ac:dyDescent="0.3">
      <c r="A31" s="1">
        <v>45595</v>
      </c>
      <c r="B31" s="3">
        <v>13</v>
      </c>
      <c r="C31" s="3">
        <v>13</v>
      </c>
      <c r="D31" s="3"/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SUM(表2_478911[[#This Row],[吃饭]:[学习阅读]])</f>
        <v>71</v>
      </c>
      <c r="N31" s="3">
        <f>表2_478911[[#This Row],[合计]]-表2_478911[[#This Row],[房租]]-表2_478911[[#This Row],[水电话费]]</f>
        <v>26</v>
      </c>
    </row>
    <row r="32" spans="1:14" x14ac:dyDescent="0.3">
      <c r="A32" s="1">
        <v>45596</v>
      </c>
      <c r="B32" s="3">
        <v>142</v>
      </c>
      <c r="C32" s="3">
        <v>91</v>
      </c>
      <c r="D32" s="3"/>
      <c r="E32" s="3"/>
      <c r="F32" s="3"/>
      <c r="G32" s="3"/>
      <c r="H32" s="3">
        <f t="shared" si="0"/>
        <v>45</v>
      </c>
      <c r="I32" s="3"/>
      <c r="J32" s="3"/>
      <c r="K32" s="3"/>
      <c r="L32" s="3"/>
      <c r="M32" s="3">
        <f>SUM(表2_478911[[#This Row],[吃饭]:[学习阅读]])</f>
        <v>278</v>
      </c>
      <c r="N32" s="3">
        <f>表2_478911[[#This Row],[合计]]-表2_478911[[#This Row],[房租]]-表2_478911[[#This Row],[水电话费]]</f>
        <v>233</v>
      </c>
    </row>
    <row r="33" spans="1:16" ht="37.25" customHeight="1" x14ac:dyDescent="0.3">
      <c r="A33" s="4" t="s">
        <v>11</v>
      </c>
      <c r="B33" s="3">
        <f>SUM(B2:B32)</f>
        <v>1016.1999999999999</v>
      </c>
      <c r="C33" s="3">
        <f t="shared" ref="C33:I33" si="1">SUM(C2:C32)</f>
        <v>156.85</v>
      </c>
      <c r="D33" s="3">
        <f>SUM(D2:D32)</f>
        <v>288</v>
      </c>
      <c r="E33" s="3">
        <f t="shared" si="1"/>
        <v>2438</v>
      </c>
      <c r="F33" s="3">
        <f>SUM(F2:F32)</f>
        <v>13.99</v>
      </c>
      <c r="G33" s="3">
        <f t="shared" si="1"/>
        <v>15</v>
      </c>
      <c r="H33" s="3">
        <f t="shared" si="1"/>
        <v>1395</v>
      </c>
      <c r="I33" s="3">
        <f t="shared" si="1"/>
        <v>100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5423.04</v>
      </c>
      <c r="N33" s="3">
        <f>表2_478911[[#This Row],[合计]]-表2_478911[[#This Row],[房租]]-表2_478911[[#This Row],[水电话费]]</f>
        <v>3928.04</v>
      </c>
      <c r="P33" s="3"/>
    </row>
    <row r="34" spans="1:16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5423.04</v>
      </c>
      <c r="M34" s="3"/>
    </row>
  </sheetData>
  <phoneticPr fontId="1" type="noConversion"/>
  <conditionalFormatting sqref="N2:N32">
    <cfRule type="cellIs" dxfId="61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30FB-A4BD-42BC-9813-A928C3175950}">
  <dimension ref="A1:N33"/>
  <sheetViews>
    <sheetView tabSelected="1" workbookViewId="0">
      <selection activeCell="B11" sqref="B11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45597</v>
      </c>
      <c r="B2" s="3">
        <v>3.9</v>
      </c>
      <c r="C2" s="3"/>
      <c r="D2" s="3"/>
      <c r="E2" s="3"/>
      <c r="F2" s="3"/>
      <c r="G2" s="3"/>
      <c r="H2" s="3">
        <f>2700/60</f>
        <v>45</v>
      </c>
      <c r="I2" s="3">
        <v>100</v>
      </c>
      <c r="J2" s="3"/>
      <c r="K2" s="3"/>
      <c r="L2" s="3"/>
      <c r="M2" s="3">
        <f>SUM(表2_4561012[[#This Row],[吃饭]:[学习阅读]])</f>
        <v>148.9</v>
      </c>
      <c r="N2" s="3">
        <f>表2_4561012[[#This Row],[合计]]-表2_4561012[[#This Row],[房租]]-表2_4561012[[#This Row],[水电话费]]</f>
        <v>3.9000000000000057</v>
      </c>
    </row>
    <row r="3" spans="1:14" x14ac:dyDescent="0.3">
      <c r="A3" s="1">
        <v>45598</v>
      </c>
      <c r="B3" s="3">
        <v>23</v>
      </c>
      <c r="C3" s="3"/>
      <c r="D3" s="3">
        <v>17</v>
      </c>
      <c r="E3" s="3"/>
      <c r="F3" s="3"/>
      <c r="G3" s="3"/>
      <c r="H3" s="3">
        <f t="shared" ref="H3:H31" si="0">2700/60</f>
        <v>45</v>
      </c>
      <c r="I3" s="3"/>
      <c r="J3" s="3"/>
      <c r="K3" s="3"/>
      <c r="L3" s="3"/>
      <c r="M3" s="3">
        <f>SUM(表2_4561012[[#This Row],[吃饭]:[学习阅读]])</f>
        <v>85</v>
      </c>
      <c r="N3" s="3">
        <f>表2_4561012[[#This Row],[合计]]-表2_4561012[[#This Row],[房租]]-表2_4561012[[#This Row],[水电话费]]</f>
        <v>40</v>
      </c>
    </row>
    <row r="4" spans="1:14" x14ac:dyDescent="0.3">
      <c r="A4" s="1">
        <v>45599</v>
      </c>
      <c r="B4" s="3">
        <v>10</v>
      </c>
      <c r="C4" s="3">
        <v>5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SUM(表2_4561012[[#This Row],[吃饭]:[学习阅读]])</f>
        <v>60</v>
      </c>
      <c r="N4" s="3">
        <f>表2_4561012[[#This Row],[合计]]-表2_4561012[[#This Row],[房租]]-表2_4561012[[#This Row],[水电话费]]</f>
        <v>15</v>
      </c>
    </row>
    <row r="5" spans="1:14" x14ac:dyDescent="0.3">
      <c r="A5" s="1">
        <v>45600</v>
      </c>
      <c r="B5" s="3">
        <f>9.07+4.27</f>
        <v>13.34</v>
      </c>
      <c r="C5" s="3"/>
      <c r="D5" s="3">
        <v>2.77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SUM(表2_4561012[[#This Row],[吃饭]:[学习阅读]])</f>
        <v>61.11</v>
      </c>
      <c r="N5" s="3">
        <f>表2_4561012[[#This Row],[合计]]-表2_4561012[[#This Row],[房租]]-表2_4561012[[#This Row],[水电话费]]</f>
        <v>16.11</v>
      </c>
    </row>
    <row r="6" spans="1:14" x14ac:dyDescent="0.3">
      <c r="A6" s="1">
        <v>45601</v>
      </c>
      <c r="B6" s="3">
        <f>6.9+2.35</f>
        <v>9.25</v>
      </c>
      <c r="C6" s="3"/>
      <c r="D6" s="3"/>
      <c r="E6" s="3">
        <v>15</v>
      </c>
      <c r="F6" s="3"/>
      <c r="G6" s="3"/>
      <c r="H6" s="3">
        <f t="shared" si="0"/>
        <v>45</v>
      </c>
      <c r="I6" s="3"/>
      <c r="J6" s="3"/>
      <c r="K6" s="3"/>
      <c r="L6" s="3"/>
      <c r="M6" s="3">
        <f>SUM(表2_4561012[[#This Row],[吃饭]:[学习阅读]])</f>
        <v>69.25</v>
      </c>
      <c r="N6" s="3">
        <f>表2_4561012[[#This Row],[合计]]-表2_4561012[[#This Row],[房租]]-表2_4561012[[#This Row],[水电话费]]</f>
        <v>24.25</v>
      </c>
    </row>
    <row r="7" spans="1:14" x14ac:dyDescent="0.3">
      <c r="A7" s="1">
        <v>45602</v>
      </c>
      <c r="B7" s="3">
        <f>16.9+4.75+1.5</f>
        <v>23.15</v>
      </c>
      <c r="C7" s="3"/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SUM(表2_4561012[[#This Row],[吃饭]:[学习阅读]])</f>
        <v>68.150000000000006</v>
      </c>
      <c r="N7" s="3">
        <f>表2_4561012[[#This Row],[合计]]-表2_4561012[[#This Row],[房租]]-表2_4561012[[#This Row],[水电话费]]</f>
        <v>23.150000000000006</v>
      </c>
    </row>
    <row r="8" spans="1:14" x14ac:dyDescent="0.3">
      <c r="A8" s="1">
        <v>45603</v>
      </c>
      <c r="B8" s="3">
        <v>16.690000000000001</v>
      </c>
      <c r="C8" s="3"/>
      <c r="D8" s="3">
        <v>2.8</v>
      </c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SUM(表2_4561012[[#This Row],[吃饭]:[学习阅读]])</f>
        <v>64.490000000000009</v>
      </c>
      <c r="N8" s="3">
        <f>表2_4561012[[#This Row],[合计]]-表2_4561012[[#This Row],[房租]]-表2_4561012[[#This Row],[水电话费]]</f>
        <v>19.490000000000009</v>
      </c>
    </row>
    <row r="9" spans="1:14" x14ac:dyDescent="0.3">
      <c r="A9" s="1">
        <v>45604</v>
      </c>
      <c r="B9" s="3">
        <f>3.9+13.75</f>
        <v>17.649999999999999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SUM(表2_4561012[[#This Row],[吃饭]:[学习阅读]])</f>
        <v>62.65</v>
      </c>
      <c r="N9" s="3">
        <f>表2_4561012[[#This Row],[合计]]-表2_4561012[[#This Row],[房租]]-表2_4561012[[#This Row],[水电话费]]</f>
        <v>17.649999999999999</v>
      </c>
    </row>
    <row r="10" spans="1:14" x14ac:dyDescent="0.3">
      <c r="A10" s="1">
        <v>45605</v>
      </c>
      <c r="B10" s="3">
        <v>3.9</v>
      </c>
      <c r="C10" s="3">
        <v>18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SUM(表2_4561012[[#This Row],[吃饭]:[学习阅读]])</f>
        <v>66.900000000000006</v>
      </c>
      <c r="N10" s="3">
        <f>表2_4561012[[#This Row],[合计]]-表2_4561012[[#This Row],[房租]]-表2_4561012[[#This Row],[水电话费]]</f>
        <v>21.900000000000006</v>
      </c>
    </row>
    <row r="11" spans="1:14" x14ac:dyDescent="0.3">
      <c r="A11" s="1">
        <v>45606</v>
      </c>
      <c r="B11" s="3">
        <v>16.87</v>
      </c>
      <c r="C11" s="3">
        <v>13.4</v>
      </c>
      <c r="D11" s="3">
        <v>10</v>
      </c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SUM(表2_4561012[[#This Row],[吃饭]:[学习阅读]])</f>
        <v>85.27000000000001</v>
      </c>
      <c r="N11" s="3">
        <f>表2_4561012[[#This Row],[合计]]-表2_4561012[[#This Row],[房租]]-表2_4561012[[#This Row],[水电话费]]</f>
        <v>40.27000000000001</v>
      </c>
    </row>
    <row r="12" spans="1:14" x14ac:dyDescent="0.3">
      <c r="A12" s="1">
        <v>45607</v>
      </c>
      <c r="B12" s="3"/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SUM(表2_4561012[[#This Row],[吃饭]:[学习阅读]])</f>
        <v>45</v>
      </c>
      <c r="N12" s="3">
        <f>表2_4561012[[#This Row],[合计]]-表2_4561012[[#This Row],[房租]]-表2_4561012[[#This Row],[水电话费]]</f>
        <v>0</v>
      </c>
    </row>
    <row r="13" spans="1:14" x14ac:dyDescent="0.3">
      <c r="A13" s="1">
        <v>45608</v>
      </c>
      <c r="B13" s="3"/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SUM(表2_4561012[[#This Row],[吃饭]:[学习阅读]])</f>
        <v>45</v>
      </c>
      <c r="N13" s="3">
        <f>表2_4561012[[#This Row],[合计]]-表2_4561012[[#This Row],[房租]]-表2_4561012[[#This Row],[水电话费]]</f>
        <v>0</v>
      </c>
    </row>
    <row r="14" spans="1:14" x14ac:dyDescent="0.3">
      <c r="A14" s="1">
        <v>45609</v>
      </c>
      <c r="B14" s="3"/>
      <c r="C14" s="3"/>
      <c r="D14" s="3"/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SUM(表2_4561012[[#This Row],[吃饭]:[学习阅读]])</f>
        <v>45</v>
      </c>
      <c r="N14" s="3">
        <f>表2_4561012[[#This Row],[合计]]-表2_4561012[[#This Row],[房租]]-表2_4561012[[#This Row],[水电话费]]</f>
        <v>0</v>
      </c>
    </row>
    <row r="15" spans="1:14" x14ac:dyDescent="0.3">
      <c r="A15" s="1">
        <v>45610</v>
      </c>
      <c r="B15" s="3"/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SUM(表2_4561012[[#This Row],[吃饭]:[学习阅读]])</f>
        <v>45</v>
      </c>
      <c r="N15" s="3">
        <f>表2_4561012[[#This Row],[合计]]-表2_4561012[[#This Row],[房租]]-表2_4561012[[#This Row],[水电话费]]</f>
        <v>0</v>
      </c>
    </row>
    <row r="16" spans="1:14" x14ac:dyDescent="0.3">
      <c r="A16" s="1">
        <v>45611</v>
      </c>
      <c r="B16" s="3"/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SUM(表2_4561012[[#This Row],[吃饭]:[学习阅读]])</f>
        <v>45</v>
      </c>
      <c r="N16" s="3">
        <f>表2_4561012[[#This Row],[合计]]-表2_4561012[[#This Row],[房租]]-表2_4561012[[#This Row],[水电话费]]</f>
        <v>0</v>
      </c>
    </row>
    <row r="17" spans="1:14" x14ac:dyDescent="0.3">
      <c r="A17" s="1">
        <v>45612</v>
      </c>
      <c r="B17" s="3"/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SUM(表2_4561012[[#This Row],[吃饭]:[学习阅读]])</f>
        <v>45</v>
      </c>
      <c r="N17" s="3">
        <f>表2_4561012[[#This Row],[合计]]-表2_4561012[[#This Row],[房租]]-表2_4561012[[#This Row],[水电话费]]</f>
        <v>0</v>
      </c>
    </row>
    <row r="18" spans="1:14" x14ac:dyDescent="0.3">
      <c r="A18" s="1">
        <v>45613</v>
      </c>
      <c r="B18" s="3"/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SUM(表2_4561012[[#This Row],[吃饭]:[学习阅读]])</f>
        <v>45</v>
      </c>
      <c r="N18" s="3">
        <f>表2_4561012[[#This Row],[合计]]-表2_4561012[[#This Row],[房租]]-表2_4561012[[#This Row],[水电话费]]</f>
        <v>0</v>
      </c>
    </row>
    <row r="19" spans="1:14" x14ac:dyDescent="0.3">
      <c r="A19" s="1">
        <v>45614</v>
      </c>
      <c r="B19" s="3"/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SUM(表2_4561012[[#This Row],[吃饭]:[学习阅读]])</f>
        <v>45</v>
      </c>
      <c r="N19" s="3">
        <f>表2_4561012[[#This Row],[合计]]-表2_4561012[[#This Row],[房租]]-表2_4561012[[#This Row],[水电话费]]</f>
        <v>0</v>
      </c>
    </row>
    <row r="20" spans="1:14" x14ac:dyDescent="0.3">
      <c r="A20" s="1">
        <v>45615</v>
      </c>
      <c r="B20" s="3"/>
      <c r="C20" s="3"/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SUM(表2_4561012[[#This Row],[吃饭]:[学习阅读]])</f>
        <v>45</v>
      </c>
      <c r="N20" s="3">
        <f>表2_4561012[[#This Row],[合计]]-表2_4561012[[#This Row],[房租]]-表2_4561012[[#This Row],[水电话费]]</f>
        <v>0</v>
      </c>
    </row>
    <row r="21" spans="1:14" x14ac:dyDescent="0.3">
      <c r="A21" s="1">
        <v>45616</v>
      </c>
      <c r="B21" s="3"/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SUM(表2_4561012[[#This Row],[吃饭]:[学习阅读]])</f>
        <v>45</v>
      </c>
      <c r="N21" s="3">
        <f>表2_4561012[[#This Row],[合计]]-表2_4561012[[#This Row],[房租]]-表2_4561012[[#This Row],[水电话费]]</f>
        <v>0</v>
      </c>
    </row>
    <row r="22" spans="1:14" x14ac:dyDescent="0.3">
      <c r="A22" s="1">
        <v>45617</v>
      </c>
      <c r="B22" s="3"/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SUM(表2_4561012[[#This Row],[吃饭]:[学习阅读]])</f>
        <v>45</v>
      </c>
      <c r="N22" s="3">
        <f>表2_4561012[[#This Row],[合计]]-表2_4561012[[#This Row],[房租]]-表2_4561012[[#This Row],[水电话费]]</f>
        <v>0</v>
      </c>
    </row>
    <row r="23" spans="1:14" x14ac:dyDescent="0.3">
      <c r="A23" s="1">
        <v>45618</v>
      </c>
      <c r="B23" s="3"/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SUM(表2_4561012[[#This Row],[吃饭]:[学习阅读]])</f>
        <v>45</v>
      </c>
      <c r="N23" s="3">
        <f>表2_4561012[[#This Row],[合计]]-表2_4561012[[#This Row],[房租]]-表2_4561012[[#This Row],[水电话费]]</f>
        <v>0</v>
      </c>
    </row>
    <row r="24" spans="1:14" x14ac:dyDescent="0.3">
      <c r="A24" s="1">
        <v>45619</v>
      </c>
      <c r="B24" s="3"/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SUM(表2_4561012[[#This Row],[吃饭]:[学习阅读]])</f>
        <v>45</v>
      </c>
      <c r="N24" s="3">
        <f>表2_4561012[[#This Row],[合计]]-表2_4561012[[#This Row],[房租]]-表2_4561012[[#This Row],[水电话费]]</f>
        <v>0</v>
      </c>
    </row>
    <row r="25" spans="1:14" x14ac:dyDescent="0.3">
      <c r="A25" s="1">
        <v>45620</v>
      </c>
      <c r="B25" s="3"/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SUM(表2_4561012[[#This Row],[吃饭]:[学习阅读]])</f>
        <v>45</v>
      </c>
      <c r="N25" s="3">
        <f>表2_4561012[[#This Row],[合计]]-表2_4561012[[#This Row],[房租]]-表2_4561012[[#This Row],[水电话费]]</f>
        <v>0</v>
      </c>
    </row>
    <row r="26" spans="1:14" x14ac:dyDescent="0.3">
      <c r="A26" s="1">
        <v>45621</v>
      </c>
      <c r="B26" s="3"/>
      <c r="C26" s="3"/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SUM(表2_4561012[[#This Row],[吃饭]:[学习阅读]])</f>
        <v>45</v>
      </c>
      <c r="N26" s="3">
        <f>表2_4561012[[#This Row],[合计]]-表2_4561012[[#This Row],[房租]]-表2_4561012[[#This Row],[水电话费]]</f>
        <v>0</v>
      </c>
    </row>
    <row r="27" spans="1:14" x14ac:dyDescent="0.3">
      <c r="A27" s="1">
        <v>45622</v>
      </c>
      <c r="B27" s="3"/>
      <c r="C27" s="3"/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SUM(表2_4561012[[#This Row],[吃饭]:[学习阅读]])</f>
        <v>45</v>
      </c>
      <c r="N27" s="3">
        <f>表2_4561012[[#This Row],[合计]]-表2_4561012[[#This Row],[房租]]-表2_4561012[[#This Row],[水电话费]]</f>
        <v>0</v>
      </c>
    </row>
    <row r="28" spans="1:14" x14ac:dyDescent="0.3">
      <c r="A28" s="1">
        <v>45623</v>
      </c>
      <c r="B28" s="3"/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SUM(表2_4561012[[#This Row],[吃饭]:[学习阅读]])</f>
        <v>45</v>
      </c>
      <c r="N28" s="3">
        <f>表2_4561012[[#This Row],[合计]]-表2_4561012[[#This Row],[房租]]-表2_4561012[[#This Row],[水电话费]]</f>
        <v>0</v>
      </c>
    </row>
    <row r="29" spans="1:14" x14ac:dyDescent="0.3">
      <c r="A29" s="1">
        <v>45624</v>
      </c>
      <c r="B29" s="3"/>
      <c r="C29" s="3"/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SUM(表2_4561012[[#This Row],[吃饭]:[学习阅读]])</f>
        <v>45</v>
      </c>
      <c r="N29" s="3">
        <f>表2_4561012[[#This Row],[合计]]-表2_4561012[[#This Row],[房租]]-表2_4561012[[#This Row],[水电话费]]</f>
        <v>0</v>
      </c>
    </row>
    <row r="30" spans="1:14" x14ac:dyDescent="0.3">
      <c r="A30" s="1">
        <v>45625</v>
      </c>
      <c r="B30" s="3"/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SUM(表2_4561012[[#This Row],[吃饭]:[学习阅读]])</f>
        <v>45</v>
      </c>
      <c r="N30" s="3">
        <f>表2_4561012[[#This Row],[合计]]-表2_4561012[[#This Row],[房租]]-表2_4561012[[#This Row],[水电话费]]</f>
        <v>0</v>
      </c>
    </row>
    <row r="31" spans="1:14" ht="13.5" customHeight="1" x14ac:dyDescent="0.3">
      <c r="A31" s="1">
        <v>45626</v>
      </c>
      <c r="B31" s="3"/>
      <c r="C31" s="3"/>
      <c r="D31" s="3"/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SUM(表2_4561012[[#This Row],[吃饭]:[学习阅读]])</f>
        <v>45</v>
      </c>
      <c r="N31" s="3">
        <f>表2_4561012[[#This Row],[合计]]-表2_4561012[[#This Row],[房租]]-表2_4561012[[#This Row],[水电话费]]</f>
        <v>0</v>
      </c>
    </row>
    <row r="32" spans="1:14" ht="37.25" customHeight="1" x14ac:dyDescent="0.3">
      <c r="A32" s="4" t="s">
        <v>11</v>
      </c>
      <c r="B32" s="3">
        <f t="shared" ref="B32:M32" si="1">SUM(B2:B31)</f>
        <v>137.75</v>
      </c>
      <c r="C32" s="3">
        <f>SUM(C3:C31)</f>
        <v>36.4</v>
      </c>
      <c r="D32" s="3">
        <f t="shared" si="1"/>
        <v>32.57</v>
      </c>
      <c r="E32" s="3">
        <f t="shared" si="1"/>
        <v>15</v>
      </c>
      <c r="F32" s="3">
        <f t="shared" si="1"/>
        <v>0</v>
      </c>
      <c r="G32" s="3">
        <f t="shared" si="1"/>
        <v>0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0</v>
      </c>
      <c r="M32" s="5">
        <f t="shared" si="1"/>
        <v>1671.7199999999998</v>
      </c>
      <c r="N32" s="3">
        <f>表2_4561012[[#This Row],[合计]]-表2_4561012[[#This Row],[房租]]-表2_4561012[[#This Row],[水电话费]]</f>
        <v>221.7199999999998</v>
      </c>
    </row>
    <row r="33" spans="2:13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1671.72</v>
      </c>
      <c r="M33" s="3"/>
    </row>
  </sheetData>
  <phoneticPr fontId="1" type="noConversion"/>
  <conditionalFormatting sqref="N2:N31">
    <cfRule type="cellIs" dxfId="3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5"/>
  <sheetViews>
    <sheetView workbookViewId="0">
      <selection activeCell="G15" sqref="B1:G15"/>
    </sheetView>
  </sheetViews>
  <sheetFormatPr defaultRowHeight="14" x14ac:dyDescent="0.3"/>
  <sheetData>
    <row r="5" ht="1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3F92-D2E5-4945-99C2-E3FB6AC53EBD}">
  <dimension ref="A1:N32"/>
  <sheetViews>
    <sheetView topLeftCell="A10" workbookViewId="0">
      <selection activeCell="B29" sqref="B29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45323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f>SUM(表2_2[[#This Row],[吃饭]:[学习阅读]])</f>
        <v>0</v>
      </c>
      <c r="N2" s="3">
        <f>表2_2[[#This Row],[合计]]-表2_2[[#This Row],[房租]]-表2_2[[#This Row],[水电话费]]</f>
        <v>0</v>
      </c>
    </row>
    <row r="3" spans="1:14" x14ac:dyDescent="0.3">
      <c r="A3" s="1">
        <v>45324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>
        <f>SUM(表2_2[[#This Row],[吃饭]:[学习阅读]])</f>
        <v>0</v>
      </c>
      <c r="N3" s="3">
        <f>表2_2[[#This Row],[合计]]-表2_2[[#This Row],[房租]]-表2_2[[#This Row],[水电话费]]</f>
        <v>0</v>
      </c>
    </row>
    <row r="4" spans="1:14" x14ac:dyDescent="0.3">
      <c r="A4" s="1">
        <v>45325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f>SUM(表2_2[[#This Row],[吃饭]:[学习阅读]])</f>
        <v>0</v>
      </c>
      <c r="N4" s="3">
        <f>表2_2[[#This Row],[合计]]-表2_2[[#This Row],[房租]]-表2_2[[#This Row],[水电话费]]</f>
        <v>0</v>
      </c>
    </row>
    <row r="5" spans="1:14" x14ac:dyDescent="0.3">
      <c r="A5" s="1">
        <v>45326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f>SUM(表2_2[[#This Row],[吃饭]:[学习阅读]])</f>
        <v>0</v>
      </c>
      <c r="N5" s="3">
        <f>表2_2[[#This Row],[合计]]-表2_2[[#This Row],[房租]]-表2_2[[#This Row],[水电话费]]</f>
        <v>0</v>
      </c>
    </row>
    <row r="6" spans="1:14" x14ac:dyDescent="0.3">
      <c r="A6" s="1">
        <v>45327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f>SUM(表2_2[[#This Row],[吃饭]:[学习阅读]])</f>
        <v>0</v>
      </c>
      <c r="N6" s="3">
        <f>表2_2[[#This Row],[合计]]-表2_2[[#This Row],[房租]]-表2_2[[#This Row],[水电话费]]</f>
        <v>0</v>
      </c>
    </row>
    <row r="7" spans="1:14" x14ac:dyDescent="0.3">
      <c r="A7" s="1">
        <v>45328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f>SUM(表2_2[[#This Row],[吃饭]:[学习阅读]])</f>
        <v>0</v>
      </c>
      <c r="N7" s="3">
        <f>表2_2[[#This Row],[合计]]-表2_2[[#This Row],[房租]]-表2_2[[#This Row],[水电话费]]</f>
        <v>0</v>
      </c>
    </row>
    <row r="8" spans="1:14" x14ac:dyDescent="0.3">
      <c r="A8" s="1">
        <v>45329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f>SUM(表2_2[[#This Row],[吃饭]:[学习阅读]])</f>
        <v>0</v>
      </c>
      <c r="N8" s="3">
        <f>表2_2[[#This Row],[合计]]-表2_2[[#This Row],[房租]]-表2_2[[#This Row],[水电话费]]</f>
        <v>0</v>
      </c>
    </row>
    <row r="9" spans="1:14" x14ac:dyDescent="0.3">
      <c r="A9" s="1">
        <v>45330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f>SUM(表2_2[[#This Row],[吃饭]:[学习阅读]])</f>
        <v>0</v>
      </c>
      <c r="N9" s="3">
        <f>表2_2[[#This Row],[合计]]-表2_2[[#This Row],[房租]]-表2_2[[#This Row],[水电话费]]</f>
        <v>0</v>
      </c>
    </row>
    <row r="10" spans="1:14" x14ac:dyDescent="0.3">
      <c r="A10" s="1">
        <v>45331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>SUM(表2_2[[#This Row],[吃饭]:[学习阅读]])</f>
        <v>0</v>
      </c>
      <c r="N10" s="3">
        <f>表2_2[[#This Row],[合计]]-表2_2[[#This Row],[房租]]-表2_2[[#This Row],[水电话费]]</f>
        <v>0</v>
      </c>
    </row>
    <row r="11" spans="1:14" x14ac:dyDescent="0.3">
      <c r="A11" s="1">
        <v>45332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f>SUM(表2_2[[#This Row],[吃饭]:[学习阅读]])</f>
        <v>0</v>
      </c>
      <c r="N11" s="3">
        <f>表2_2[[#This Row],[合计]]-表2_2[[#This Row],[房租]]-表2_2[[#This Row],[水电话费]]</f>
        <v>0</v>
      </c>
    </row>
    <row r="12" spans="1:14" x14ac:dyDescent="0.3">
      <c r="A12" s="1">
        <v>45333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f>SUM(表2_2[[#This Row],[吃饭]:[学习阅读]])</f>
        <v>0</v>
      </c>
      <c r="N12" s="3">
        <f>表2_2[[#This Row],[合计]]-表2_2[[#This Row],[房租]]-表2_2[[#This Row],[水电话费]]</f>
        <v>0</v>
      </c>
    </row>
    <row r="13" spans="1:14" x14ac:dyDescent="0.3">
      <c r="A13" s="1">
        <v>45334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f>SUM(表2_2[[#This Row],[吃饭]:[学习阅读]])</f>
        <v>0</v>
      </c>
      <c r="N13" s="3">
        <f>表2_2[[#This Row],[合计]]-表2_2[[#This Row],[房租]]-表2_2[[#This Row],[水电话费]]</f>
        <v>0</v>
      </c>
    </row>
    <row r="14" spans="1:14" x14ac:dyDescent="0.3">
      <c r="A14" s="1">
        <v>45335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>SUM(表2_2[[#This Row],[吃饭]:[学习阅读]])</f>
        <v>0</v>
      </c>
      <c r="N14" s="3">
        <f>表2_2[[#This Row],[合计]]-表2_2[[#This Row],[房租]]-表2_2[[#This Row],[水电话费]]</f>
        <v>0</v>
      </c>
    </row>
    <row r="15" spans="1:14" x14ac:dyDescent="0.3">
      <c r="A15" s="1">
        <v>45336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f>SUM(表2_2[[#This Row],[吃饭]:[学习阅读]])</f>
        <v>0</v>
      </c>
      <c r="N15" s="3">
        <f>表2_2[[#This Row],[合计]]-表2_2[[#This Row],[房租]]-表2_2[[#This Row],[水电话费]]</f>
        <v>0</v>
      </c>
    </row>
    <row r="16" spans="1:14" x14ac:dyDescent="0.3">
      <c r="A16" s="1">
        <v>45337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f>SUM(表2_2[[#This Row],[吃饭]:[学习阅读]])</f>
        <v>0</v>
      </c>
      <c r="N16" s="3">
        <f>表2_2[[#This Row],[合计]]-表2_2[[#This Row],[房租]]-表2_2[[#This Row],[水电话费]]</f>
        <v>0</v>
      </c>
    </row>
    <row r="17" spans="1:14" x14ac:dyDescent="0.3">
      <c r="A17" s="1">
        <v>45338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>SUM(表2_2[[#This Row],[吃饭]:[学习阅读]])</f>
        <v>0</v>
      </c>
      <c r="N17" s="3">
        <f>表2_2[[#This Row],[合计]]-表2_2[[#This Row],[房租]]-表2_2[[#This Row],[水电话费]]</f>
        <v>0</v>
      </c>
    </row>
    <row r="18" spans="1:14" x14ac:dyDescent="0.3">
      <c r="A18" s="1">
        <v>45339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f>SUM(表2_2[[#This Row],[吃饭]:[学习阅读]])</f>
        <v>0</v>
      </c>
      <c r="N18" s="3">
        <f>表2_2[[#This Row],[合计]]-表2_2[[#This Row],[房租]]-表2_2[[#This Row],[水电话费]]</f>
        <v>0</v>
      </c>
    </row>
    <row r="19" spans="1:14" x14ac:dyDescent="0.3">
      <c r="A19" s="1">
        <v>45340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>SUM(表2_2[[#This Row],[吃饭]:[学习阅读]])</f>
        <v>0</v>
      </c>
      <c r="N19" s="3">
        <f>表2_2[[#This Row],[合计]]-表2_2[[#This Row],[房租]]-表2_2[[#This Row],[水电话费]]</f>
        <v>0</v>
      </c>
    </row>
    <row r="20" spans="1:14" x14ac:dyDescent="0.3">
      <c r="A20" s="1">
        <v>45341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>SUM(表2_2[[#This Row],[吃饭]:[学习阅读]])</f>
        <v>0</v>
      </c>
      <c r="N20" s="3">
        <f>表2_2[[#This Row],[合计]]-表2_2[[#This Row],[房租]]-表2_2[[#This Row],[水电话费]]</f>
        <v>0</v>
      </c>
    </row>
    <row r="21" spans="1:14" x14ac:dyDescent="0.3">
      <c r="A21" s="1">
        <v>45342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f>SUM(表2_2[[#This Row],[吃饭]:[学习阅读]])</f>
        <v>0</v>
      </c>
      <c r="N21" s="3">
        <f>表2_2[[#This Row],[合计]]-表2_2[[#This Row],[房租]]-表2_2[[#This Row],[水电话费]]</f>
        <v>0</v>
      </c>
    </row>
    <row r="22" spans="1:14" x14ac:dyDescent="0.3">
      <c r="A22" s="1">
        <v>45343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f>SUM(表2_2[[#This Row],[吃饭]:[学习阅读]])</f>
        <v>0</v>
      </c>
      <c r="N22" s="3">
        <f>表2_2[[#This Row],[合计]]-表2_2[[#This Row],[房租]]-表2_2[[#This Row],[水电话费]]</f>
        <v>0</v>
      </c>
    </row>
    <row r="23" spans="1:14" x14ac:dyDescent="0.3">
      <c r="A23" s="1">
        <v>45344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f>SUM(表2_2[[#This Row],[吃饭]:[学习阅读]])</f>
        <v>0</v>
      </c>
      <c r="N23" s="3">
        <f>表2_2[[#This Row],[合计]]-表2_2[[#This Row],[房租]]-表2_2[[#This Row],[水电话费]]</f>
        <v>0</v>
      </c>
    </row>
    <row r="24" spans="1:14" x14ac:dyDescent="0.3">
      <c r="A24" s="1">
        <v>45345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f>SUM(表2_2[[#This Row],[吃饭]:[学习阅读]])</f>
        <v>0</v>
      </c>
      <c r="N24" s="3">
        <f>表2_2[[#This Row],[合计]]-表2_2[[#This Row],[房租]]-表2_2[[#This Row],[水电话费]]</f>
        <v>0</v>
      </c>
    </row>
    <row r="25" spans="1:14" x14ac:dyDescent="0.3">
      <c r="A25" s="1">
        <v>45346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f>SUM(表2_2[[#This Row],[吃饭]:[学习阅读]])</f>
        <v>0</v>
      </c>
      <c r="N25" s="3">
        <f>表2_2[[#This Row],[合计]]-表2_2[[#This Row],[房租]]-表2_2[[#This Row],[水电话费]]</f>
        <v>0</v>
      </c>
    </row>
    <row r="26" spans="1:14" x14ac:dyDescent="0.3">
      <c r="A26" s="1">
        <v>45347</v>
      </c>
      <c r="B26" s="3">
        <f>170/5</f>
        <v>34</v>
      </c>
      <c r="C26" s="3"/>
      <c r="D26" s="3">
        <v>90</v>
      </c>
      <c r="E26" s="3">
        <v>500</v>
      </c>
      <c r="F26" s="3">
        <v>200</v>
      </c>
      <c r="G26" s="3"/>
      <c r="H26" s="3"/>
      <c r="I26" s="3"/>
      <c r="J26" s="3"/>
      <c r="K26" s="3"/>
      <c r="L26" s="3"/>
      <c r="M26" s="3">
        <f>SUM(表2_2[[#This Row],[吃饭]:[学习阅读]])</f>
        <v>824</v>
      </c>
      <c r="N26" s="3">
        <f>表2_2[[#This Row],[合计]]-表2_2[[#This Row],[房租]]-表2_2[[#This Row],[水电话费]]</f>
        <v>824</v>
      </c>
    </row>
    <row r="27" spans="1:14" x14ac:dyDescent="0.3">
      <c r="A27" s="1">
        <v>45348</v>
      </c>
      <c r="B27" s="3">
        <f>170/5</f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SUM(表2_2[[#This Row],[吃饭]:[学习阅读]])</f>
        <v>124</v>
      </c>
      <c r="N27" s="3">
        <f>表2_2[[#This Row],[合计]]-表2_2[[#This Row],[房租]]-表2_2[[#This Row],[水电话费]]</f>
        <v>124</v>
      </c>
    </row>
    <row r="28" spans="1:14" x14ac:dyDescent="0.3">
      <c r="A28" s="1">
        <v>45349</v>
      </c>
      <c r="B28" s="3">
        <f>170/5</f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SUM(表2_2[[#This Row],[吃饭]:[学习阅读]])</f>
        <v>124</v>
      </c>
      <c r="N28" s="3">
        <f>表2_2[[#This Row],[合计]]-表2_2[[#This Row],[房租]]-表2_2[[#This Row],[水电话费]]</f>
        <v>124</v>
      </c>
    </row>
    <row r="29" spans="1:14" x14ac:dyDescent="0.3">
      <c r="A29" s="1">
        <v>45350</v>
      </c>
      <c r="B29" s="3">
        <f>170/5</f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SUM(表2_2[[#This Row],[吃饭]:[学习阅读]])</f>
        <v>124</v>
      </c>
      <c r="N29" s="3">
        <f>表2_2[[#This Row],[合计]]-表2_2[[#This Row],[房租]]-表2_2[[#This Row],[水电话费]]</f>
        <v>124</v>
      </c>
    </row>
    <row r="30" spans="1:14" x14ac:dyDescent="0.3">
      <c r="A30" s="1">
        <v>45351</v>
      </c>
      <c r="B30" s="3">
        <f>170/5</f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SUM(表2_2[[#This Row],[吃饭]:[学习阅读]])</f>
        <v>124</v>
      </c>
      <c r="N30" s="3">
        <f>表2_2[[#This Row],[合计]]-表2_2[[#This Row],[房租]]-表2_2[[#This Row],[水电话费]]</f>
        <v>124</v>
      </c>
    </row>
    <row r="31" spans="1:14" ht="37.25" customHeight="1" x14ac:dyDescent="0.3">
      <c r="A31" s="4" t="s">
        <v>11</v>
      </c>
      <c r="B31" s="3">
        <f t="shared" ref="B31:M31" si="0">SUM(B2:B30)</f>
        <v>170</v>
      </c>
      <c r="C31" s="3">
        <f t="shared" si="0"/>
        <v>0</v>
      </c>
      <c r="D31" s="3">
        <f t="shared" si="0"/>
        <v>450</v>
      </c>
      <c r="E31" s="3">
        <f t="shared" si="0"/>
        <v>500</v>
      </c>
      <c r="F31" s="3">
        <f t="shared" si="0"/>
        <v>200</v>
      </c>
      <c r="G31" s="3">
        <f t="shared" si="0"/>
        <v>0</v>
      </c>
      <c r="H31" s="3">
        <f t="shared" si="0"/>
        <v>0</v>
      </c>
      <c r="I31" s="3">
        <f t="shared" si="0"/>
        <v>0</v>
      </c>
      <c r="J31" s="3">
        <f t="shared" si="0"/>
        <v>0</v>
      </c>
      <c r="K31" s="3">
        <f t="shared" si="0"/>
        <v>0</v>
      </c>
      <c r="L31" s="3">
        <f t="shared" si="0"/>
        <v>0</v>
      </c>
      <c r="M31" s="5">
        <f t="shared" si="0"/>
        <v>1320</v>
      </c>
      <c r="N31" s="3">
        <f>表2_2[[#This Row],[合计]]-表2_2[[#This Row],[房租]]-表2_2[[#This Row],[水电话费]]</f>
        <v>1320</v>
      </c>
    </row>
    <row r="32" spans="1:14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f>SUM(B31:L31)</f>
        <v>1320</v>
      </c>
      <c r="M32" s="3"/>
    </row>
  </sheetData>
  <phoneticPr fontId="1" type="noConversion"/>
  <conditionalFormatting sqref="N2:N30">
    <cfRule type="cellIs" dxfId="30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9706-DFD4-448A-9DD7-ACCE6818CC02}">
  <dimension ref="A1:N34"/>
  <sheetViews>
    <sheetView topLeftCell="A4" workbookViewId="0">
      <selection activeCell="C40" sqref="C40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45352</v>
      </c>
      <c r="B2" s="3">
        <f>170/5</f>
        <v>34</v>
      </c>
      <c r="C2" s="3"/>
      <c r="D2" s="3">
        <v>90</v>
      </c>
      <c r="E2" s="3"/>
      <c r="F2" s="3"/>
      <c r="G2" s="3"/>
      <c r="H2" s="3"/>
      <c r="I2" s="3"/>
      <c r="J2" s="3"/>
      <c r="K2" s="3"/>
      <c r="L2" s="3"/>
      <c r="M2" s="3">
        <f>SUM(表2_4[[#This Row],[吃饭]:[学习阅读]])</f>
        <v>124</v>
      </c>
      <c r="N2" s="3">
        <f>表2_4[[#This Row],[合计]]-表2_4[[#This Row],[房租]]-表2_4[[#This Row],[水电话费]]</f>
        <v>124</v>
      </c>
    </row>
    <row r="3" spans="1:14" x14ac:dyDescent="0.3">
      <c r="A3" s="1">
        <v>45353</v>
      </c>
      <c r="B3" s="3">
        <f t="shared" ref="B3:B32" si="0">170/5</f>
        <v>34</v>
      </c>
      <c r="C3" s="3"/>
      <c r="D3" s="3">
        <v>90</v>
      </c>
      <c r="E3" s="3"/>
      <c r="F3" s="3"/>
      <c r="G3" s="3"/>
      <c r="H3" s="3"/>
      <c r="I3" s="3"/>
      <c r="J3" s="3"/>
      <c r="K3" s="3"/>
      <c r="L3" s="3"/>
      <c r="M3" s="3">
        <f>SUM(表2_4[[#This Row],[吃饭]:[学习阅读]])</f>
        <v>124</v>
      </c>
      <c r="N3" s="3">
        <f>表2_4[[#This Row],[合计]]-表2_4[[#This Row],[房租]]-表2_4[[#This Row],[水电话费]]</f>
        <v>124</v>
      </c>
    </row>
    <row r="4" spans="1:14" x14ac:dyDescent="0.3">
      <c r="A4" s="1">
        <v>45354</v>
      </c>
      <c r="B4" s="3">
        <f t="shared" si="0"/>
        <v>34</v>
      </c>
      <c r="C4" s="3"/>
      <c r="D4" s="3">
        <v>90</v>
      </c>
      <c r="E4" s="3"/>
      <c r="F4" s="3"/>
      <c r="G4" s="3"/>
      <c r="H4" s="3"/>
      <c r="I4" s="3"/>
      <c r="J4" s="3"/>
      <c r="K4" s="3"/>
      <c r="L4" s="3"/>
      <c r="M4" s="3">
        <f>SUM(表2_4[[#This Row],[吃饭]:[学习阅读]])</f>
        <v>124</v>
      </c>
      <c r="N4" s="3">
        <f>表2_4[[#This Row],[合计]]-表2_4[[#This Row],[房租]]-表2_4[[#This Row],[水电话费]]</f>
        <v>124</v>
      </c>
    </row>
    <row r="5" spans="1:14" x14ac:dyDescent="0.3">
      <c r="A5" s="1">
        <v>45355</v>
      </c>
      <c r="B5" s="3">
        <f t="shared" si="0"/>
        <v>34</v>
      </c>
      <c r="C5" s="3"/>
      <c r="D5" s="3">
        <v>90</v>
      </c>
      <c r="E5" s="3"/>
      <c r="F5" s="3"/>
      <c r="G5" s="3"/>
      <c r="H5" s="3"/>
      <c r="I5" s="3"/>
      <c r="J5" s="3"/>
      <c r="K5" s="3"/>
      <c r="L5" s="3"/>
      <c r="M5" s="3">
        <f>SUM(表2_4[[#This Row],[吃饭]:[学习阅读]])</f>
        <v>124</v>
      </c>
      <c r="N5" s="3">
        <f>表2_4[[#This Row],[合计]]-表2_4[[#This Row],[房租]]-表2_4[[#This Row],[水电话费]]</f>
        <v>124</v>
      </c>
    </row>
    <row r="6" spans="1:14" x14ac:dyDescent="0.3">
      <c r="A6" s="1">
        <v>45356</v>
      </c>
      <c r="B6" s="3">
        <f t="shared" si="0"/>
        <v>34</v>
      </c>
      <c r="C6" s="3"/>
      <c r="D6" s="3">
        <v>90</v>
      </c>
      <c r="E6" s="3"/>
      <c r="F6" s="3"/>
      <c r="G6" s="3"/>
      <c r="H6" s="3"/>
      <c r="I6" s="3"/>
      <c r="J6" s="3"/>
      <c r="K6" s="3"/>
      <c r="L6" s="3"/>
      <c r="M6" s="3">
        <f>SUM(表2_4[[#This Row],[吃饭]:[学习阅读]])</f>
        <v>124</v>
      </c>
      <c r="N6" s="3">
        <f>表2_4[[#This Row],[合计]]-表2_4[[#This Row],[房租]]-表2_4[[#This Row],[水电话费]]</f>
        <v>124</v>
      </c>
    </row>
    <row r="7" spans="1:14" x14ac:dyDescent="0.3">
      <c r="A7" s="1">
        <v>45357</v>
      </c>
      <c r="B7" s="3">
        <f t="shared" si="0"/>
        <v>34</v>
      </c>
      <c r="C7" s="3"/>
      <c r="D7" s="3">
        <v>90</v>
      </c>
      <c r="E7" s="3"/>
      <c r="F7" s="3"/>
      <c r="G7" s="3"/>
      <c r="H7" s="3"/>
      <c r="I7" s="3"/>
      <c r="J7" s="3"/>
      <c r="K7" s="3"/>
      <c r="L7" s="3"/>
      <c r="M7" s="3">
        <f>SUM(表2_4[[#This Row],[吃饭]:[学习阅读]])</f>
        <v>124</v>
      </c>
      <c r="N7" s="3">
        <f>表2_4[[#This Row],[合计]]-表2_4[[#This Row],[房租]]-表2_4[[#This Row],[水电话费]]</f>
        <v>124</v>
      </c>
    </row>
    <row r="8" spans="1:14" x14ac:dyDescent="0.3">
      <c r="A8" s="1">
        <v>45358</v>
      </c>
      <c r="B8" s="3">
        <f t="shared" si="0"/>
        <v>34</v>
      </c>
      <c r="C8" s="3"/>
      <c r="D8" s="3">
        <v>90</v>
      </c>
      <c r="E8" s="3"/>
      <c r="F8" s="3"/>
      <c r="G8" s="3"/>
      <c r="H8" s="3"/>
      <c r="I8" s="3"/>
      <c r="J8" s="3"/>
      <c r="K8" s="3"/>
      <c r="L8" s="3"/>
      <c r="M8" s="3">
        <f>SUM(表2_4[[#This Row],[吃饭]:[学习阅读]])</f>
        <v>124</v>
      </c>
      <c r="N8" s="3">
        <f>表2_4[[#This Row],[合计]]-表2_4[[#This Row],[房租]]-表2_4[[#This Row],[水电话费]]</f>
        <v>124</v>
      </c>
    </row>
    <row r="9" spans="1:14" x14ac:dyDescent="0.3">
      <c r="A9" s="1">
        <v>45359</v>
      </c>
      <c r="B9" s="3">
        <f t="shared" si="0"/>
        <v>34</v>
      </c>
      <c r="C9" s="3"/>
      <c r="D9" s="3">
        <v>90</v>
      </c>
      <c r="E9" s="3"/>
      <c r="F9" s="3"/>
      <c r="G9" s="3"/>
      <c r="H9" s="3"/>
      <c r="I9" s="3"/>
      <c r="J9" s="3"/>
      <c r="K9" s="3"/>
      <c r="L9" s="3"/>
      <c r="M9" s="3">
        <f>SUM(表2_4[[#This Row],[吃饭]:[学习阅读]])</f>
        <v>124</v>
      </c>
      <c r="N9" s="3">
        <f>表2_4[[#This Row],[合计]]-表2_4[[#This Row],[房租]]-表2_4[[#This Row],[水电话费]]</f>
        <v>124</v>
      </c>
    </row>
    <row r="10" spans="1:14" x14ac:dyDescent="0.3">
      <c r="A10" s="1">
        <v>45360</v>
      </c>
      <c r="B10" s="3">
        <f t="shared" si="0"/>
        <v>34</v>
      </c>
      <c r="C10" s="3"/>
      <c r="D10" s="3">
        <v>90</v>
      </c>
      <c r="E10" s="3"/>
      <c r="F10" s="3"/>
      <c r="G10" s="3"/>
      <c r="H10" s="3"/>
      <c r="I10" s="3"/>
      <c r="J10" s="3"/>
      <c r="K10" s="3"/>
      <c r="L10" s="3"/>
      <c r="M10" s="3">
        <f>SUM(表2_4[[#This Row],[吃饭]:[学习阅读]])</f>
        <v>124</v>
      </c>
      <c r="N10" s="3">
        <f>表2_4[[#This Row],[合计]]-表2_4[[#This Row],[房租]]-表2_4[[#This Row],[水电话费]]</f>
        <v>124</v>
      </c>
    </row>
    <row r="11" spans="1:14" x14ac:dyDescent="0.3">
      <c r="A11" s="1">
        <v>45361</v>
      </c>
      <c r="B11" s="3">
        <f t="shared" si="0"/>
        <v>34</v>
      </c>
      <c r="C11" s="3"/>
      <c r="D11" s="3">
        <v>90</v>
      </c>
      <c r="E11" s="3"/>
      <c r="F11" s="3"/>
      <c r="G11" s="3"/>
      <c r="H11" s="3"/>
      <c r="I11" s="3"/>
      <c r="J11" s="3"/>
      <c r="K11" s="3"/>
      <c r="L11" s="3"/>
      <c r="M11" s="3">
        <f>SUM(表2_4[[#This Row],[吃饭]:[学习阅读]])</f>
        <v>124</v>
      </c>
      <c r="N11" s="3">
        <f>表2_4[[#This Row],[合计]]-表2_4[[#This Row],[房租]]-表2_4[[#This Row],[水电话费]]</f>
        <v>124</v>
      </c>
    </row>
    <row r="12" spans="1:14" x14ac:dyDescent="0.3">
      <c r="A12" s="1">
        <v>45362</v>
      </c>
      <c r="B12" s="3">
        <f t="shared" si="0"/>
        <v>34</v>
      </c>
      <c r="C12" s="3"/>
      <c r="D12" s="3">
        <v>90</v>
      </c>
      <c r="E12" s="3"/>
      <c r="F12" s="3"/>
      <c r="G12" s="3"/>
      <c r="H12" s="3"/>
      <c r="I12" s="3"/>
      <c r="J12" s="3"/>
      <c r="K12" s="3"/>
      <c r="L12" s="3"/>
      <c r="M12" s="3">
        <f>SUM(表2_4[[#This Row],[吃饭]:[学习阅读]])</f>
        <v>124</v>
      </c>
      <c r="N12" s="3">
        <f>表2_4[[#This Row],[合计]]-表2_4[[#This Row],[房租]]-表2_4[[#This Row],[水电话费]]</f>
        <v>124</v>
      </c>
    </row>
    <row r="13" spans="1:14" x14ac:dyDescent="0.3">
      <c r="A13" s="1">
        <v>45363</v>
      </c>
      <c r="B13" s="3">
        <f t="shared" si="0"/>
        <v>34</v>
      </c>
      <c r="C13" s="3"/>
      <c r="D13" s="3">
        <v>90</v>
      </c>
      <c r="E13" s="3"/>
      <c r="F13" s="3"/>
      <c r="G13" s="3"/>
      <c r="H13" s="3"/>
      <c r="I13" s="3"/>
      <c r="J13" s="3"/>
      <c r="K13" s="3"/>
      <c r="L13" s="3"/>
      <c r="M13" s="3">
        <f>SUM(表2_4[[#This Row],[吃饭]:[学习阅读]])</f>
        <v>124</v>
      </c>
      <c r="N13" s="3">
        <f>表2_4[[#This Row],[合计]]-表2_4[[#This Row],[房租]]-表2_4[[#This Row],[水电话费]]</f>
        <v>124</v>
      </c>
    </row>
    <row r="14" spans="1:14" x14ac:dyDescent="0.3">
      <c r="A14" s="1">
        <v>45364</v>
      </c>
      <c r="B14" s="3">
        <f t="shared" si="0"/>
        <v>34</v>
      </c>
      <c r="C14" s="3"/>
      <c r="D14" s="3">
        <v>90</v>
      </c>
      <c r="E14" s="3"/>
      <c r="F14" s="3"/>
      <c r="G14" s="3">
        <v>700</v>
      </c>
      <c r="H14" s="3"/>
      <c r="I14" s="3"/>
      <c r="J14" s="3"/>
      <c r="K14" s="3"/>
      <c r="L14" s="3"/>
      <c r="M14" s="3">
        <f>SUM(表2_4[[#This Row],[吃饭]:[学习阅读]])</f>
        <v>824</v>
      </c>
      <c r="N14" s="3">
        <f>表2_4[[#This Row],[合计]]-表2_4[[#This Row],[房租]]-表2_4[[#This Row],[水电话费]]</f>
        <v>824</v>
      </c>
    </row>
    <row r="15" spans="1:14" x14ac:dyDescent="0.3">
      <c r="A15" s="1">
        <v>45365</v>
      </c>
      <c r="B15" s="3">
        <f t="shared" si="0"/>
        <v>34</v>
      </c>
      <c r="C15" s="3"/>
      <c r="D15" s="3">
        <v>90</v>
      </c>
      <c r="E15" s="3"/>
      <c r="F15" s="3"/>
      <c r="G15" s="3">
        <v>700</v>
      </c>
      <c r="H15" s="3"/>
      <c r="I15" s="3"/>
      <c r="J15" s="3"/>
      <c r="K15" s="3"/>
      <c r="L15" s="3"/>
      <c r="M15" s="3">
        <f>SUM(表2_4[[#This Row],[吃饭]:[学习阅读]])</f>
        <v>824</v>
      </c>
      <c r="N15" s="3">
        <f>表2_4[[#This Row],[合计]]-表2_4[[#This Row],[房租]]-表2_4[[#This Row],[水电话费]]</f>
        <v>824</v>
      </c>
    </row>
    <row r="16" spans="1:14" x14ac:dyDescent="0.3">
      <c r="A16" s="1">
        <v>45366</v>
      </c>
      <c r="B16" s="3">
        <f t="shared" si="0"/>
        <v>34</v>
      </c>
      <c r="C16" s="3"/>
      <c r="D16" s="3">
        <v>90</v>
      </c>
      <c r="E16" s="3"/>
      <c r="F16" s="3"/>
      <c r="G16" s="3">
        <v>700</v>
      </c>
      <c r="H16" s="3"/>
      <c r="I16" s="3"/>
      <c r="J16" s="3"/>
      <c r="K16" s="3"/>
      <c r="L16" s="3"/>
      <c r="M16" s="3">
        <f>SUM(表2_4[[#This Row],[吃饭]:[学习阅读]])</f>
        <v>824</v>
      </c>
      <c r="N16" s="3">
        <f>表2_4[[#This Row],[合计]]-表2_4[[#This Row],[房租]]-表2_4[[#This Row],[水电话费]]</f>
        <v>824</v>
      </c>
    </row>
    <row r="17" spans="1:14" x14ac:dyDescent="0.3">
      <c r="A17" s="1">
        <v>45367</v>
      </c>
      <c r="B17" s="3">
        <f t="shared" si="0"/>
        <v>34</v>
      </c>
      <c r="C17" s="3"/>
      <c r="D17" s="3">
        <v>90</v>
      </c>
      <c r="E17" s="3"/>
      <c r="F17" s="3"/>
      <c r="G17" s="3"/>
      <c r="H17" s="3"/>
      <c r="I17" s="3"/>
      <c r="J17" s="3"/>
      <c r="K17" s="3"/>
      <c r="L17" s="3"/>
      <c r="M17" s="3">
        <f>SUM(表2_4[[#This Row],[吃饭]:[学习阅读]])</f>
        <v>124</v>
      </c>
      <c r="N17" s="3">
        <f>表2_4[[#This Row],[合计]]-表2_4[[#This Row],[房租]]-表2_4[[#This Row],[水电话费]]</f>
        <v>124</v>
      </c>
    </row>
    <row r="18" spans="1:14" x14ac:dyDescent="0.3">
      <c r="A18" s="1">
        <v>45368</v>
      </c>
      <c r="B18" s="3">
        <f t="shared" si="0"/>
        <v>34</v>
      </c>
      <c r="C18" s="3"/>
      <c r="D18" s="3">
        <v>90</v>
      </c>
      <c r="E18" s="3"/>
      <c r="F18" s="3"/>
      <c r="G18" s="3"/>
      <c r="H18" s="3"/>
      <c r="I18" s="3"/>
      <c r="J18" s="3"/>
      <c r="K18" s="3"/>
      <c r="L18" s="3"/>
      <c r="M18" s="3">
        <f>SUM(表2_4[[#This Row],[吃饭]:[学习阅读]])</f>
        <v>124</v>
      </c>
      <c r="N18" s="3">
        <f>表2_4[[#This Row],[合计]]-表2_4[[#This Row],[房租]]-表2_4[[#This Row],[水电话费]]</f>
        <v>124</v>
      </c>
    </row>
    <row r="19" spans="1:14" x14ac:dyDescent="0.3">
      <c r="A19" s="1">
        <v>45369</v>
      </c>
      <c r="B19" s="3">
        <f t="shared" si="0"/>
        <v>34</v>
      </c>
      <c r="C19" s="3"/>
      <c r="D19" s="3">
        <v>90</v>
      </c>
      <c r="E19" s="3"/>
      <c r="F19" s="3"/>
      <c r="G19" s="3"/>
      <c r="H19" s="3"/>
      <c r="I19" s="3"/>
      <c r="J19" s="3"/>
      <c r="K19" s="3"/>
      <c r="L19" s="3"/>
      <c r="M19" s="3">
        <f>SUM(表2_4[[#This Row],[吃饭]:[学习阅读]])</f>
        <v>124</v>
      </c>
      <c r="N19" s="3">
        <f>表2_4[[#This Row],[合计]]-表2_4[[#This Row],[房租]]-表2_4[[#This Row],[水电话费]]</f>
        <v>124</v>
      </c>
    </row>
    <row r="20" spans="1:14" x14ac:dyDescent="0.3">
      <c r="A20" s="1">
        <v>45370</v>
      </c>
      <c r="B20" s="3">
        <f t="shared" si="0"/>
        <v>34</v>
      </c>
      <c r="C20" s="3"/>
      <c r="D20" s="3">
        <v>90</v>
      </c>
      <c r="E20" s="3"/>
      <c r="F20" s="3"/>
      <c r="G20" s="3"/>
      <c r="H20" s="3"/>
      <c r="I20" s="3"/>
      <c r="J20" s="3"/>
      <c r="K20" s="3"/>
      <c r="L20" s="3"/>
      <c r="M20" s="3">
        <f>SUM(表2_4[[#This Row],[吃饭]:[学习阅读]])</f>
        <v>124</v>
      </c>
      <c r="N20" s="3">
        <f>表2_4[[#This Row],[合计]]-表2_4[[#This Row],[房租]]-表2_4[[#This Row],[水电话费]]</f>
        <v>124</v>
      </c>
    </row>
    <row r="21" spans="1:14" x14ac:dyDescent="0.3">
      <c r="A21" s="1">
        <v>45371</v>
      </c>
      <c r="B21" s="3">
        <f t="shared" si="0"/>
        <v>34</v>
      </c>
      <c r="C21" s="3"/>
      <c r="D21" s="3">
        <v>90</v>
      </c>
      <c r="E21" s="3"/>
      <c r="F21" s="3"/>
      <c r="G21" s="3"/>
      <c r="H21" s="3"/>
      <c r="I21" s="3"/>
      <c r="J21" s="3"/>
      <c r="K21" s="3"/>
      <c r="L21" s="3"/>
      <c r="M21" s="3">
        <f>SUM(表2_4[[#This Row],[吃饭]:[学习阅读]])</f>
        <v>124</v>
      </c>
      <c r="N21" s="3">
        <f>表2_4[[#This Row],[合计]]-表2_4[[#This Row],[房租]]-表2_4[[#This Row],[水电话费]]</f>
        <v>124</v>
      </c>
    </row>
    <row r="22" spans="1:14" x14ac:dyDescent="0.3">
      <c r="A22" s="1">
        <v>45372</v>
      </c>
      <c r="B22" s="3">
        <f t="shared" si="0"/>
        <v>34</v>
      </c>
      <c r="C22" s="3"/>
      <c r="D22" s="3">
        <v>90</v>
      </c>
      <c r="E22" s="3"/>
      <c r="F22" s="3"/>
      <c r="G22" s="3"/>
      <c r="H22" s="3"/>
      <c r="I22" s="3"/>
      <c r="J22" s="3"/>
      <c r="K22" s="3"/>
      <c r="L22" s="3"/>
      <c r="M22" s="3">
        <f>SUM(表2_4[[#This Row],[吃饭]:[学习阅读]])</f>
        <v>124</v>
      </c>
      <c r="N22" s="3">
        <f>表2_4[[#This Row],[合计]]-表2_4[[#This Row],[房租]]-表2_4[[#This Row],[水电话费]]</f>
        <v>124</v>
      </c>
    </row>
    <row r="23" spans="1:14" x14ac:dyDescent="0.3">
      <c r="A23" s="1">
        <v>45373</v>
      </c>
      <c r="B23" s="3">
        <f t="shared" si="0"/>
        <v>34</v>
      </c>
      <c r="C23" s="3"/>
      <c r="D23" s="3">
        <v>90</v>
      </c>
      <c r="E23" s="3"/>
      <c r="F23" s="3"/>
      <c r="G23" s="3"/>
      <c r="H23" s="3"/>
      <c r="I23" s="3"/>
      <c r="J23" s="3"/>
      <c r="K23" s="3"/>
      <c r="L23" s="3"/>
      <c r="M23" s="3">
        <f>SUM(表2_4[[#This Row],[吃饭]:[学习阅读]])</f>
        <v>124</v>
      </c>
      <c r="N23" s="3">
        <f>表2_4[[#This Row],[合计]]-表2_4[[#This Row],[房租]]-表2_4[[#This Row],[水电话费]]</f>
        <v>124</v>
      </c>
    </row>
    <row r="24" spans="1:14" x14ac:dyDescent="0.3">
      <c r="A24" s="1">
        <v>45374</v>
      </c>
      <c r="B24" s="3">
        <f t="shared" si="0"/>
        <v>34</v>
      </c>
      <c r="C24" s="3"/>
      <c r="D24" s="3">
        <v>90</v>
      </c>
      <c r="E24" s="3"/>
      <c r="F24" s="3"/>
      <c r="G24" s="3"/>
      <c r="H24" s="3"/>
      <c r="I24" s="3"/>
      <c r="J24" s="3"/>
      <c r="K24" s="3"/>
      <c r="L24" s="3"/>
      <c r="M24" s="3">
        <f>SUM(表2_4[[#This Row],[吃饭]:[学习阅读]])</f>
        <v>124</v>
      </c>
      <c r="N24" s="3">
        <f>表2_4[[#This Row],[合计]]-表2_4[[#This Row],[房租]]-表2_4[[#This Row],[水电话费]]</f>
        <v>124</v>
      </c>
    </row>
    <row r="25" spans="1:14" x14ac:dyDescent="0.3">
      <c r="A25" s="1">
        <v>45375</v>
      </c>
      <c r="B25" s="3">
        <f t="shared" si="0"/>
        <v>34</v>
      </c>
      <c r="C25" s="3"/>
      <c r="D25" s="3">
        <v>90</v>
      </c>
      <c r="E25" s="3"/>
      <c r="F25" s="3"/>
      <c r="G25" s="3"/>
      <c r="H25" s="3"/>
      <c r="I25" s="3"/>
      <c r="J25" s="3"/>
      <c r="K25" s="3"/>
      <c r="L25" s="3"/>
      <c r="M25" s="3">
        <f>SUM(表2_4[[#This Row],[吃饭]:[学习阅读]])</f>
        <v>124</v>
      </c>
      <c r="N25" s="3">
        <f>表2_4[[#This Row],[合计]]-表2_4[[#This Row],[房租]]-表2_4[[#This Row],[水电话费]]</f>
        <v>124</v>
      </c>
    </row>
    <row r="26" spans="1:14" x14ac:dyDescent="0.3">
      <c r="A26" s="1">
        <v>45376</v>
      </c>
      <c r="B26" s="3">
        <f t="shared" si="0"/>
        <v>34</v>
      </c>
      <c r="C26" s="3"/>
      <c r="D26" s="3">
        <v>90</v>
      </c>
      <c r="E26" s="3"/>
      <c r="F26" s="3"/>
      <c r="G26" s="3"/>
      <c r="H26" s="3"/>
      <c r="I26" s="3"/>
      <c r="J26" s="3"/>
      <c r="K26" s="3"/>
      <c r="L26" s="3"/>
      <c r="M26" s="3">
        <f>SUM(表2_4[[#This Row],[吃饭]:[学习阅读]])</f>
        <v>124</v>
      </c>
      <c r="N26" s="3">
        <f>表2_4[[#This Row],[合计]]-表2_4[[#This Row],[房租]]-表2_4[[#This Row],[水电话费]]</f>
        <v>124</v>
      </c>
    </row>
    <row r="27" spans="1:14" x14ac:dyDescent="0.3">
      <c r="A27" s="1">
        <v>45377</v>
      </c>
      <c r="B27" s="3">
        <f t="shared" si="0"/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SUM(表2_4[[#This Row],[吃饭]:[学习阅读]])</f>
        <v>124</v>
      </c>
      <c r="N27" s="3">
        <f>表2_4[[#This Row],[合计]]-表2_4[[#This Row],[房租]]-表2_4[[#This Row],[水电话费]]</f>
        <v>124</v>
      </c>
    </row>
    <row r="28" spans="1:14" x14ac:dyDescent="0.3">
      <c r="A28" s="1">
        <v>45378</v>
      </c>
      <c r="B28" s="3">
        <f t="shared" si="0"/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SUM(表2_4[[#This Row],[吃饭]:[学习阅读]])</f>
        <v>124</v>
      </c>
      <c r="N28" s="3">
        <f>表2_4[[#This Row],[合计]]-表2_4[[#This Row],[房租]]-表2_4[[#This Row],[水电话费]]</f>
        <v>124</v>
      </c>
    </row>
    <row r="29" spans="1:14" x14ac:dyDescent="0.3">
      <c r="A29" s="1">
        <v>45379</v>
      </c>
      <c r="B29" s="3">
        <f t="shared" si="0"/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SUM(表2_4[[#This Row],[吃饭]:[学习阅读]])</f>
        <v>124</v>
      </c>
      <c r="N29" s="3">
        <f>表2_4[[#This Row],[合计]]-表2_4[[#This Row],[房租]]-表2_4[[#This Row],[水电话费]]</f>
        <v>124</v>
      </c>
    </row>
    <row r="30" spans="1:14" x14ac:dyDescent="0.3">
      <c r="A30" s="1">
        <v>45380</v>
      </c>
      <c r="B30" s="3">
        <f t="shared" si="0"/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SUM(表2_4[[#This Row],[吃饭]:[学习阅读]])</f>
        <v>124</v>
      </c>
      <c r="N30" s="3">
        <f>表2_4[[#This Row],[合计]]-表2_4[[#This Row],[房租]]-表2_4[[#This Row],[水电话费]]</f>
        <v>124</v>
      </c>
    </row>
    <row r="31" spans="1:14" x14ac:dyDescent="0.3">
      <c r="A31" s="1">
        <v>45381</v>
      </c>
      <c r="B31" s="3">
        <f t="shared" si="0"/>
        <v>34</v>
      </c>
      <c r="C31" s="3"/>
      <c r="D31" s="3">
        <v>90</v>
      </c>
      <c r="E31" s="3"/>
      <c r="F31" s="3"/>
      <c r="G31" s="3"/>
      <c r="H31" s="3"/>
      <c r="I31" s="3"/>
      <c r="J31" s="3"/>
      <c r="K31" s="3"/>
      <c r="L31" s="3"/>
      <c r="M31" s="3">
        <f>SUM(表2_4[[#This Row],[吃饭]:[学习阅读]])</f>
        <v>124</v>
      </c>
      <c r="N31" s="3">
        <f>表2_4[[#This Row],[合计]]-表2_4[[#This Row],[房租]]-表2_4[[#This Row],[水电话费]]</f>
        <v>124</v>
      </c>
    </row>
    <row r="32" spans="1:14" x14ac:dyDescent="0.3">
      <c r="A32" s="1">
        <v>45382</v>
      </c>
      <c r="B32" s="3">
        <f t="shared" si="0"/>
        <v>34</v>
      </c>
      <c r="C32" s="3"/>
      <c r="D32" s="3">
        <v>90</v>
      </c>
      <c r="E32" s="3"/>
      <c r="F32" s="3"/>
      <c r="G32" s="3"/>
      <c r="H32" s="3"/>
      <c r="I32" s="3"/>
      <c r="J32" s="3"/>
      <c r="K32" s="3"/>
      <c r="L32" s="3"/>
      <c r="M32" s="3">
        <f>SUM(表2_4[[#This Row],[吃饭]:[学习阅读]])</f>
        <v>124</v>
      </c>
      <c r="N32" s="3">
        <f>表2_4[[#This Row],[合计]]-表2_4[[#This Row],[房租]]-表2_4[[#This Row],[水电话费]]</f>
        <v>124</v>
      </c>
    </row>
    <row r="33" spans="1:14" ht="37.25" customHeight="1" x14ac:dyDescent="0.3">
      <c r="A33" s="4" t="s">
        <v>11</v>
      </c>
      <c r="B33" s="3">
        <f>SUM(B2:B32)</f>
        <v>1054</v>
      </c>
      <c r="C33" s="3">
        <f t="shared" ref="C33:I33" si="1">SUM(C2:C32)</f>
        <v>0</v>
      </c>
      <c r="D33" s="3">
        <f>SUM(D2:D32)</f>
        <v>2790</v>
      </c>
      <c r="E33" s="3">
        <f t="shared" si="1"/>
        <v>0</v>
      </c>
      <c r="F33" s="3">
        <f>SUM(F2:F32)</f>
        <v>0</v>
      </c>
      <c r="G33" s="3">
        <f t="shared" si="1"/>
        <v>2100</v>
      </c>
      <c r="H33" s="3">
        <f t="shared" si="1"/>
        <v>0</v>
      </c>
      <c r="I33" s="3">
        <f t="shared" si="1"/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5944</v>
      </c>
      <c r="N33" s="3">
        <f>表2_4[[#This Row],[合计]]-表2_4[[#This Row],[房租]]-表2_4[[#This Row],[水电话费]]</f>
        <v>5944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5944</v>
      </c>
      <c r="M34" s="3"/>
    </row>
  </sheetData>
  <phoneticPr fontId="1" type="noConversion"/>
  <conditionalFormatting sqref="N2:N32">
    <cfRule type="cellIs" dxfId="278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693D-6DD3-4F12-A4CB-6FD7B54F185C}">
  <dimension ref="A1:N33"/>
  <sheetViews>
    <sheetView workbookViewId="0">
      <selection activeCell="D37" sqref="D37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45383</v>
      </c>
      <c r="B2" s="3">
        <f>170/5</f>
        <v>34</v>
      </c>
      <c r="C2" s="3"/>
      <c r="D2" s="3">
        <v>90</v>
      </c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SUM(表2_45[[#This Row],[吃饭]:[学习阅读]])</f>
        <v>268.19354838709677</v>
      </c>
      <c r="N2" s="3">
        <f>表2_45[[#This Row],[合计]]-表2_45[[#This Row],[房租]]-表2_45[[#This Row],[水电话费]]</f>
        <v>124</v>
      </c>
    </row>
    <row r="3" spans="1:14" x14ac:dyDescent="0.3">
      <c r="A3" s="1">
        <v>45384</v>
      </c>
      <c r="B3" s="3">
        <f t="shared" ref="B3:B31" si="0">170/5</f>
        <v>34</v>
      </c>
      <c r="C3" s="3"/>
      <c r="D3" s="3">
        <v>90</v>
      </c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SUM(表2_45[[#This Row],[吃饭]:[学习阅读]])</f>
        <v>168.19354838709677</v>
      </c>
      <c r="N3" s="3">
        <f>表2_45[[#This Row],[合计]]-表2_45[[#This Row],[房租]]-表2_45[[#This Row],[水电话费]]</f>
        <v>124</v>
      </c>
    </row>
    <row r="4" spans="1:14" x14ac:dyDescent="0.3">
      <c r="A4" s="1">
        <v>45385</v>
      </c>
      <c r="B4" s="3">
        <f t="shared" si="0"/>
        <v>34</v>
      </c>
      <c r="C4" s="3"/>
      <c r="D4" s="3">
        <v>90</v>
      </c>
      <c r="E4" s="3"/>
      <c r="F4" s="3"/>
      <c r="G4" s="3"/>
      <c r="H4" s="3">
        <v>44.193548387096776</v>
      </c>
      <c r="I4" s="3"/>
      <c r="J4" s="3"/>
      <c r="K4" s="3"/>
      <c r="L4" s="3">
        <v>550</v>
      </c>
      <c r="M4" s="3">
        <f>SUM(表2_45[[#This Row],[吃饭]:[学习阅读]])</f>
        <v>718.19354838709683</v>
      </c>
      <c r="N4" s="3">
        <f>表2_45[[#This Row],[合计]]-表2_45[[#This Row],[房租]]-表2_45[[#This Row],[水电话费]]</f>
        <v>674</v>
      </c>
    </row>
    <row r="5" spans="1:14" x14ac:dyDescent="0.3">
      <c r="A5" s="1">
        <v>45386</v>
      </c>
      <c r="B5" s="3">
        <f t="shared" si="0"/>
        <v>34</v>
      </c>
      <c r="C5" s="3"/>
      <c r="D5" s="3">
        <v>90</v>
      </c>
      <c r="E5" s="3"/>
      <c r="F5" s="3"/>
      <c r="G5" s="3"/>
      <c r="H5" s="3">
        <v>44.193548387096776</v>
      </c>
      <c r="I5" s="3"/>
      <c r="J5" s="3"/>
      <c r="K5" s="3"/>
      <c r="L5" s="3"/>
      <c r="M5" s="3">
        <f>SUM(表2_45[[#This Row],[吃饭]:[学习阅读]])</f>
        <v>168.19354838709677</v>
      </c>
      <c r="N5" s="3">
        <f>表2_45[[#This Row],[合计]]-表2_45[[#This Row],[房租]]-表2_45[[#This Row],[水电话费]]</f>
        <v>124</v>
      </c>
    </row>
    <row r="6" spans="1:14" x14ac:dyDescent="0.3">
      <c r="A6" s="1">
        <v>45387</v>
      </c>
      <c r="B6" s="3">
        <f t="shared" si="0"/>
        <v>34</v>
      </c>
      <c r="C6" s="3"/>
      <c r="D6" s="3">
        <v>90</v>
      </c>
      <c r="E6" s="3"/>
      <c r="F6" s="3"/>
      <c r="G6" s="3"/>
      <c r="H6" s="3">
        <v>44.193548387096776</v>
      </c>
      <c r="I6" s="3"/>
      <c r="J6" s="3"/>
      <c r="K6" s="3"/>
      <c r="L6" s="3"/>
      <c r="M6" s="3">
        <f>SUM(表2_45[[#This Row],[吃饭]:[学习阅读]])</f>
        <v>168.19354838709677</v>
      </c>
      <c r="N6" s="3">
        <f>表2_45[[#This Row],[合计]]-表2_45[[#This Row],[房租]]-表2_45[[#This Row],[水电话费]]</f>
        <v>124</v>
      </c>
    </row>
    <row r="7" spans="1:14" x14ac:dyDescent="0.3">
      <c r="A7" s="1">
        <v>45388</v>
      </c>
      <c r="B7" s="3">
        <f t="shared" si="0"/>
        <v>34</v>
      </c>
      <c r="C7" s="3"/>
      <c r="D7" s="3">
        <v>90</v>
      </c>
      <c r="E7" s="3">
        <v>500</v>
      </c>
      <c r="F7" s="3"/>
      <c r="G7" s="3"/>
      <c r="H7" s="3">
        <v>44.193548387096776</v>
      </c>
      <c r="I7" s="3"/>
      <c r="J7" s="3"/>
      <c r="K7" s="3"/>
      <c r="L7" s="3"/>
      <c r="M7" s="3">
        <f>SUM(表2_45[[#This Row],[吃饭]:[学习阅读]])</f>
        <v>668.19354838709683</v>
      </c>
      <c r="N7" s="3">
        <f>表2_45[[#This Row],[合计]]-表2_45[[#This Row],[房租]]-表2_45[[#This Row],[水电话费]]</f>
        <v>624</v>
      </c>
    </row>
    <row r="8" spans="1:14" x14ac:dyDescent="0.3">
      <c r="A8" s="1">
        <v>45389</v>
      </c>
      <c r="B8" s="3">
        <f t="shared" si="0"/>
        <v>34</v>
      </c>
      <c r="C8" s="3"/>
      <c r="D8" s="3">
        <v>90</v>
      </c>
      <c r="E8" s="3"/>
      <c r="F8" s="3"/>
      <c r="G8" s="3"/>
      <c r="H8" s="3">
        <v>44.193548387096776</v>
      </c>
      <c r="I8" s="3"/>
      <c r="J8" s="3"/>
      <c r="K8" s="3"/>
      <c r="L8" s="3"/>
      <c r="M8" s="3">
        <f>SUM(表2_45[[#This Row],[吃饭]:[学习阅读]])</f>
        <v>168.19354838709677</v>
      </c>
      <c r="N8" s="3">
        <f>表2_45[[#This Row],[合计]]-表2_45[[#This Row],[房租]]-表2_45[[#This Row],[水电话费]]</f>
        <v>124</v>
      </c>
    </row>
    <row r="9" spans="1:14" x14ac:dyDescent="0.3">
      <c r="A9" s="1">
        <v>45390</v>
      </c>
      <c r="B9" s="3">
        <f t="shared" si="0"/>
        <v>34</v>
      </c>
      <c r="C9" s="3"/>
      <c r="D9" s="3">
        <v>90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SUM(表2_45[[#This Row],[吃饭]:[学习阅读]])</f>
        <v>168.19354838709677</v>
      </c>
      <c r="N9" s="3">
        <f>表2_45[[#This Row],[合计]]-表2_45[[#This Row],[房租]]-表2_45[[#This Row],[水电话费]]</f>
        <v>124</v>
      </c>
    </row>
    <row r="10" spans="1:14" x14ac:dyDescent="0.3">
      <c r="A10" s="1">
        <v>45391</v>
      </c>
      <c r="B10" s="3">
        <f t="shared" si="0"/>
        <v>34</v>
      </c>
      <c r="C10" s="3"/>
      <c r="D10" s="3">
        <v>90</v>
      </c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SUM(表2_45[[#This Row],[吃饭]:[学习阅读]])</f>
        <v>168.19354838709677</v>
      </c>
      <c r="N10" s="3">
        <f>表2_45[[#This Row],[合计]]-表2_45[[#This Row],[房租]]-表2_45[[#This Row],[水电话费]]</f>
        <v>124</v>
      </c>
    </row>
    <row r="11" spans="1:14" x14ac:dyDescent="0.3">
      <c r="A11" s="1">
        <v>45392</v>
      </c>
      <c r="B11" s="3">
        <f t="shared" si="0"/>
        <v>34</v>
      </c>
      <c r="C11" s="3"/>
      <c r="D11" s="3">
        <v>90</v>
      </c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SUM(表2_45[[#This Row],[吃饭]:[学习阅读]])</f>
        <v>168.19354838709677</v>
      </c>
      <c r="N11" s="3">
        <f>表2_45[[#This Row],[合计]]-表2_45[[#This Row],[房租]]-表2_45[[#This Row],[水电话费]]</f>
        <v>124</v>
      </c>
    </row>
    <row r="12" spans="1:14" x14ac:dyDescent="0.3">
      <c r="A12" s="1">
        <v>45393</v>
      </c>
      <c r="B12" s="3">
        <f t="shared" si="0"/>
        <v>34</v>
      </c>
      <c r="C12" s="3"/>
      <c r="D12" s="3">
        <v>90</v>
      </c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SUM(表2_45[[#This Row],[吃饭]:[学习阅读]])</f>
        <v>168.19354838709677</v>
      </c>
      <c r="N12" s="3">
        <f>表2_45[[#This Row],[合计]]-表2_45[[#This Row],[房租]]-表2_45[[#This Row],[水电话费]]</f>
        <v>124</v>
      </c>
    </row>
    <row r="13" spans="1:14" x14ac:dyDescent="0.3">
      <c r="A13" s="1">
        <v>45394</v>
      </c>
      <c r="B13" s="3">
        <f t="shared" si="0"/>
        <v>34</v>
      </c>
      <c r="C13" s="3"/>
      <c r="D13" s="3">
        <v>90</v>
      </c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SUM(表2_45[[#This Row],[吃饭]:[学习阅读]])</f>
        <v>168.19354838709677</v>
      </c>
      <c r="N13" s="3">
        <f>表2_45[[#This Row],[合计]]-表2_45[[#This Row],[房租]]-表2_45[[#This Row],[水电话费]]</f>
        <v>124</v>
      </c>
    </row>
    <row r="14" spans="1:14" x14ac:dyDescent="0.3">
      <c r="A14" s="1">
        <v>45395</v>
      </c>
      <c r="B14" s="3">
        <f t="shared" si="0"/>
        <v>34</v>
      </c>
      <c r="C14" s="3"/>
      <c r="D14" s="3">
        <v>90</v>
      </c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SUM(表2_45[[#This Row],[吃饭]:[学习阅读]])</f>
        <v>168.19354838709677</v>
      </c>
      <c r="N14" s="3">
        <f>表2_45[[#This Row],[合计]]-表2_45[[#This Row],[房租]]-表2_45[[#This Row],[水电话费]]</f>
        <v>124</v>
      </c>
    </row>
    <row r="15" spans="1:14" x14ac:dyDescent="0.3">
      <c r="A15" s="1">
        <v>45396</v>
      </c>
      <c r="B15" s="3">
        <f>170/5+36.97</f>
        <v>70.97</v>
      </c>
      <c r="C15" s="3"/>
      <c r="D15" s="3"/>
      <c r="E15" s="3">
        <f>6.63+12</f>
        <v>18.63</v>
      </c>
      <c r="F15" s="3"/>
      <c r="G15" s="3"/>
      <c r="H15" s="3">
        <v>44.193548387096776</v>
      </c>
      <c r="I15" s="3"/>
      <c r="J15" s="3"/>
      <c r="K15" s="3"/>
      <c r="L15" s="3"/>
      <c r="M15" s="3">
        <f>SUM(表2_45[[#This Row],[吃饭]:[学习阅读]])</f>
        <v>133.79354838709676</v>
      </c>
      <c r="N15" s="3">
        <f>表2_45[[#This Row],[合计]]-表2_45[[#This Row],[房租]]-表2_45[[#This Row],[水电话费]]</f>
        <v>89.6</v>
      </c>
    </row>
    <row r="16" spans="1:14" x14ac:dyDescent="0.3">
      <c r="A16" s="1">
        <v>45397</v>
      </c>
      <c r="B16" s="3">
        <f>170/5+1.5</f>
        <v>35.5</v>
      </c>
      <c r="C16" s="3"/>
      <c r="D16" s="3"/>
      <c r="E16" s="3"/>
      <c r="F16" s="3"/>
      <c r="G16" s="3">
        <f>15</f>
        <v>15</v>
      </c>
      <c r="H16" s="3">
        <v>44.193548387096776</v>
      </c>
      <c r="I16" s="3">
        <v>90</v>
      </c>
      <c r="J16" s="3"/>
      <c r="K16" s="3">
        <v>2</v>
      </c>
      <c r="L16" s="3"/>
      <c r="M16" s="3">
        <f>SUM(表2_45[[#This Row],[吃饭]:[学习阅读]])</f>
        <v>186.69354838709677</v>
      </c>
      <c r="N16" s="3">
        <f>表2_45[[#This Row],[合计]]-表2_45[[#This Row],[房租]]-表2_45[[#This Row],[水电话费]]</f>
        <v>52.5</v>
      </c>
    </row>
    <row r="17" spans="1:14" x14ac:dyDescent="0.3">
      <c r="A17" s="1">
        <v>45398</v>
      </c>
      <c r="B17" s="3">
        <f>170/5+7</f>
        <v>41</v>
      </c>
      <c r="C17" s="3">
        <f>5.5+4</f>
        <v>9.5</v>
      </c>
      <c r="D17" s="3"/>
      <c r="E17" s="3"/>
      <c r="F17" s="3"/>
      <c r="G17" s="3">
        <v>35</v>
      </c>
      <c r="H17" s="3">
        <v>44.193548387096776</v>
      </c>
      <c r="I17" s="3"/>
      <c r="J17" s="3"/>
      <c r="K17" s="3"/>
      <c r="L17" s="3"/>
      <c r="M17" s="3">
        <f>SUM(表2_45[[#This Row],[吃饭]:[学习阅读]])</f>
        <v>129.69354838709677</v>
      </c>
      <c r="N17" s="3">
        <f>表2_45[[#This Row],[合计]]-表2_45[[#This Row],[房租]]-表2_45[[#This Row],[水电话费]]</f>
        <v>85.5</v>
      </c>
    </row>
    <row r="18" spans="1:14" x14ac:dyDescent="0.3">
      <c r="A18" s="1">
        <v>45399</v>
      </c>
      <c r="B18" s="3">
        <f>170/5+2.5+8.5</f>
        <v>45</v>
      </c>
      <c r="C18" s="3"/>
      <c r="D18" s="3"/>
      <c r="E18" s="3">
        <v>10</v>
      </c>
      <c r="F18" s="3"/>
      <c r="G18" s="3"/>
      <c r="H18" s="3">
        <v>44.193548387096776</v>
      </c>
      <c r="I18" s="3"/>
      <c r="J18" s="3"/>
      <c r="K18" s="3"/>
      <c r="L18" s="3"/>
      <c r="M18" s="3">
        <f>SUM(表2_45[[#This Row],[吃饭]:[学习阅读]])</f>
        <v>99.193548387096769</v>
      </c>
      <c r="N18" s="3">
        <f>表2_45[[#This Row],[合计]]-表2_45[[#This Row],[房租]]-表2_45[[#This Row],[水电话费]]</f>
        <v>54.999999999999993</v>
      </c>
    </row>
    <row r="19" spans="1:14" x14ac:dyDescent="0.3">
      <c r="A19" s="1">
        <v>45400</v>
      </c>
      <c r="B19" s="3">
        <f>170/5+1.6+3.8+15+2.3</f>
        <v>56.699999999999996</v>
      </c>
      <c r="C19" s="3">
        <v>5.5</v>
      </c>
      <c r="D19" s="3"/>
      <c r="E19" s="3"/>
      <c r="F19" s="3">
        <v>16</v>
      </c>
      <c r="G19" s="3"/>
      <c r="H19" s="3">
        <v>44.193548387096776</v>
      </c>
      <c r="I19" s="3"/>
      <c r="J19" s="3"/>
      <c r="K19" s="3"/>
      <c r="L19" s="3"/>
      <c r="M19" s="3">
        <f>SUM(表2_45[[#This Row],[吃饭]:[学习阅读]])</f>
        <v>122.39354838709676</v>
      </c>
      <c r="N19" s="3">
        <f>表2_45[[#This Row],[合计]]-表2_45[[#This Row],[房租]]-表2_45[[#This Row],[水电话费]]</f>
        <v>78.199999999999989</v>
      </c>
    </row>
    <row r="20" spans="1:14" x14ac:dyDescent="0.3">
      <c r="A20" s="1">
        <v>45401</v>
      </c>
      <c r="B20" s="3">
        <f t="shared" si="0"/>
        <v>34</v>
      </c>
      <c r="C20" s="3">
        <v>50</v>
      </c>
      <c r="D20" s="3"/>
      <c r="E20" s="3">
        <v>30</v>
      </c>
      <c r="F20" s="3"/>
      <c r="G20" s="3"/>
      <c r="H20" s="3">
        <v>44.193548387096776</v>
      </c>
      <c r="I20" s="3"/>
      <c r="J20" s="3"/>
      <c r="K20" s="3">
        <v>2</v>
      </c>
      <c r="L20" s="3"/>
      <c r="M20" s="3">
        <f>SUM(表2_45[[#This Row],[吃饭]:[学习阅读]])</f>
        <v>160.19354838709677</v>
      </c>
      <c r="N20" s="3">
        <f>表2_45[[#This Row],[合计]]-表2_45[[#This Row],[房租]]-表2_45[[#This Row],[水电话费]]</f>
        <v>116</v>
      </c>
    </row>
    <row r="21" spans="1:14" x14ac:dyDescent="0.3">
      <c r="A21" s="1">
        <v>45402</v>
      </c>
      <c r="B21" s="3">
        <f t="shared" si="0"/>
        <v>34</v>
      </c>
      <c r="C21" s="3"/>
      <c r="D21" s="3"/>
      <c r="E21" s="3"/>
      <c r="F21" s="3"/>
      <c r="G21" s="3"/>
      <c r="H21" s="3">
        <v>44.193548387096776</v>
      </c>
      <c r="I21" s="3"/>
      <c r="J21" s="3"/>
      <c r="K21" s="3"/>
      <c r="L21" s="3"/>
      <c r="M21" s="3">
        <f>SUM(表2_45[[#This Row],[吃饭]:[学习阅读]])</f>
        <v>78.193548387096769</v>
      </c>
      <c r="N21" s="3">
        <f>表2_45[[#This Row],[合计]]-表2_45[[#This Row],[房租]]-表2_45[[#This Row],[水电话费]]</f>
        <v>33.999999999999993</v>
      </c>
    </row>
    <row r="22" spans="1:14" x14ac:dyDescent="0.3">
      <c r="A22" s="1">
        <v>45403</v>
      </c>
      <c r="B22" s="3">
        <f>170/5+12.5+6.4+6+10.5+1.7</f>
        <v>71.100000000000009</v>
      </c>
      <c r="C22" s="3"/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SUM(表2_45[[#This Row],[吃饭]:[学习阅读]])</f>
        <v>115.29354838709679</v>
      </c>
      <c r="N22" s="3">
        <f>表2_45[[#This Row],[合计]]-表2_45[[#This Row],[房租]]-表2_45[[#This Row],[水电话费]]</f>
        <v>71.100000000000023</v>
      </c>
    </row>
    <row r="23" spans="1:14" x14ac:dyDescent="0.3">
      <c r="A23" s="1">
        <v>45404</v>
      </c>
      <c r="B23" s="3">
        <f t="shared" si="0"/>
        <v>34</v>
      </c>
      <c r="C23" s="3"/>
      <c r="D23" s="3"/>
      <c r="E23" s="3">
        <v>10</v>
      </c>
      <c r="F23" s="3"/>
      <c r="G23" s="3"/>
      <c r="H23" s="3">
        <v>44.193548387096776</v>
      </c>
      <c r="I23" s="3"/>
      <c r="J23" s="3"/>
      <c r="K23" s="3"/>
      <c r="L23" s="3"/>
      <c r="M23" s="3">
        <f>SUM(表2_45[[#This Row],[吃饭]:[学习阅读]])</f>
        <v>88.193548387096769</v>
      </c>
      <c r="N23" s="3">
        <f>表2_45[[#This Row],[合计]]-表2_45[[#This Row],[房租]]-表2_45[[#This Row],[水电话费]]</f>
        <v>43.999999999999993</v>
      </c>
    </row>
    <row r="24" spans="1:14" x14ac:dyDescent="0.3">
      <c r="A24" s="1">
        <v>45405</v>
      </c>
      <c r="B24" s="3">
        <f>170/5+2.5+29.9</f>
        <v>66.400000000000006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SUM(表2_45[[#This Row],[吃饭]:[学习阅读]])</f>
        <v>113.59354838709677</v>
      </c>
      <c r="N24" s="3">
        <f>表2_45[[#This Row],[合计]]-表2_45[[#This Row],[房租]]-表2_45[[#This Row],[水电话费]]</f>
        <v>69.400000000000006</v>
      </c>
    </row>
    <row r="25" spans="1:14" x14ac:dyDescent="0.3">
      <c r="A25" s="1">
        <v>45406</v>
      </c>
      <c r="B25" s="3">
        <f>170/5+2.5+13</f>
        <v>49.5</v>
      </c>
      <c r="C25" s="3"/>
      <c r="D25" s="3"/>
      <c r="E25" s="3"/>
      <c r="F25" s="3">
        <v>12</v>
      </c>
      <c r="G25" s="3">
        <v>10</v>
      </c>
      <c r="H25" s="3">
        <v>44.193548387096776</v>
      </c>
      <c r="I25" s="3"/>
      <c r="J25" s="3"/>
      <c r="K25" s="3"/>
      <c r="L25" s="3"/>
      <c r="M25" s="3">
        <f>SUM(表2_45[[#This Row],[吃饭]:[学习阅读]])</f>
        <v>115.69354838709677</v>
      </c>
      <c r="N25" s="3">
        <f>表2_45[[#This Row],[合计]]-表2_45[[#This Row],[房租]]-表2_45[[#This Row],[水电话费]]</f>
        <v>71.5</v>
      </c>
    </row>
    <row r="26" spans="1:14" x14ac:dyDescent="0.3">
      <c r="A26" s="1">
        <v>45407</v>
      </c>
      <c r="B26" s="3">
        <f>170/5+14.7+2.5</f>
        <v>51.2</v>
      </c>
      <c r="C26" s="3"/>
      <c r="D26" s="3"/>
      <c r="E26" s="3"/>
      <c r="F26" s="3"/>
      <c r="G26" s="3"/>
      <c r="H26" s="3">
        <v>44.193548387096776</v>
      </c>
      <c r="I26" s="3"/>
      <c r="J26" s="3"/>
      <c r="K26" s="3"/>
      <c r="L26" s="3"/>
      <c r="M26" s="3">
        <f>SUM(表2_45[[#This Row],[吃饭]:[学习阅读]])</f>
        <v>95.393548387096786</v>
      </c>
      <c r="N26" s="3">
        <f>表2_45[[#This Row],[合计]]-表2_45[[#This Row],[房租]]-表2_45[[#This Row],[水电话费]]</f>
        <v>51.20000000000001</v>
      </c>
    </row>
    <row r="27" spans="1:14" x14ac:dyDescent="0.3">
      <c r="A27" s="1">
        <v>45408</v>
      </c>
      <c r="B27" s="3">
        <f>170/5+4.5</f>
        <v>38.5</v>
      </c>
      <c r="C27" s="3"/>
      <c r="D27" s="3">
        <v>300</v>
      </c>
      <c r="E27" s="3"/>
      <c r="F27" s="3">
        <v>16</v>
      </c>
      <c r="G27" s="3">
        <v>13.32</v>
      </c>
      <c r="H27" s="3">
        <v>44.193548387096776</v>
      </c>
      <c r="I27" s="3"/>
      <c r="J27" s="3"/>
      <c r="K27" s="3"/>
      <c r="L27" s="3"/>
      <c r="M27" s="3">
        <f>SUM(表2_45[[#This Row],[吃饭]:[学习阅读]])</f>
        <v>412.01354838709676</v>
      </c>
      <c r="N27" s="3">
        <f>表2_45[[#This Row],[合计]]-表2_45[[#This Row],[房租]]-表2_45[[#This Row],[水电话费]]</f>
        <v>367.82</v>
      </c>
    </row>
    <row r="28" spans="1:14" x14ac:dyDescent="0.3">
      <c r="A28" s="1">
        <v>45409</v>
      </c>
      <c r="B28" s="3">
        <f>170/5+29.4+90</f>
        <v>153.4</v>
      </c>
      <c r="C28" s="3"/>
      <c r="D28" s="3"/>
      <c r="E28" s="3"/>
      <c r="F28" s="3"/>
      <c r="G28" s="3">
        <v>99</v>
      </c>
      <c r="H28" s="3">
        <v>44.193548387096776</v>
      </c>
      <c r="I28" s="3"/>
      <c r="J28" s="3"/>
      <c r="K28" s="3"/>
      <c r="L28" s="3"/>
      <c r="M28" s="3">
        <f>SUM(表2_45[[#This Row],[吃饭]:[学习阅读]])</f>
        <v>296.5935483870968</v>
      </c>
      <c r="N28" s="3">
        <f>表2_45[[#This Row],[合计]]-表2_45[[#This Row],[房租]]-表2_45[[#This Row],[水电话费]]</f>
        <v>252.40000000000003</v>
      </c>
    </row>
    <row r="29" spans="1:14" x14ac:dyDescent="0.3">
      <c r="A29" s="1">
        <v>45410</v>
      </c>
      <c r="B29" s="3">
        <f>170/5+300+10</f>
        <v>344</v>
      </c>
      <c r="C29" s="3"/>
      <c r="D29" s="3"/>
      <c r="E29" s="3"/>
      <c r="F29" s="3">
        <v>10</v>
      </c>
      <c r="G29" s="3">
        <f>17.73+23.97</f>
        <v>41.7</v>
      </c>
      <c r="H29" s="3">
        <v>44.193548387096776</v>
      </c>
      <c r="I29" s="3"/>
      <c r="J29" s="3"/>
      <c r="K29" s="3"/>
      <c r="L29" s="3"/>
      <c r="M29" s="3">
        <f>SUM(表2_45[[#This Row],[吃饭]:[学习阅读]])</f>
        <v>439.89354838709676</v>
      </c>
      <c r="N29" s="3">
        <f>表2_45[[#This Row],[合计]]-表2_45[[#This Row],[房租]]-表2_45[[#This Row],[水电话费]]</f>
        <v>395.7</v>
      </c>
    </row>
    <row r="30" spans="1:14" x14ac:dyDescent="0.3">
      <c r="A30" s="1">
        <v>45411</v>
      </c>
      <c r="B30" s="3">
        <f>170/5</f>
        <v>34</v>
      </c>
      <c r="C30" s="3"/>
      <c r="D30" s="3"/>
      <c r="E30" s="3"/>
      <c r="F30" s="3"/>
      <c r="G30" s="3">
        <v>60</v>
      </c>
      <c r="H30" s="3">
        <v>44.193548387096776</v>
      </c>
      <c r="I30" s="3"/>
      <c r="J30" s="3"/>
      <c r="K30" s="3"/>
      <c r="L30" s="3"/>
      <c r="M30" s="3">
        <f>SUM(表2_45[[#This Row],[吃饭]:[学习阅读]])</f>
        <v>138.19354838709677</v>
      </c>
      <c r="N30" s="3">
        <f>表2_45[[#This Row],[合计]]-表2_45[[#This Row],[房租]]-表2_45[[#This Row],[水电话费]]</f>
        <v>94</v>
      </c>
    </row>
    <row r="31" spans="1:14" ht="13.5" customHeight="1" x14ac:dyDescent="0.3">
      <c r="A31" s="1">
        <v>45412</v>
      </c>
      <c r="B31" s="3">
        <f t="shared" si="0"/>
        <v>34</v>
      </c>
      <c r="C31" s="3">
        <v>6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SUM(表2_45[[#This Row],[吃饭]:[学习阅读]])</f>
        <v>84.193548387096769</v>
      </c>
      <c r="N31" s="3">
        <f>表2_45[[#This Row],[合计]]-表2_45[[#This Row],[房租]]-表2_45[[#This Row],[水电话费]]</f>
        <v>39.999999999999993</v>
      </c>
    </row>
    <row r="32" spans="1:14" ht="37.25" customHeight="1" x14ac:dyDescent="0.3">
      <c r="A32" s="4" t="s">
        <v>11</v>
      </c>
      <c r="B32" s="3">
        <f t="shared" ref="B32:M32" si="1">SUM(B2:B31)</f>
        <v>1635.2700000000002</v>
      </c>
      <c r="C32" s="3">
        <f t="shared" si="1"/>
        <v>74</v>
      </c>
      <c r="D32" s="3">
        <f t="shared" si="1"/>
        <v>1470</v>
      </c>
      <c r="E32" s="3">
        <f t="shared" si="1"/>
        <v>568.63</v>
      </c>
      <c r="F32" s="3">
        <f t="shared" si="1"/>
        <v>54</v>
      </c>
      <c r="G32" s="3">
        <f t="shared" si="1"/>
        <v>274.02</v>
      </c>
      <c r="H32" s="3">
        <f>SUM(H2:H31)</f>
        <v>1325.8064516129041</v>
      </c>
      <c r="I32" s="3">
        <f t="shared" si="1"/>
        <v>190</v>
      </c>
      <c r="J32" s="3">
        <f t="shared" si="1"/>
        <v>0</v>
      </c>
      <c r="K32" s="3">
        <f t="shared" si="1"/>
        <v>4</v>
      </c>
      <c r="L32" s="3">
        <f t="shared" si="1"/>
        <v>550</v>
      </c>
      <c r="M32" s="5">
        <f t="shared" si="1"/>
        <v>6145.7264516129017</v>
      </c>
      <c r="N32" s="3">
        <f>表2_45[[#This Row],[合计]]-表2_45[[#This Row],[房租]]-表2_45[[#This Row],[水电话费]]</f>
        <v>4629.9199999999973</v>
      </c>
    </row>
    <row r="33" spans="2:13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6145.7264516129044</v>
      </c>
      <c r="M33" s="3"/>
    </row>
  </sheetData>
  <phoneticPr fontId="1" type="noConversion"/>
  <conditionalFormatting sqref="N2:N31">
    <cfRule type="cellIs" dxfId="247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C17B-91FB-4612-8F80-EF1284AE3528}">
  <dimension ref="A1:N34"/>
  <sheetViews>
    <sheetView workbookViewId="0">
      <selection activeCell="B31" sqref="B31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45413</v>
      </c>
      <c r="B2" s="3">
        <v>17.7</v>
      </c>
      <c r="C2" s="3"/>
      <c r="D2" s="3"/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SUM(表2_47[[#This Row],[吃饭]:[学习阅读]])</f>
        <v>161.89354838709676</v>
      </c>
      <c r="N2" s="3">
        <f>表2_47[[#This Row],[合计]]-表2_47[[#This Row],[房租]]-表2_47[[#This Row],[水电话费]]</f>
        <v>17.699999999999989</v>
      </c>
    </row>
    <row r="3" spans="1:14" x14ac:dyDescent="0.3">
      <c r="A3" s="1">
        <v>45414</v>
      </c>
      <c r="B3" s="3">
        <v>28.41</v>
      </c>
      <c r="C3" s="3"/>
      <c r="D3" s="3"/>
      <c r="E3" s="3"/>
      <c r="F3" s="3"/>
      <c r="G3" s="3">
        <v>5</v>
      </c>
      <c r="H3" s="3">
        <v>44.193548387096776</v>
      </c>
      <c r="I3" s="3"/>
      <c r="J3" s="3"/>
      <c r="K3" s="3"/>
      <c r="L3" s="3"/>
      <c r="M3" s="3">
        <f>SUM(表2_47[[#This Row],[吃饭]:[学习阅读]])</f>
        <v>77.603548387096765</v>
      </c>
      <c r="N3" s="3">
        <f>表2_47[[#This Row],[合计]]-表2_47[[#This Row],[房租]]-表2_47[[#This Row],[水电话费]]</f>
        <v>33.409999999999989</v>
      </c>
    </row>
    <row r="4" spans="1:14" x14ac:dyDescent="0.3">
      <c r="A4" s="1">
        <v>45415</v>
      </c>
      <c r="B4" s="3"/>
      <c r="C4" s="3">
        <v>5</v>
      </c>
      <c r="D4" s="3"/>
      <c r="E4" s="3"/>
      <c r="F4" s="3">
        <v>16</v>
      </c>
      <c r="G4" s="3"/>
      <c r="H4" s="3">
        <v>44.193548387096776</v>
      </c>
      <c r="I4" s="3"/>
      <c r="J4" s="3"/>
      <c r="K4" s="3"/>
      <c r="L4" s="3"/>
      <c r="M4" s="3">
        <f>SUM(表2_47[[#This Row],[吃饭]:[学习阅读]])</f>
        <v>65.193548387096769</v>
      </c>
      <c r="N4" s="3">
        <f>表2_47[[#This Row],[合计]]-表2_47[[#This Row],[房租]]-表2_47[[#This Row],[水电话费]]</f>
        <v>20.999999999999993</v>
      </c>
    </row>
    <row r="5" spans="1:14" x14ac:dyDescent="0.3">
      <c r="A5" s="1">
        <v>45416</v>
      </c>
      <c r="B5" s="3"/>
      <c r="C5" s="3"/>
      <c r="D5" s="3"/>
      <c r="E5" s="3"/>
      <c r="F5" s="3"/>
      <c r="G5" s="3">
        <v>162.31</v>
      </c>
      <c r="H5" s="3">
        <v>44.193548387096776</v>
      </c>
      <c r="I5" s="3"/>
      <c r="J5" s="3"/>
      <c r="K5" s="3"/>
      <c r="L5" s="3"/>
      <c r="M5" s="3">
        <f>SUM(表2_47[[#This Row],[吃饭]:[学习阅读]])</f>
        <v>206.50354838709677</v>
      </c>
      <c r="N5" s="3">
        <f>表2_47[[#This Row],[合计]]-表2_47[[#This Row],[房租]]-表2_47[[#This Row],[水电话费]]</f>
        <v>162.31</v>
      </c>
    </row>
    <row r="6" spans="1:14" x14ac:dyDescent="0.3">
      <c r="A6" s="1">
        <v>45417</v>
      </c>
      <c r="B6" s="3">
        <v>28.9</v>
      </c>
      <c r="C6" s="3"/>
      <c r="D6" s="3">
        <f>(10.78+11.3+14.89+8.8+6.4+5.82)/2</f>
        <v>28.994999999999997</v>
      </c>
      <c r="E6" s="3">
        <v>15</v>
      </c>
      <c r="F6" s="3"/>
      <c r="G6" s="3"/>
      <c r="H6" s="3">
        <v>44.193548387096776</v>
      </c>
      <c r="I6" s="3"/>
      <c r="J6" s="3"/>
      <c r="K6" s="3"/>
      <c r="L6" s="3"/>
      <c r="M6" s="3">
        <f>SUM(表2_47[[#This Row],[吃饭]:[学习阅读]])</f>
        <v>117.08854838709678</v>
      </c>
      <c r="N6" s="3">
        <f>表2_47[[#This Row],[合计]]-表2_47[[#This Row],[房租]]-表2_47[[#This Row],[水电话费]]</f>
        <v>72.89500000000001</v>
      </c>
    </row>
    <row r="7" spans="1:14" x14ac:dyDescent="0.3">
      <c r="A7" s="1">
        <v>45418</v>
      </c>
      <c r="B7" s="3">
        <v>5</v>
      </c>
      <c r="C7" s="3">
        <v>2.5</v>
      </c>
      <c r="D7" s="3"/>
      <c r="E7" s="3"/>
      <c r="F7" s="3">
        <v>10</v>
      </c>
      <c r="G7" s="3">
        <f>(10.78+11.3+14.89+8.8+6.4+5.82)/2</f>
        <v>28.994999999999997</v>
      </c>
      <c r="H7" s="3">
        <v>44.193548387096776</v>
      </c>
      <c r="I7" s="3"/>
      <c r="J7" s="3"/>
      <c r="K7" s="3"/>
      <c r="L7" s="3"/>
      <c r="M7" s="3">
        <f>SUM(表2_47[[#This Row],[吃饭]:[学习阅读]])</f>
        <v>90.688548387096773</v>
      </c>
      <c r="N7" s="3">
        <f>表2_47[[#This Row],[合计]]-表2_47[[#This Row],[房租]]-表2_47[[#This Row],[水电话费]]</f>
        <v>46.494999999999997</v>
      </c>
    </row>
    <row r="8" spans="1:14" x14ac:dyDescent="0.3">
      <c r="A8" s="1">
        <v>45419</v>
      </c>
      <c r="B8" s="3"/>
      <c r="C8" s="3"/>
      <c r="D8" s="3">
        <v>35</v>
      </c>
      <c r="E8" s="3"/>
      <c r="F8" s="3"/>
      <c r="G8" s="3">
        <v>36</v>
      </c>
      <c r="H8" s="3">
        <v>44.193548387096776</v>
      </c>
      <c r="I8" s="3"/>
      <c r="J8" s="3"/>
      <c r="K8" s="3"/>
      <c r="L8" s="3"/>
      <c r="M8" s="3">
        <f>SUM(表2_47[[#This Row],[吃饭]:[学习阅读]])</f>
        <v>115.19354838709677</v>
      </c>
      <c r="N8" s="3">
        <f>表2_47[[#This Row],[合计]]-表2_47[[#This Row],[房租]]-表2_47[[#This Row],[水电话费]]</f>
        <v>71</v>
      </c>
    </row>
    <row r="9" spans="1:14" x14ac:dyDescent="0.3">
      <c r="A9" s="1">
        <v>45420</v>
      </c>
      <c r="B9" s="3">
        <v>15</v>
      </c>
      <c r="C9" s="3">
        <v>2</v>
      </c>
      <c r="D9" s="3"/>
      <c r="E9" s="3"/>
      <c r="F9" s="3"/>
      <c r="G9" s="3">
        <v>10</v>
      </c>
      <c r="H9" s="3">
        <v>44.193548387096776</v>
      </c>
      <c r="I9" s="3"/>
      <c r="J9" s="3"/>
      <c r="K9" s="3"/>
      <c r="L9" s="3"/>
      <c r="M9" s="3">
        <f>SUM(表2_47[[#This Row],[吃饭]:[学习阅读]])</f>
        <v>71.193548387096769</v>
      </c>
      <c r="N9" s="3">
        <f>表2_47[[#This Row],[合计]]-表2_47[[#This Row],[房租]]-表2_47[[#This Row],[水电话费]]</f>
        <v>26.999999999999993</v>
      </c>
    </row>
    <row r="10" spans="1:14" x14ac:dyDescent="0.3">
      <c r="A10" s="1">
        <v>45421</v>
      </c>
      <c r="B10" s="3">
        <f>31+15.14</f>
        <v>46.14</v>
      </c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SUM(表2_47[[#This Row],[吃饭]:[学习阅读]])</f>
        <v>90.333548387096783</v>
      </c>
      <c r="N10" s="3">
        <f>表2_47[[#This Row],[合计]]-表2_47[[#This Row],[房租]]-表2_47[[#This Row],[水电话费]]</f>
        <v>46.140000000000008</v>
      </c>
    </row>
    <row r="11" spans="1:14" x14ac:dyDescent="0.3">
      <c r="A11" s="1">
        <v>45422</v>
      </c>
      <c r="B11" s="3"/>
      <c r="C11" s="3"/>
      <c r="D11" s="3"/>
      <c r="E11" s="3"/>
      <c r="F11" s="3"/>
      <c r="G11" s="3"/>
      <c r="H11" s="3">
        <v>44.193548387096776</v>
      </c>
      <c r="I11" s="3">
        <v>63</v>
      </c>
      <c r="J11" s="3"/>
      <c r="K11" s="3"/>
      <c r="L11" s="3"/>
      <c r="M11" s="3">
        <f>SUM(表2_47[[#This Row],[吃饭]:[学习阅读]])</f>
        <v>107.19354838709677</v>
      </c>
      <c r="N11" s="3">
        <f>表2_47[[#This Row],[合计]]-表2_47[[#This Row],[房租]]-表2_47[[#This Row],[水电话费]]</f>
        <v>0</v>
      </c>
    </row>
    <row r="12" spans="1:14" x14ac:dyDescent="0.3">
      <c r="A12" s="1">
        <v>45423</v>
      </c>
      <c r="B12" s="3"/>
      <c r="C12" s="3"/>
      <c r="D12" s="3"/>
      <c r="E12" s="3">
        <v>66</v>
      </c>
      <c r="F12" s="3"/>
      <c r="G12" s="3"/>
      <c r="H12" s="3">
        <v>44.193548387096776</v>
      </c>
      <c r="I12" s="3"/>
      <c r="J12" s="3"/>
      <c r="K12" s="3"/>
      <c r="L12" s="3"/>
      <c r="M12" s="3">
        <f>SUM(表2_47[[#This Row],[吃饭]:[学习阅读]])</f>
        <v>110.19354838709677</v>
      </c>
      <c r="N12" s="3">
        <f>表2_47[[#This Row],[合计]]-表2_47[[#This Row],[房租]]-表2_47[[#This Row],[水电话费]]</f>
        <v>66</v>
      </c>
    </row>
    <row r="13" spans="1:14" x14ac:dyDescent="0.3">
      <c r="A13" s="1">
        <v>45424</v>
      </c>
      <c r="B13" s="3">
        <f>3.9+5+1.9+2.9+30</f>
        <v>43.7</v>
      </c>
      <c r="C13" s="3">
        <v>30</v>
      </c>
      <c r="D13" s="3"/>
      <c r="E13" s="3">
        <f>3+6</f>
        <v>9</v>
      </c>
      <c r="F13" s="3">
        <v>16</v>
      </c>
      <c r="G13" s="3"/>
      <c r="H13" s="3">
        <v>44.193548387096776</v>
      </c>
      <c r="I13" s="3"/>
      <c r="J13" s="3"/>
      <c r="K13" s="3"/>
      <c r="L13" s="3"/>
      <c r="M13" s="3">
        <f>SUM(表2_47[[#This Row],[吃饭]:[学习阅读]])</f>
        <v>142.89354838709679</v>
      </c>
      <c r="N13" s="3">
        <f>表2_47[[#This Row],[合计]]-表2_47[[#This Row],[房租]]-表2_47[[#This Row],[水电话费]]</f>
        <v>98.700000000000017</v>
      </c>
    </row>
    <row r="14" spans="1:14" x14ac:dyDescent="0.3">
      <c r="A14" s="1">
        <v>45425</v>
      </c>
      <c r="B14" s="3"/>
      <c r="C14" s="3"/>
      <c r="D14" s="3"/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SUM(表2_47[[#This Row],[吃饭]:[学习阅读]])</f>
        <v>44.193548387096776</v>
      </c>
      <c r="N14" s="3">
        <f>表2_47[[#This Row],[合计]]-表2_47[[#This Row],[房租]]-表2_47[[#This Row],[水电话费]]</f>
        <v>0</v>
      </c>
    </row>
    <row r="15" spans="1:14" x14ac:dyDescent="0.3">
      <c r="A15" s="1">
        <v>45426</v>
      </c>
      <c r="B15" s="3">
        <v>19</v>
      </c>
      <c r="C15" s="3">
        <v>3</v>
      </c>
      <c r="D15" s="3"/>
      <c r="E15" s="3"/>
      <c r="F15" s="3"/>
      <c r="G15" s="3"/>
      <c r="H15" s="3">
        <v>44.193548387096776</v>
      </c>
      <c r="I15" s="3"/>
      <c r="J15" s="3"/>
      <c r="K15" s="3"/>
      <c r="L15" s="3"/>
      <c r="M15" s="3">
        <f>SUM(表2_47[[#This Row],[吃饭]:[学习阅读]])</f>
        <v>66.193548387096769</v>
      </c>
      <c r="N15" s="3">
        <f>表2_47[[#This Row],[合计]]-表2_47[[#This Row],[房租]]-表2_47[[#This Row],[水电话费]]</f>
        <v>21.999999999999993</v>
      </c>
    </row>
    <row r="16" spans="1:14" x14ac:dyDescent="0.3">
      <c r="A16" s="1">
        <v>45427</v>
      </c>
      <c r="B16" s="3">
        <v>17.2</v>
      </c>
      <c r="C16" s="3"/>
      <c r="D16" s="3"/>
      <c r="E16" s="3"/>
      <c r="F16" s="3"/>
      <c r="G16" s="3">
        <v>25</v>
      </c>
      <c r="H16" s="3">
        <v>44.193548387096776</v>
      </c>
      <c r="I16" s="3"/>
      <c r="J16" s="3"/>
      <c r="K16" s="3"/>
      <c r="L16" s="3"/>
      <c r="M16" s="3">
        <f>SUM(表2_47[[#This Row],[吃饭]:[学习阅读]])</f>
        <v>86.393548387096786</v>
      </c>
      <c r="N16" s="3">
        <f>表2_47[[#This Row],[合计]]-表2_47[[#This Row],[房租]]-表2_47[[#This Row],[水电话费]]</f>
        <v>42.20000000000001</v>
      </c>
    </row>
    <row r="17" spans="1:14" x14ac:dyDescent="0.3">
      <c r="A17" s="1">
        <v>45428</v>
      </c>
      <c r="B17" s="3">
        <v>13.57</v>
      </c>
      <c r="C17" s="3">
        <v>4.9000000000000004</v>
      </c>
      <c r="D17" s="3"/>
      <c r="E17" s="3"/>
      <c r="F17" s="3"/>
      <c r="G17" s="3"/>
      <c r="H17" s="3">
        <v>44.193548387096776</v>
      </c>
      <c r="I17" s="3"/>
      <c r="J17" s="3"/>
      <c r="K17" s="3"/>
      <c r="L17" s="3"/>
      <c r="M17" s="3">
        <f>SUM(表2_47[[#This Row],[吃饭]:[学习阅读]])</f>
        <v>62.663548387096775</v>
      </c>
      <c r="N17" s="3">
        <f>表2_47[[#This Row],[合计]]-表2_47[[#This Row],[房租]]-表2_47[[#This Row],[水电话费]]</f>
        <v>18.47</v>
      </c>
    </row>
    <row r="18" spans="1:14" x14ac:dyDescent="0.3">
      <c r="A18" s="1">
        <v>45429</v>
      </c>
      <c r="B18" s="3">
        <f>3.8+3+2.5+3</f>
        <v>12.3</v>
      </c>
      <c r="C18" s="3"/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SUM(表2_47[[#This Row],[吃饭]:[学习阅读]])</f>
        <v>56.49354838709678</v>
      </c>
      <c r="N18" s="3">
        <f>表2_47[[#This Row],[合计]]-表2_47[[#This Row],[房租]]-表2_47[[#This Row],[水电话费]]</f>
        <v>12.300000000000004</v>
      </c>
    </row>
    <row r="19" spans="1:14" x14ac:dyDescent="0.3">
      <c r="A19" s="1">
        <v>45430</v>
      </c>
      <c r="B19" s="3">
        <v>7.5</v>
      </c>
      <c r="C19" s="3"/>
      <c r="D19" s="3">
        <v>60</v>
      </c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SUM(表2_47[[#This Row],[吃饭]:[学习阅读]])</f>
        <v>111.69354838709677</v>
      </c>
      <c r="N19" s="3">
        <f>表2_47[[#This Row],[合计]]-表2_47[[#This Row],[房租]]-表2_47[[#This Row],[水电话费]]</f>
        <v>67.5</v>
      </c>
    </row>
    <row r="20" spans="1:14" x14ac:dyDescent="0.3">
      <c r="A20" s="1">
        <v>45431</v>
      </c>
      <c r="B20" s="3"/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SUM(表2_47[[#This Row],[吃饭]:[学习阅读]])</f>
        <v>44.193548387096776</v>
      </c>
      <c r="N20" s="3">
        <f>表2_47[[#This Row],[合计]]-表2_47[[#This Row],[房租]]-表2_47[[#This Row],[水电话费]]</f>
        <v>0</v>
      </c>
    </row>
    <row r="21" spans="1:14" x14ac:dyDescent="0.3">
      <c r="A21" s="1">
        <v>45432</v>
      </c>
      <c r="B21" s="3">
        <v>7.2</v>
      </c>
      <c r="C21" s="3">
        <v>6</v>
      </c>
      <c r="D21" s="3"/>
      <c r="E21" s="3"/>
      <c r="F21" s="3">
        <v>15</v>
      </c>
      <c r="G21" s="3"/>
      <c r="H21" s="3">
        <v>44.193548387096776</v>
      </c>
      <c r="I21" s="3"/>
      <c r="J21" s="3"/>
      <c r="K21" s="3"/>
      <c r="L21" s="3"/>
      <c r="M21" s="3">
        <f>SUM(表2_47[[#This Row],[吃饭]:[学习阅读]])</f>
        <v>72.393548387096772</v>
      </c>
      <c r="N21" s="3">
        <f>表2_47[[#This Row],[合计]]-表2_47[[#This Row],[房租]]-表2_47[[#This Row],[水电话费]]</f>
        <v>28.199999999999996</v>
      </c>
    </row>
    <row r="22" spans="1:14" x14ac:dyDescent="0.3">
      <c r="A22" s="1">
        <v>45433</v>
      </c>
      <c r="B22" s="3">
        <f>4.57+9.98</f>
        <v>14.55</v>
      </c>
      <c r="C22" s="3">
        <v>7</v>
      </c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SUM(表2_47[[#This Row],[吃饭]:[学习阅读]])</f>
        <v>65.74354838709678</v>
      </c>
      <c r="N22" s="3">
        <f>表2_47[[#This Row],[合计]]-表2_47[[#This Row],[房租]]-表2_47[[#This Row],[水电话费]]</f>
        <v>21.550000000000004</v>
      </c>
    </row>
    <row r="23" spans="1:14" x14ac:dyDescent="0.3">
      <c r="A23" s="1">
        <v>45434</v>
      </c>
      <c r="B23" s="3">
        <v>5</v>
      </c>
      <c r="C23" s="3">
        <v>12.5</v>
      </c>
      <c r="D23" s="3"/>
      <c r="E23" s="3"/>
      <c r="F23" s="3"/>
      <c r="G23" s="3">
        <v>50</v>
      </c>
      <c r="H23" s="3">
        <v>44.193548387096776</v>
      </c>
      <c r="I23" s="3"/>
      <c r="J23" s="3"/>
      <c r="K23" s="3"/>
      <c r="L23" s="3"/>
      <c r="M23" s="3">
        <f>SUM(表2_47[[#This Row],[吃饭]:[学习阅读]])</f>
        <v>111.69354838709677</v>
      </c>
      <c r="N23" s="3">
        <f>表2_47[[#This Row],[合计]]-表2_47[[#This Row],[房租]]-表2_47[[#This Row],[水电话费]]</f>
        <v>67.5</v>
      </c>
    </row>
    <row r="24" spans="1:14" x14ac:dyDescent="0.3">
      <c r="A24" s="1">
        <v>45435</v>
      </c>
      <c r="B24" s="3">
        <f>16.59+7.7</f>
        <v>24.29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SUM(表2_47[[#This Row],[吃饭]:[学习阅读]])</f>
        <v>71.483548387096775</v>
      </c>
      <c r="N24" s="3">
        <f>表2_47[[#This Row],[合计]]-表2_47[[#This Row],[房租]]-表2_47[[#This Row],[水电话费]]</f>
        <v>27.29</v>
      </c>
    </row>
    <row r="25" spans="1:14" x14ac:dyDescent="0.3">
      <c r="A25" s="1">
        <v>45436</v>
      </c>
      <c r="B25" s="3">
        <v>16</v>
      </c>
      <c r="C25" s="3">
        <v>18.7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SUM(表2_47[[#This Row],[吃饭]:[学习阅读]])</f>
        <v>78.893548387096786</v>
      </c>
      <c r="N25" s="3">
        <f>表2_47[[#This Row],[合计]]-表2_47[[#This Row],[房租]]-表2_47[[#This Row],[水电话费]]</f>
        <v>34.70000000000001</v>
      </c>
    </row>
    <row r="26" spans="1:14" x14ac:dyDescent="0.3">
      <c r="A26" s="1">
        <v>45437</v>
      </c>
      <c r="B26" s="3">
        <v>18.5</v>
      </c>
      <c r="C26" s="3"/>
      <c r="D26" s="3"/>
      <c r="E26" s="3">
        <v>112</v>
      </c>
      <c r="F26" s="3">
        <v>11</v>
      </c>
      <c r="G26" s="3">
        <v>300</v>
      </c>
      <c r="H26" s="3">
        <v>44.193548387096776</v>
      </c>
      <c r="I26" s="3"/>
      <c r="J26" s="3"/>
      <c r="K26" s="3"/>
      <c r="L26" s="3"/>
      <c r="M26" s="3">
        <f>SUM(表2_47[[#This Row],[吃饭]:[学习阅读]])</f>
        <v>485.69354838709677</v>
      </c>
      <c r="N26" s="3">
        <f>表2_47[[#This Row],[合计]]-表2_47[[#This Row],[房租]]-表2_47[[#This Row],[水电话费]]</f>
        <v>441.5</v>
      </c>
    </row>
    <row r="27" spans="1:14" x14ac:dyDescent="0.3">
      <c r="A27" s="1">
        <v>45438</v>
      </c>
      <c r="B27" s="3">
        <v>8</v>
      </c>
      <c r="C27" s="3"/>
      <c r="D27" s="3"/>
      <c r="E27" s="3"/>
      <c r="F27" s="3"/>
      <c r="G27" s="3"/>
      <c r="H27" s="3">
        <v>44.193548387096776</v>
      </c>
      <c r="I27" s="3"/>
      <c r="J27" s="3"/>
      <c r="K27" s="3"/>
      <c r="L27" s="3"/>
      <c r="M27" s="3">
        <f>SUM(表2_47[[#This Row],[吃饭]:[学习阅读]])</f>
        <v>52.193548387096776</v>
      </c>
      <c r="N27" s="3">
        <f>表2_47[[#This Row],[合计]]-表2_47[[#This Row],[房租]]-表2_47[[#This Row],[水电话费]]</f>
        <v>8</v>
      </c>
    </row>
    <row r="28" spans="1:14" x14ac:dyDescent="0.3">
      <c r="A28" s="1">
        <v>45439</v>
      </c>
      <c r="B28" s="3"/>
      <c r="C28" s="3">
        <v>4</v>
      </c>
      <c r="D28" s="3"/>
      <c r="E28" s="3">
        <v>215.32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SUM(表2_47[[#This Row],[吃饭]:[学习阅读]])</f>
        <v>263.51354838709676</v>
      </c>
      <c r="N28" s="3">
        <f>表2_47[[#This Row],[合计]]-表2_47[[#This Row],[房租]]-表2_47[[#This Row],[水电话费]]</f>
        <v>219.32</v>
      </c>
    </row>
    <row r="29" spans="1:14" x14ac:dyDescent="0.3">
      <c r="A29" s="1">
        <v>45440</v>
      </c>
      <c r="B29" s="3"/>
      <c r="C29" s="3">
        <v>2</v>
      </c>
      <c r="D29" s="3"/>
      <c r="E29" s="3"/>
      <c r="F29" s="3">
        <v>9.5399999999999991</v>
      </c>
      <c r="G29" s="3"/>
      <c r="H29" s="3">
        <v>44.193548387096776</v>
      </c>
      <c r="I29" s="3"/>
      <c r="J29" s="3"/>
      <c r="K29" s="3"/>
      <c r="L29" s="3"/>
      <c r="M29" s="3">
        <f>SUM(表2_47[[#This Row],[吃饭]:[学习阅读]])</f>
        <v>55.733548387096775</v>
      </c>
      <c r="N29" s="3">
        <f>表2_47[[#This Row],[合计]]-表2_47[[#This Row],[房租]]-表2_47[[#This Row],[水电话费]]</f>
        <v>11.54</v>
      </c>
    </row>
    <row r="30" spans="1:14" x14ac:dyDescent="0.3">
      <c r="A30" s="1">
        <v>45441</v>
      </c>
      <c r="B30" s="3">
        <v>25</v>
      </c>
      <c r="C30" s="3"/>
      <c r="D30" s="3"/>
      <c r="E30" s="3">
        <v>208</v>
      </c>
      <c r="F30" s="3"/>
      <c r="G30" s="3"/>
      <c r="H30" s="3">
        <v>44.193548387096776</v>
      </c>
      <c r="I30" s="3"/>
      <c r="J30" s="3"/>
      <c r="K30" s="3"/>
      <c r="L30" s="3"/>
      <c r="M30" s="3">
        <f>SUM(表2_47[[#This Row],[吃饭]:[学习阅读]])</f>
        <v>277.19354838709677</v>
      </c>
      <c r="N30" s="3">
        <f>表2_47[[#This Row],[合计]]-表2_47[[#This Row],[房租]]-表2_47[[#This Row],[水电话费]]</f>
        <v>233</v>
      </c>
    </row>
    <row r="31" spans="1:14" x14ac:dyDescent="0.3">
      <c r="A31" s="1">
        <v>45442</v>
      </c>
      <c r="B31" s="3">
        <v>19</v>
      </c>
      <c r="C31" s="3">
        <v>3.5</v>
      </c>
      <c r="D31" s="3">
        <v>40</v>
      </c>
      <c r="E31" s="3">
        <v>3.6</v>
      </c>
      <c r="F31" s="3"/>
      <c r="G31" s="3"/>
      <c r="H31" s="3">
        <v>44.193548387096776</v>
      </c>
      <c r="I31" s="3"/>
      <c r="J31" s="3"/>
      <c r="K31" s="3"/>
      <c r="L31" s="3"/>
      <c r="M31" s="3">
        <f>SUM(表2_47[[#This Row],[吃饭]:[学习阅读]])</f>
        <v>110.29354838709676</v>
      </c>
      <c r="N31" s="3">
        <f>表2_47[[#This Row],[合计]]-表2_47[[#This Row],[房租]]-表2_47[[#This Row],[水电话费]]</f>
        <v>66.099999999999994</v>
      </c>
    </row>
    <row r="32" spans="1:14" x14ac:dyDescent="0.3">
      <c r="A32" s="1">
        <v>45443</v>
      </c>
      <c r="B32" s="3">
        <v>100</v>
      </c>
      <c r="C32" s="3"/>
      <c r="D32" s="3"/>
      <c r="E32" s="3"/>
      <c r="F32" s="3"/>
      <c r="G32" s="3"/>
      <c r="H32" s="3">
        <v>44.193548387096776</v>
      </c>
      <c r="I32" s="3"/>
      <c r="J32" s="3"/>
      <c r="K32" s="3"/>
      <c r="L32" s="3"/>
      <c r="M32" s="3">
        <f>SUM(表2_47[[#This Row],[吃饭]:[学习阅读]])</f>
        <v>144.19354838709677</v>
      </c>
      <c r="N32" s="3">
        <f>表2_47[[#This Row],[合计]]-表2_47[[#This Row],[房租]]-表2_47[[#This Row],[水电话费]]</f>
        <v>100</v>
      </c>
    </row>
    <row r="33" spans="1:14" ht="37.25" customHeight="1" x14ac:dyDescent="0.3">
      <c r="A33" s="4" t="s">
        <v>11</v>
      </c>
      <c r="B33" s="3">
        <f>SUM(B2:B32)</f>
        <v>491.96</v>
      </c>
      <c r="C33" s="3">
        <f t="shared" ref="C33:I33" si="0">SUM(C2:C32)</f>
        <v>104.10000000000001</v>
      </c>
      <c r="D33" s="3">
        <f>SUM(D2:D32)</f>
        <v>163.995</v>
      </c>
      <c r="E33" s="3">
        <f t="shared" si="0"/>
        <v>628.91999999999996</v>
      </c>
      <c r="F33" s="3">
        <f>SUM(F2:F32)</f>
        <v>77.539999999999992</v>
      </c>
      <c r="G33" s="3">
        <f t="shared" si="0"/>
        <v>617.30500000000006</v>
      </c>
      <c r="H33" s="3">
        <f t="shared" si="0"/>
        <v>1370.0000000000009</v>
      </c>
      <c r="I33" s="3">
        <f t="shared" si="0"/>
        <v>163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3616.8199999999997</v>
      </c>
      <c r="N33" s="3">
        <f>表2_47[[#This Row],[合计]]-表2_47[[#This Row],[房租]]-表2_47[[#This Row],[水电话费]]</f>
        <v>2083.8199999999988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3616.8200000000006</v>
      </c>
      <c r="M34" s="3"/>
    </row>
  </sheetData>
  <phoneticPr fontId="1" type="noConversion"/>
  <conditionalFormatting sqref="N2:N32">
    <cfRule type="cellIs" dxfId="216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AC92-96F1-45A8-AD87-12A4AA121D48}">
  <dimension ref="A1:N33"/>
  <sheetViews>
    <sheetView workbookViewId="0">
      <selection activeCell="E29" sqref="E29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45444</v>
      </c>
      <c r="B2" s="3">
        <f>13.9+17</f>
        <v>30.9</v>
      </c>
      <c r="C2" s="3"/>
      <c r="D2" s="3"/>
      <c r="E2" s="3">
        <f>160+27.9+29+22.9+36.2</f>
        <v>276</v>
      </c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SUM(表2_456[[#This Row],[吃饭]:[学习阅读]])</f>
        <v>451.09354838709675</v>
      </c>
      <c r="N2" s="3">
        <f>表2_456[[#This Row],[合计]]-表2_456[[#This Row],[房租]]-表2_456[[#This Row],[水电话费]]</f>
        <v>306.89999999999998</v>
      </c>
    </row>
    <row r="3" spans="1:14" x14ac:dyDescent="0.3">
      <c r="A3" s="1">
        <v>45445</v>
      </c>
      <c r="B3" s="3">
        <f>3+57+39.66</f>
        <v>99.66</v>
      </c>
      <c r="C3" s="3">
        <v>7</v>
      </c>
      <c r="D3" s="3"/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SUM(表2_456[[#This Row],[吃饭]:[学习阅读]])</f>
        <v>150.85354838709677</v>
      </c>
      <c r="N3" s="3">
        <f>表2_456[[#This Row],[合计]]-表2_456[[#This Row],[房租]]-表2_456[[#This Row],[水电话费]]</f>
        <v>106.66</v>
      </c>
    </row>
    <row r="4" spans="1:14" x14ac:dyDescent="0.3">
      <c r="A4" s="1">
        <v>45446</v>
      </c>
      <c r="B4" s="3"/>
      <c r="C4" s="3"/>
      <c r="D4" s="3">
        <v>4</v>
      </c>
      <c r="E4" s="3"/>
      <c r="F4" s="3"/>
      <c r="G4" s="3"/>
      <c r="H4" s="3">
        <v>44.193548387096776</v>
      </c>
      <c r="I4" s="3"/>
      <c r="J4" s="3"/>
      <c r="K4" s="3"/>
      <c r="L4" s="3"/>
      <c r="M4" s="3">
        <f>SUM(表2_456[[#This Row],[吃饭]:[学习阅读]])</f>
        <v>48.193548387096776</v>
      </c>
      <c r="N4" s="3">
        <f>表2_456[[#This Row],[合计]]-表2_456[[#This Row],[房租]]-表2_456[[#This Row],[水电话费]]</f>
        <v>4</v>
      </c>
    </row>
    <row r="5" spans="1:14" x14ac:dyDescent="0.3">
      <c r="A5" s="1">
        <v>45447</v>
      </c>
      <c r="B5" s="3"/>
      <c r="C5" s="3">
        <v>3</v>
      </c>
      <c r="D5" s="3"/>
      <c r="E5" s="3">
        <v>15</v>
      </c>
      <c r="F5" s="3"/>
      <c r="G5" s="3"/>
      <c r="H5" s="3">
        <v>44.193548387096776</v>
      </c>
      <c r="I5" s="3"/>
      <c r="J5" s="3"/>
      <c r="K5" s="3"/>
      <c r="L5" s="3"/>
      <c r="M5" s="3">
        <f>SUM(表2_456[[#This Row],[吃饭]:[学习阅读]])</f>
        <v>62.193548387096776</v>
      </c>
      <c r="N5" s="3">
        <f>表2_456[[#This Row],[合计]]-表2_456[[#This Row],[房租]]-表2_456[[#This Row],[水电话费]]</f>
        <v>18</v>
      </c>
    </row>
    <row r="6" spans="1:14" x14ac:dyDescent="0.3">
      <c r="A6" s="1">
        <v>45448</v>
      </c>
      <c r="B6" s="3">
        <v>10</v>
      </c>
      <c r="C6" s="3"/>
      <c r="D6" s="3"/>
      <c r="E6" s="3">
        <v>15</v>
      </c>
      <c r="F6" s="3">
        <v>10</v>
      </c>
      <c r="G6" s="3"/>
      <c r="H6" s="3">
        <v>44.193548387096776</v>
      </c>
      <c r="I6" s="3"/>
      <c r="J6" s="3"/>
      <c r="K6" s="3"/>
      <c r="L6" s="3"/>
      <c r="M6" s="3">
        <f>SUM(表2_456[[#This Row],[吃饭]:[学习阅读]])</f>
        <v>79.193548387096769</v>
      </c>
      <c r="N6" s="3">
        <f>表2_456[[#This Row],[合计]]-表2_456[[#This Row],[房租]]-表2_456[[#This Row],[水电话费]]</f>
        <v>34.999999999999993</v>
      </c>
    </row>
    <row r="7" spans="1:14" x14ac:dyDescent="0.3">
      <c r="A7" s="1">
        <v>45449</v>
      </c>
      <c r="B7" s="3">
        <f>19.49+13.9</f>
        <v>33.39</v>
      </c>
      <c r="C7" s="3">
        <v>4.5</v>
      </c>
      <c r="D7" s="3"/>
      <c r="E7" s="3">
        <v>40</v>
      </c>
      <c r="F7" s="3">
        <v>10</v>
      </c>
      <c r="G7" s="3"/>
      <c r="H7" s="3">
        <v>44.193548387096776</v>
      </c>
      <c r="I7" s="3"/>
      <c r="J7" s="3"/>
      <c r="K7" s="3"/>
      <c r="L7" s="3"/>
      <c r="M7" s="3">
        <f>SUM(表2_456[[#This Row],[吃饭]:[学习阅读]])</f>
        <v>132.08354838709678</v>
      </c>
      <c r="N7" s="3">
        <f>表2_456[[#This Row],[合计]]-表2_456[[#This Row],[房租]]-表2_456[[#This Row],[水电话费]]</f>
        <v>87.890000000000015</v>
      </c>
    </row>
    <row r="8" spans="1:14" x14ac:dyDescent="0.3">
      <c r="A8" s="1">
        <v>45450</v>
      </c>
      <c r="B8" s="3">
        <v>98</v>
      </c>
      <c r="C8" s="3"/>
      <c r="D8" s="3"/>
      <c r="E8" s="3">
        <v>40</v>
      </c>
      <c r="F8" s="3">
        <v>30</v>
      </c>
      <c r="G8" s="3"/>
      <c r="H8" s="3">
        <v>44.193548387096776</v>
      </c>
      <c r="I8" s="3"/>
      <c r="J8" s="3"/>
      <c r="K8" s="3"/>
      <c r="L8" s="3"/>
      <c r="M8" s="3">
        <f>SUM(表2_456[[#This Row],[吃饭]:[学习阅读]])</f>
        <v>212.19354838709677</v>
      </c>
      <c r="N8" s="3">
        <f>表2_456[[#This Row],[合计]]-表2_456[[#This Row],[房租]]-表2_456[[#This Row],[水电话费]]</f>
        <v>168</v>
      </c>
    </row>
    <row r="9" spans="1:14" x14ac:dyDescent="0.3">
      <c r="A9" s="1">
        <v>45451</v>
      </c>
      <c r="B9" s="3">
        <v>30</v>
      </c>
      <c r="C9" s="3"/>
      <c r="D9" s="3">
        <v>32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SUM(表2_456[[#This Row],[吃饭]:[学习阅读]])</f>
        <v>106.19354838709677</v>
      </c>
      <c r="N9" s="3">
        <f>表2_456[[#This Row],[合计]]-表2_456[[#This Row],[房租]]-表2_456[[#This Row],[水电话费]]</f>
        <v>61.999999999999993</v>
      </c>
    </row>
    <row r="10" spans="1:14" x14ac:dyDescent="0.3">
      <c r="A10" s="1">
        <v>45452</v>
      </c>
      <c r="B10" s="3"/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SUM(表2_456[[#This Row],[吃饭]:[学习阅读]])</f>
        <v>44.193548387096776</v>
      </c>
      <c r="N10" s="3">
        <f>表2_456[[#This Row],[合计]]-表2_456[[#This Row],[房租]]-表2_456[[#This Row],[水电话费]]</f>
        <v>0</v>
      </c>
    </row>
    <row r="11" spans="1:14" x14ac:dyDescent="0.3">
      <c r="A11" s="1">
        <v>45453</v>
      </c>
      <c r="B11" s="3"/>
      <c r="C11" s="3"/>
      <c r="D11" s="3"/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SUM(表2_456[[#This Row],[吃饭]:[学习阅读]])</f>
        <v>44.193548387096776</v>
      </c>
      <c r="N11" s="3">
        <f>表2_456[[#This Row],[合计]]-表2_456[[#This Row],[房租]]-表2_456[[#This Row],[水电话费]]</f>
        <v>0</v>
      </c>
    </row>
    <row r="12" spans="1:14" x14ac:dyDescent="0.3">
      <c r="A12" s="1">
        <v>45454</v>
      </c>
      <c r="B12" s="3"/>
      <c r="C12" s="3"/>
      <c r="D12" s="3"/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SUM(表2_456[[#This Row],[吃饭]:[学习阅读]])</f>
        <v>44.193548387096776</v>
      </c>
      <c r="N12" s="3">
        <f>表2_456[[#This Row],[合计]]-表2_456[[#This Row],[房租]]-表2_456[[#This Row],[水电话费]]</f>
        <v>0</v>
      </c>
    </row>
    <row r="13" spans="1:14" x14ac:dyDescent="0.3">
      <c r="A13" s="1">
        <v>45455</v>
      </c>
      <c r="B13" s="3"/>
      <c r="C13" s="3"/>
      <c r="D13" s="3"/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SUM(表2_456[[#This Row],[吃饭]:[学习阅读]])</f>
        <v>44.193548387096776</v>
      </c>
      <c r="N13" s="3">
        <f>表2_456[[#This Row],[合计]]-表2_456[[#This Row],[房租]]-表2_456[[#This Row],[水电话费]]</f>
        <v>0</v>
      </c>
    </row>
    <row r="14" spans="1:14" x14ac:dyDescent="0.3">
      <c r="A14" s="1">
        <v>45456</v>
      </c>
      <c r="B14" s="3">
        <v>21</v>
      </c>
      <c r="C14" s="3"/>
      <c r="D14" s="3"/>
      <c r="E14" s="3"/>
      <c r="F14" s="3">
        <v>17.5</v>
      </c>
      <c r="G14" s="3"/>
      <c r="H14" s="3">
        <v>44.193548387096776</v>
      </c>
      <c r="I14" s="3">
        <v>96</v>
      </c>
      <c r="J14" s="3"/>
      <c r="K14" s="3"/>
      <c r="L14" s="3"/>
      <c r="M14" s="3">
        <f>SUM(表2_456[[#This Row],[吃饭]:[学习阅读]])</f>
        <v>178.69354838709677</v>
      </c>
      <c r="N14" s="3">
        <f>表2_456[[#This Row],[合计]]-表2_456[[#This Row],[房租]]-表2_456[[#This Row],[水电话费]]</f>
        <v>38.5</v>
      </c>
    </row>
    <row r="15" spans="1:14" x14ac:dyDescent="0.3">
      <c r="A15" s="1">
        <v>45457</v>
      </c>
      <c r="B15" s="3"/>
      <c r="C15" s="3">
        <v>8</v>
      </c>
      <c r="D15" s="3">
        <v>200</v>
      </c>
      <c r="E15" s="3">
        <v>99</v>
      </c>
      <c r="F15" s="3">
        <v>90</v>
      </c>
      <c r="G15" s="3"/>
      <c r="H15" s="3">
        <v>44.193548387096776</v>
      </c>
      <c r="I15" s="3"/>
      <c r="J15" s="3"/>
      <c r="K15" s="3"/>
      <c r="L15" s="3"/>
      <c r="M15" s="3">
        <f>SUM(表2_456[[#This Row],[吃饭]:[学习阅读]])</f>
        <v>441.19354838709677</v>
      </c>
      <c r="N15" s="3">
        <f>表2_456[[#This Row],[合计]]-表2_456[[#This Row],[房租]]-表2_456[[#This Row],[水电话费]]</f>
        <v>397</v>
      </c>
    </row>
    <row r="16" spans="1:14" x14ac:dyDescent="0.3">
      <c r="A16" s="1">
        <v>45458</v>
      </c>
      <c r="B16" s="3">
        <f>3+13.9+49.9</f>
        <v>66.8</v>
      </c>
      <c r="C16" s="3"/>
      <c r="D16" s="3"/>
      <c r="E16" s="3"/>
      <c r="F16" s="3"/>
      <c r="G16" s="3">
        <f>39+95.7</f>
        <v>134.69999999999999</v>
      </c>
      <c r="H16" s="3">
        <v>44.193548387096776</v>
      </c>
      <c r="I16" s="3"/>
      <c r="J16" s="3"/>
      <c r="K16" s="3"/>
      <c r="L16" s="3"/>
      <c r="M16" s="3">
        <f>SUM(表2_456[[#This Row],[吃饭]:[学习阅读]])</f>
        <v>245.69354838709677</v>
      </c>
      <c r="N16" s="3">
        <f>表2_456[[#This Row],[合计]]-表2_456[[#This Row],[房租]]-表2_456[[#This Row],[水电话费]]</f>
        <v>201.5</v>
      </c>
    </row>
    <row r="17" spans="1:14" x14ac:dyDescent="0.3">
      <c r="A17" s="1">
        <v>45459</v>
      </c>
      <c r="B17" s="3">
        <v>5.9</v>
      </c>
      <c r="C17" s="3"/>
      <c r="D17" s="3"/>
      <c r="E17" s="3"/>
      <c r="F17" s="3">
        <v>13</v>
      </c>
      <c r="G17" s="3"/>
      <c r="H17" s="3">
        <v>44.193548387096776</v>
      </c>
      <c r="I17" s="3"/>
      <c r="J17" s="3"/>
      <c r="K17" s="3"/>
      <c r="L17" s="3"/>
      <c r="M17" s="3">
        <f>SUM(表2_456[[#This Row],[吃饭]:[学习阅读]])</f>
        <v>63.093548387096774</v>
      </c>
      <c r="N17" s="3">
        <f>表2_456[[#This Row],[合计]]-表2_456[[#This Row],[房租]]-表2_456[[#This Row],[水电话费]]</f>
        <v>18.899999999999999</v>
      </c>
    </row>
    <row r="18" spans="1:14" x14ac:dyDescent="0.3">
      <c r="A18" s="1">
        <v>45460</v>
      </c>
      <c r="B18" s="3"/>
      <c r="C18" s="3">
        <f>4.5+5.9</f>
        <v>10.4</v>
      </c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SUM(表2_456[[#This Row],[吃饭]:[学习阅读]])</f>
        <v>54.593548387096774</v>
      </c>
      <c r="N18" s="3">
        <f>表2_456[[#This Row],[合计]]-表2_456[[#This Row],[房租]]-表2_456[[#This Row],[水电话费]]</f>
        <v>10.399999999999999</v>
      </c>
    </row>
    <row r="19" spans="1:14" x14ac:dyDescent="0.3">
      <c r="A19" s="1">
        <v>45461</v>
      </c>
      <c r="B19" s="3">
        <v>5.9</v>
      </c>
      <c r="C19" s="3"/>
      <c r="D19" s="3"/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SUM(表2_456[[#This Row],[吃饭]:[学习阅读]])</f>
        <v>50.093548387096774</v>
      </c>
      <c r="N19" s="3">
        <f>表2_456[[#This Row],[合计]]-表2_456[[#This Row],[房租]]-表2_456[[#This Row],[水电话费]]</f>
        <v>5.8999999999999986</v>
      </c>
    </row>
    <row r="20" spans="1:14" x14ac:dyDescent="0.3">
      <c r="A20" s="1">
        <v>45462</v>
      </c>
      <c r="B20" s="3">
        <v>30</v>
      </c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SUM(表2_456[[#This Row],[吃饭]:[学习阅读]])</f>
        <v>74.193548387096769</v>
      </c>
      <c r="N20" s="3">
        <f>表2_456[[#This Row],[合计]]-表2_456[[#This Row],[房租]]-表2_456[[#This Row],[水电话费]]</f>
        <v>29.999999999999993</v>
      </c>
    </row>
    <row r="21" spans="1:14" x14ac:dyDescent="0.3">
      <c r="A21" s="1">
        <v>45463</v>
      </c>
      <c r="B21" s="3">
        <v>25</v>
      </c>
      <c r="C21" s="3">
        <v>3</v>
      </c>
      <c r="D21" s="3"/>
      <c r="E21" s="3"/>
      <c r="F21" s="3">
        <v>35</v>
      </c>
      <c r="G21" s="3"/>
      <c r="H21" s="3">
        <v>44.193548387096776</v>
      </c>
      <c r="I21" s="3"/>
      <c r="J21" s="3"/>
      <c r="K21" s="3"/>
      <c r="L21" s="3"/>
      <c r="M21" s="3">
        <f>SUM(表2_456[[#This Row],[吃饭]:[学习阅读]])</f>
        <v>107.19354838709677</v>
      </c>
      <c r="N21" s="3">
        <f>表2_456[[#This Row],[合计]]-表2_456[[#This Row],[房租]]-表2_456[[#This Row],[水电话费]]</f>
        <v>62.999999999999993</v>
      </c>
    </row>
    <row r="22" spans="1:14" x14ac:dyDescent="0.3">
      <c r="A22" s="1">
        <v>45464</v>
      </c>
      <c r="B22" s="3">
        <v>10</v>
      </c>
      <c r="C22" s="3"/>
      <c r="D22" s="3">
        <v>20</v>
      </c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SUM(表2_456[[#This Row],[吃饭]:[学习阅读]])</f>
        <v>74.193548387096769</v>
      </c>
      <c r="N22" s="3">
        <f>表2_456[[#This Row],[合计]]-表2_456[[#This Row],[房租]]-表2_456[[#This Row],[水电话费]]</f>
        <v>29.999999999999993</v>
      </c>
    </row>
    <row r="23" spans="1:14" x14ac:dyDescent="0.3">
      <c r="A23" s="1">
        <v>45465</v>
      </c>
      <c r="B23" s="3"/>
      <c r="C23" s="3"/>
      <c r="D23" s="3"/>
      <c r="E23" s="3"/>
      <c r="F23" s="3"/>
      <c r="G23" s="3"/>
      <c r="H23" s="3">
        <v>44.193548387096797</v>
      </c>
      <c r="I23" s="3"/>
      <c r="J23" s="3">
        <v>7</v>
      </c>
      <c r="K23" s="3"/>
      <c r="L23" s="3"/>
      <c r="M23" s="3">
        <f>SUM(表2_456[[#This Row],[吃饭]:[学习阅读]])</f>
        <v>51.193548387096797</v>
      </c>
      <c r="N23" s="3">
        <f>表2_456[[#This Row],[合计]]-表2_456[[#This Row],[房租]]-表2_456[[#This Row],[水电话费]]</f>
        <v>7</v>
      </c>
    </row>
    <row r="24" spans="1:14" x14ac:dyDescent="0.3">
      <c r="A24" s="1">
        <v>45466</v>
      </c>
      <c r="B24" s="3">
        <v>12.6</v>
      </c>
      <c r="C24" s="3"/>
      <c r="D24" s="3"/>
      <c r="E24" s="3">
        <v>10</v>
      </c>
      <c r="F24" s="3"/>
      <c r="G24" s="3"/>
      <c r="H24" s="3">
        <v>44.193548387096776</v>
      </c>
      <c r="I24" s="3"/>
      <c r="J24" s="3"/>
      <c r="K24" s="3"/>
      <c r="L24" s="3"/>
      <c r="M24" s="3">
        <f>SUM(表2_456[[#This Row],[吃饭]:[学习阅读]])</f>
        <v>66.793548387096777</v>
      </c>
      <c r="N24" s="3">
        <f>表2_456[[#This Row],[合计]]-表2_456[[#This Row],[房租]]-表2_456[[#This Row],[水电话费]]</f>
        <v>22.6</v>
      </c>
    </row>
    <row r="25" spans="1:14" x14ac:dyDescent="0.3">
      <c r="A25" s="1">
        <v>45467</v>
      </c>
      <c r="B25" s="3"/>
      <c r="C25" s="3">
        <v>6.5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SUM(表2_456[[#This Row],[吃饭]:[学习阅读]])</f>
        <v>50.693548387096776</v>
      </c>
      <c r="N25" s="3">
        <f>表2_456[[#This Row],[合计]]-表2_456[[#This Row],[房租]]-表2_456[[#This Row],[水电话费]]</f>
        <v>6.5</v>
      </c>
    </row>
    <row r="26" spans="1:14" x14ac:dyDescent="0.3">
      <c r="A26" s="1">
        <v>45468</v>
      </c>
      <c r="B26" s="3"/>
      <c r="C26" s="3"/>
      <c r="D26" s="3">
        <v>15</v>
      </c>
      <c r="E26" s="3"/>
      <c r="F26" s="3">
        <v>15</v>
      </c>
      <c r="G26" s="3"/>
      <c r="H26" s="3">
        <v>44.193548387096776</v>
      </c>
      <c r="I26" s="3"/>
      <c r="J26" s="3"/>
      <c r="K26" s="3"/>
      <c r="L26" s="3"/>
      <c r="M26" s="3">
        <f>SUM(表2_456[[#This Row],[吃饭]:[学习阅读]])</f>
        <v>74.193548387096769</v>
      </c>
      <c r="N26" s="3">
        <f>表2_456[[#This Row],[合计]]-表2_456[[#This Row],[房租]]-表2_456[[#This Row],[水电话费]]</f>
        <v>29.999999999999993</v>
      </c>
    </row>
    <row r="27" spans="1:14" x14ac:dyDescent="0.3">
      <c r="A27" s="1">
        <v>45469</v>
      </c>
      <c r="B27" s="3">
        <v>100</v>
      </c>
      <c r="C27" s="3">
        <v>2</v>
      </c>
      <c r="D27" s="3"/>
      <c r="E27" s="3"/>
      <c r="F27" s="3"/>
      <c r="G27" s="3">
        <v>15</v>
      </c>
      <c r="H27" s="3">
        <v>44.193548387096776</v>
      </c>
      <c r="I27" s="3"/>
      <c r="J27" s="3"/>
      <c r="K27" s="3"/>
      <c r="L27" s="3"/>
      <c r="M27" s="3">
        <f>SUM(表2_456[[#This Row],[吃饭]:[学习阅读]])</f>
        <v>161.19354838709677</v>
      </c>
      <c r="N27" s="3">
        <f>表2_456[[#This Row],[合计]]-表2_456[[#This Row],[房租]]-表2_456[[#This Row],[水电话费]]</f>
        <v>117</v>
      </c>
    </row>
    <row r="28" spans="1:14" x14ac:dyDescent="0.3">
      <c r="A28" s="1">
        <v>45470</v>
      </c>
      <c r="B28" s="3">
        <v>9.9</v>
      </c>
      <c r="C28" s="3"/>
      <c r="D28" s="3">
        <v>13</v>
      </c>
      <c r="E28" s="3">
        <v>29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SUM(表2_456[[#This Row],[吃饭]:[学习阅读]])</f>
        <v>96.093548387096774</v>
      </c>
      <c r="N28" s="3">
        <f>表2_456[[#This Row],[合计]]-表2_456[[#This Row],[房租]]-表2_456[[#This Row],[水电话费]]</f>
        <v>51.9</v>
      </c>
    </row>
    <row r="29" spans="1:14" x14ac:dyDescent="0.3">
      <c r="A29" s="1">
        <v>45471</v>
      </c>
      <c r="B29" s="3"/>
      <c r="C29" s="3">
        <v>3.5</v>
      </c>
      <c r="D29" s="3"/>
      <c r="E29" s="3"/>
      <c r="F29" s="3"/>
      <c r="G29" s="3">
        <v>2</v>
      </c>
      <c r="H29" s="3">
        <v>44.193548387096776</v>
      </c>
      <c r="I29" s="3"/>
      <c r="J29" s="3"/>
      <c r="K29" s="3"/>
      <c r="L29" s="3"/>
      <c r="M29" s="3">
        <f>SUM(表2_456[[#This Row],[吃饭]:[学习阅读]])</f>
        <v>49.693548387096776</v>
      </c>
      <c r="N29" s="3">
        <f>表2_456[[#This Row],[合计]]-表2_456[[#This Row],[房租]]-表2_456[[#This Row],[水电话费]]</f>
        <v>5.5</v>
      </c>
    </row>
    <row r="30" spans="1:14" x14ac:dyDescent="0.3">
      <c r="A30" s="1">
        <v>45472</v>
      </c>
      <c r="B30" s="3">
        <v>32.19</v>
      </c>
      <c r="C30" s="3"/>
      <c r="D30" s="3"/>
      <c r="E30" s="3">
        <f>58.86+78+34.2</f>
        <v>171.06</v>
      </c>
      <c r="F30" s="3">
        <v>12</v>
      </c>
      <c r="G30" s="3"/>
      <c r="H30" s="3">
        <v>44.193548387096776</v>
      </c>
      <c r="I30" s="3"/>
      <c r="J30" s="3"/>
      <c r="K30" s="3"/>
      <c r="L30" s="3"/>
      <c r="M30" s="3">
        <f>SUM(表2_456[[#This Row],[吃饭]:[学习阅读]])</f>
        <v>259.44354838709677</v>
      </c>
      <c r="N30" s="3">
        <f>表2_456[[#This Row],[合计]]-表2_456[[#This Row],[房租]]-表2_456[[#This Row],[水电话费]]</f>
        <v>215.25</v>
      </c>
    </row>
    <row r="31" spans="1:14" ht="13.5" customHeight="1" x14ac:dyDescent="0.3">
      <c r="A31" s="1">
        <v>45473</v>
      </c>
      <c r="B31" s="3"/>
      <c r="C31" s="3">
        <v>2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SUM(表2_456[[#This Row],[吃饭]:[学习阅读]])</f>
        <v>46.193548387096776</v>
      </c>
      <c r="N31" s="3">
        <f>表2_456[[#This Row],[合计]]-表2_456[[#This Row],[房租]]-表2_456[[#This Row],[水电话费]]</f>
        <v>2</v>
      </c>
    </row>
    <row r="32" spans="1:14" ht="37.25" customHeight="1" x14ac:dyDescent="0.3">
      <c r="A32" s="4" t="s">
        <v>11</v>
      </c>
      <c r="B32" s="3">
        <f t="shared" ref="B32:M32" si="0">SUM(B2:B31)</f>
        <v>621.24</v>
      </c>
      <c r="C32" s="3">
        <f>SUM(C3:C31)</f>
        <v>49.9</v>
      </c>
      <c r="D32" s="3">
        <f t="shared" si="0"/>
        <v>284</v>
      </c>
      <c r="E32" s="3">
        <f t="shared" si="0"/>
        <v>695.06</v>
      </c>
      <c r="F32" s="3">
        <f t="shared" si="0"/>
        <v>232.5</v>
      </c>
      <c r="G32" s="3">
        <f t="shared" si="0"/>
        <v>151.69999999999999</v>
      </c>
      <c r="H32" s="3">
        <f>SUM(H2:H31)</f>
        <v>1325.8064516129041</v>
      </c>
      <c r="I32" s="3">
        <f t="shared" si="0"/>
        <v>196</v>
      </c>
      <c r="J32" s="3">
        <f t="shared" si="0"/>
        <v>7</v>
      </c>
      <c r="K32" s="3">
        <f t="shared" si="0"/>
        <v>0</v>
      </c>
      <c r="L32" s="3">
        <f t="shared" si="0"/>
        <v>0</v>
      </c>
      <c r="M32" s="5">
        <f t="shared" si="0"/>
        <v>3563.2064516129017</v>
      </c>
      <c r="N32" s="3">
        <f>表2_456[[#This Row],[合计]]-表2_456[[#This Row],[房租]]-表2_456[[#This Row],[水电话费]]</f>
        <v>2041.3999999999978</v>
      </c>
    </row>
    <row r="33" spans="2:13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3563.2064516129039</v>
      </c>
      <c r="M33" s="3"/>
    </row>
  </sheetData>
  <phoneticPr fontId="1" type="noConversion"/>
  <conditionalFormatting sqref="N2:N31">
    <cfRule type="cellIs" dxfId="18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B029-4B82-4CB0-8C60-9D1075A19526}">
  <dimension ref="A1:N34"/>
  <sheetViews>
    <sheetView workbookViewId="0">
      <selection activeCell="C21" sqref="C21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45474</v>
      </c>
      <c r="B2" s="3"/>
      <c r="C2" s="3"/>
      <c r="D2" s="3">
        <v>100</v>
      </c>
      <c r="E2" s="3"/>
      <c r="F2" s="3"/>
      <c r="G2" s="3"/>
      <c r="H2" s="3">
        <f>1101.7/25</f>
        <v>44.068000000000005</v>
      </c>
      <c r="I2" s="3">
        <v>100</v>
      </c>
      <c r="J2" s="3"/>
      <c r="K2" s="3"/>
      <c r="L2" s="3"/>
      <c r="M2" s="3">
        <f>SUM(表2_478[[#This Row],[吃饭]:[学习阅读]])</f>
        <v>244.06800000000001</v>
      </c>
      <c r="N2" s="3">
        <f>表2_478[[#This Row],[合计]]-表2_478[[#This Row],[房租]]-表2_478[[#This Row],[水电话费]]</f>
        <v>100</v>
      </c>
    </row>
    <row r="3" spans="1:14" x14ac:dyDescent="0.3">
      <c r="A3" s="1">
        <v>45475</v>
      </c>
      <c r="B3" s="3">
        <f>5+16.96</f>
        <v>21.96</v>
      </c>
      <c r="C3" s="3"/>
      <c r="D3" s="3"/>
      <c r="E3" s="3"/>
      <c r="F3" s="3"/>
      <c r="G3" s="3"/>
      <c r="H3" s="3">
        <f t="shared" ref="H3:H17" si="0">1101.7/25</f>
        <v>44.068000000000005</v>
      </c>
      <c r="I3" s="3"/>
      <c r="J3" s="3"/>
      <c r="K3" s="3"/>
      <c r="L3" s="3"/>
      <c r="M3" s="3">
        <f>SUM(表2_478[[#This Row],[吃饭]:[学习阅读]])</f>
        <v>66.028000000000006</v>
      </c>
      <c r="N3" s="3">
        <f>表2_478[[#This Row],[合计]]-表2_478[[#This Row],[房租]]-表2_478[[#This Row],[水电话费]]</f>
        <v>21.96</v>
      </c>
    </row>
    <row r="4" spans="1:14" x14ac:dyDescent="0.3">
      <c r="A4" s="1">
        <v>45476</v>
      </c>
      <c r="B4" s="3">
        <v>29</v>
      </c>
      <c r="C4" s="3"/>
      <c r="D4" s="3"/>
      <c r="E4" s="3"/>
      <c r="F4" s="3">
        <v>16</v>
      </c>
      <c r="G4" s="3"/>
      <c r="H4" s="3">
        <f t="shared" si="0"/>
        <v>44.068000000000005</v>
      </c>
      <c r="I4" s="3"/>
      <c r="J4" s="3"/>
      <c r="K4" s="3"/>
      <c r="L4" s="3"/>
      <c r="M4" s="3">
        <f>SUM(表2_478[[#This Row],[吃饭]:[学习阅读]])</f>
        <v>89.068000000000012</v>
      </c>
      <c r="N4" s="3">
        <f>表2_478[[#This Row],[合计]]-表2_478[[#This Row],[房租]]-表2_478[[#This Row],[水电话费]]</f>
        <v>45.000000000000007</v>
      </c>
    </row>
    <row r="5" spans="1:14" x14ac:dyDescent="0.3">
      <c r="A5" s="1">
        <v>45477</v>
      </c>
      <c r="B5" s="3">
        <f>5.5+16.5</f>
        <v>22</v>
      </c>
      <c r="C5" s="3">
        <v>5</v>
      </c>
      <c r="D5" s="3"/>
      <c r="E5" s="3"/>
      <c r="F5" s="3"/>
      <c r="G5" s="3"/>
      <c r="H5" s="3">
        <f t="shared" si="0"/>
        <v>44.068000000000005</v>
      </c>
      <c r="I5" s="3"/>
      <c r="J5" s="3"/>
      <c r="K5" s="3"/>
      <c r="L5" s="3"/>
      <c r="M5" s="3">
        <f>SUM(表2_478[[#This Row],[吃饭]:[学习阅读]])</f>
        <v>71.068000000000012</v>
      </c>
      <c r="N5" s="3">
        <f>表2_478[[#This Row],[合计]]-表2_478[[#This Row],[房租]]-表2_478[[#This Row],[水电话费]]</f>
        <v>27.000000000000007</v>
      </c>
    </row>
    <row r="6" spans="1:14" x14ac:dyDescent="0.3">
      <c r="A6" s="1">
        <v>45478</v>
      </c>
      <c r="B6" s="3">
        <v>15</v>
      </c>
      <c r="C6" s="3"/>
      <c r="D6" s="3"/>
      <c r="E6" s="3">
        <v>15</v>
      </c>
      <c r="F6" s="3"/>
      <c r="G6" s="3"/>
      <c r="H6" s="3">
        <f t="shared" si="0"/>
        <v>44.068000000000005</v>
      </c>
      <c r="I6" s="3"/>
      <c r="J6" s="3"/>
      <c r="K6" s="3"/>
      <c r="L6" s="3"/>
      <c r="M6" s="3">
        <f>SUM(表2_478[[#This Row],[吃饭]:[学习阅读]])</f>
        <v>74.068000000000012</v>
      </c>
      <c r="N6" s="3">
        <f>表2_478[[#This Row],[合计]]-表2_478[[#This Row],[房租]]-表2_478[[#This Row],[水电话费]]</f>
        <v>30.000000000000007</v>
      </c>
    </row>
    <row r="7" spans="1:14" x14ac:dyDescent="0.3">
      <c r="A7" s="1">
        <v>45479</v>
      </c>
      <c r="B7" s="3">
        <v>18</v>
      </c>
      <c r="C7" s="3"/>
      <c r="D7" s="3"/>
      <c r="E7" s="3">
        <v>58</v>
      </c>
      <c r="F7" s="3"/>
      <c r="G7" s="3"/>
      <c r="H7" s="3">
        <f t="shared" si="0"/>
        <v>44.068000000000005</v>
      </c>
      <c r="I7" s="3"/>
      <c r="J7" s="3"/>
      <c r="K7" s="3"/>
      <c r="L7" s="3"/>
      <c r="M7" s="3">
        <f>SUM(表2_478[[#This Row],[吃饭]:[学习阅读]])</f>
        <v>120.06800000000001</v>
      </c>
      <c r="N7" s="3">
        <f>表2_478[[#This Row],[合计]]-表2_478[[#This Row],[房租]]-表2_478[[#This Row],[水电话费]]</f>
        <v>76</v>
      </c>
    </row>
    <row r="8" spans="1:14" x14ac:dyDescent="0.3">
      <c r="A8" s="1">
        <v>45480</v>
      </c>
      <c r="B8" s="3">
        <f>32.4+38.7</f>
        <v>71.099999999999994</v>
      </c>
      <c r="C8" s="3">
        <v>3</v>
      </c>
      <c r="D8" s="3"/>
      <c r="E8" s="3"/>
      <c r="F8" s="3">
        <f>23+19.49+11.3+6.98</f>
        <v>60.769999999999996</v>
      </c>
      <c r="G8" s="3"/>
      <c r="H8" s="3">
        <f t="shared" si="0"/>
        <v>44.068000000000005</v>
      </c>
      <c r="I8" s="3"/>
      <c r="J8" s="3"/>
      <c r="K8" s="3"/>
      <c r="L8" s="3"/>
      <c r="M8" s="3">
        <f>SUM(表2_478[[#This Row],[吃饭]:[学习阅读]])</f>
        <v>178.93800000000002</v>
      </c>
      <c r="N8" s="3">
        <f>表2_478[[#This Row],[合计]]-表2_478[[#This Row],[房租]]-表2_478[[#This Row],[水电话费]]</f>
        <v>134.87</v>
      </c>
    </row>
    <row r="9" spans="1:14" x14ac:dyDescent="0.3">
      <c r="A9" s="1">
        <v>45481</v>
      </c>
      <c r="B9" s="3">
        <f>5+9.9+12.5</f>
        <v>27.4</v>
      </c>
      <c r="C9" s="3">
        <v>5.5</v>
      </c>
      <c r="D9" s="3"/>
      <c r="E9" s="3">
        <v>46.9</v>
      </c>
      <c r="F9" s="3"/>
      <c r="G9" s="3"/>
      <c r="H9" s="3">
        <f t="shared" si="0"/>
        <v>44.068000000000005</v>
      </c>
      <c r="I9" s="3"/>
      <c r="J9" s="3"/>
      <c r="K9" s="3"/>
      <c r="L9" s="3"/>
      <c r="M9" s="3">
        <f>SUM(表2_478[[#This Row],[吃饭]:[学习阅读]])</f>
        <v>123.86799999999999</v>
      </c>
      <c r="N9" s="3">
        <f>表2_478[[#This Row],[合计]]-表2_478[[#This Row],[房租]]-表2_478[[#This Row],[水电话费]]</f>
        <v>79.799999999999983</v>
      </c>
    </row>
    <row r="10" spans="1:14" x14ac:dyDescent="0.3">
      <c r="A10" s="1">
        <v>45482</v>
      </c>
      <c r="B10" s="3">
        <v>37.5</v>
      </c>
      <c r="C10" s="3"/>
      <c r="D10" s="3"/>
      <c r="E10" s="3"/>
      <c r="F10" s="3">
        <v>15</v>
      </c>
      <c r="G10" s="3"/>
      <c r="H10" s="3">
        <f t="shared" si="0"/>
        <v>44.068000000000005</v>
      </c>
      <c r="I10" s="3"/>
      <c r="J10" s="3"/>
      <c r="K10" s="3"/>
      <c r="L10" s="3"/>
      <c r="M10" s="3">
        <f>SUM(表2_478[[#This Row],[吃饭]:[学习阅读]])</f>
        <v>96.568000000000012</v>
      </c>
      <c r="N10" s="3">
        <f>表2_478[[#This Row],[合计]]-表2_478[[#This Row],[房租]]-表2_478[[#This Row],[水电话费]]</f>
        <v>52.500000000000007</v>
      </c>
    </row>
    <row r="11" spans="1:14" x14ac:dyDescent="0.3">
      <c r="A11" s="1">
        <v>45483</v>
      </c>
      <c r="B11" s="3">
        <f>4.5+13.9</f>
        <v>18.399999999999999</v>
      </c>
      <c r="C11" s="3">
        <v>3</v>
      </c>
      <c r="D11" s="3"/>
      <c r="E11" s="3"/>
      <c r="F11" s="3"/>
      <c r="G11" s="3"/>
      <c r="H11" s="3">
        <f t="shared" si="0"/>
        <v>44.068000000000005</v>
      </c>
      <c r="I11" s="3"/>
      <c r="J11" s="3"/>
      <c r="K11" s="3"/>
      <c r="L11" s="3"/>
      <c r="M11" s="3">
        <f>SUM(表2_478[[#This Row],[吃饭]:[学习阅读]])</f>
        <v>65.468000000000004</v>
      </c>
      <c r="N11" s="3">
        <f>表2_478[[#This Row],[合计]]-表2_478[[#This Row],[房租]]-表2_478[[#This Row],[水电话费]]</f>
        <v>21.4</v>
      </c>
    </row>
    <row r="12" spans="1:14" x14ac:dyDescent="0.3">
      <c r="A12" s="1">
        <v>45484</v>
      </c>
      <c r="B12" s="3">
        <f>13.9+20.9</f>
        <v>34.799999999999997</v>
      </c>
      <c r="C12" s="3">
        <v>6</v>
      </c>
      <c r="D12" s="3"/>
      <c r="E12" s="3"/>
      <c r="F12" s="3">
        <v>16.57</v>
      </c>
      <c r="G12" s="3"/>
      <c r="H12" s="3">
        <f t="shared" si="0"/>
        <v>44.068000000000005</v>
      </c>
      <c r="I12" s="3">
        <v>56.8</v>
      </c>
      <c r="J12" s="3"/>
      <c r="K12" s="3"/>
      <c r="L12" s="3"/>
      <c r="M12" s="3">
        <f>SUM(表2_478[[#This Row],[吃饭]:[学习阅读]])</f>
        <v>158.238</v>
      </c>
      <c r="N12" s="3">
        <f>表2_478[[#This Row],[合计]]-表2_478[[#This Row],[房租]]-表2_478[[#This Row],[水电话费]]</f>
        <v>57.36999999999999</v>
      </c>
    </row>
    <row r="13" spans="1:14" x14ac:dyDescent="0.3">
      <c r="A13" s="1">
        <v>45485</v>
      </c>
      <c r="B13" s="3">
        <f>19.9+2+15.36</f>
        <v>37.26</v>
      </c>
      <c r="C13" s="3"/>
      <c r="D13" s="3"/>
      <c r="E13" s="3">
        <v>18.2</v>
      </c>
      <c r="F13" s="3"/>
      <c r="G13" s="3"/>
      <c r="H13" s="3">
        <f t="shared" si="0"/>
        <v>44.068000000000005</v>
      </c>
      <c r="I13" s="3"/>
      <c r="J13" s="3"/>
      <c r="K13" s="3"/>
      <c r="L13" s="3"/>
      <c r="M13" s="3">
        <f>SUM(表2_478[[#This Row],[吃饭]:[学习阅读]])</f>
        <v>99.527999999999992</v>
      </c>
      <c r="N13" s="3">
        <f>表2_478[[#This Row],[合计]]-表2_478[[#This Row],[房租]]-表2_478[[#This Row],[水电话费]]</f>
        <v>55.459999999999987</v>
      </c>
    </row>
    <row r="14" spans="1:14" x14ac:dyDescent="0.3">
      <c r="A14" s="1">
        <v>45486</v>
      </c>
      <c r="B14" s="3">
        <f>9+16.9+13.94</f>
        <v>39.839999999999996</v>
      </c>
      <c r="C14" s="3"/>
      <c r="D14" s="3"/>
      <c r="E14" s="3"/>
      <c r="F14" s="3">
        <v>10.32</v>
      </c>
      <c r="G14" s="3"/>
      <c r="H14" s="3">
        <f t="shared" si="0"/>
        <v>44.068000000000005</v>
      </c>
      <c r="I14" s="3"/>
      <c r="J14" s="3"/>
      <c r="K14" s="3"/>
      <c r="L14" s="3"/>
      <c r="M14" s="3">
        <f>SUM(表2_478[[#This Row],[吃饭]:[学习阅读]])</f>
        <v>94.228000000000009</v>
      </c>
      <c r="N14" s="3">
        <f>表2_478[[#This Row],[合计]]-表2_478[[#This Row],[房租]]-表2_478[[#This Row],[水电话费]]</f>
        <v>50.160000000000004</v>
      </c>
    </row>
    <row r="15" spans="1:14" x14ac:dyDescent="0.3">
      <c r="A15" s="1">
        <v>45487</v>
      </c>
      <c r="B15" s="3">
        <f>30+7.5+3</f>
        <v>40.5</v>
      </c>
      <c r="C15" s="3"/>
      <c r="D15" s="3"/>
      <c r="E15" s="3">
        <v>370</v>
      </c>
      <c r="F15" s="3">
        <v>9.4700000000000006</v>
      </c>
      <c r="G15" s="3"/>
      <c r="H15" s="3">
        <f t="shared" si="0"/>
        <v>44.068000000000005</v>
      </c>
      <c r="I15" s="3"/>
      <c r="J15" s="3"/>
      <c r="K15" s="3"/>
      <c r="L15" s="3"/>
      <c r="M15" s="3">
        <f>SUM(表2_478[[#This Row],[吃饭]:[学习阅读]])</f>
        <v>464.03800000000001</v>
      </c>
      <c r="N15" s="3">
        <f>表2_478[[#This Row],[合计]]-表2_478[[#This Row],[房租]]-表2_478[[#This Row],[水电话费]]</f>
        <v>419.97</v>
      </c>
    </row>
    <row r="16" spans="1:14" x14ac:dyDescent="0.3">
      <c r="A16" s="1">
        <v>45488</v>
      </c>
      <c r="B16" s="3">
        <f>39+3.9+6.2+5+7.9</f>
        <v>62</v>
      </c>
      <c r="C16" s="3"/>
      <c r="D16" s="3"/>
      <c r="E16" s="3"/>
      <c r="F16" s="3">
        <v>5.62</v>
      </c>
      <c r="G16" s="3"/>
      <c r="H16" s="3">
        <f t="shared" si="0"/>
        <v>44.068000000000005</v>
      </c>
      <c r="I16" s="3"/>
      <c r="J16" s="3"/>
      <c r="K16" s="3"/>
      <c r="L16" s="3"/>
      <c r="M16" s="3">
        <f>SUM(表2_478[[#This Row],[吃饭]:[学习阅读]])</f>
        <v>111.68800000000002</v>
      </c>
      <c r="N16" s="3">
        <f>表2_478[[#This Row],[合计]]-表2_478[[#This Row],[房租]]-表2_478[[#This Row],[水电话费]]</f>
        <v>67.62</v>
      </c>
    </row>
    <row r="17" spans="1:14" x14ac:dyDescent="0.3">
      <c r="A17" s="1">
        <v>45489</v>
      </c>
      <c r="B17" s="3">
        <v>206</v>
      </c>
      <c r="C17" s="3">
        <v>2</v>
      </c>
      <c r="D17" s="3"/>
      <c r="E17" s="3">
        <v>150</v>
      </c>
      <c r="F17" s="3"/>
      <c r="G17" s="3"/>
      <c r="H17" s="3">
        <f t="shared" si="0"/>
        <v>44.068000000000005</v>
      </c>
      <c r="I17" s="3"/>
      <c r="J17" s="3"/>
      <c r="K17" s="3"/>
      <c r="L17" s="3"/>
      <c r="M17" s="3">
        <f>SUM(表2_478[[#This Row],[吃饭]:[学习阅读]])</f>
        <v>402.06799999999998</v>
      </c>
      <c r="N17" s="3">
        <f>表2_478[[#This Row],[合计]]-表2_478[[#This Row],[房租]]-表2_478[[#This Row],[水电话费]]</f>
        <v>358</v>
      </c>
    </row>
    <row r="18" spans="1:14" x14ac:dyDescent="0.3">
      <c r="A18" s="1">
        <v>45490</v>
      </c>
      <c r="B18" s="3">
        <v>13.9</v>
      </c>
      <c r="C18" s="3"/>
      <c r="D18" s="3"/>
      <c r="E18" s="3"/>
      <c r="F18" s="3"/>
      <c r="G18" s="3"/>
      <c r="H18" s="3">
        <f>1101.7/25+2700/60</f>
        <v>89.068000000000012</v>
      </c>
      <c r="I18" s="3"/>
      <c r="J18" s="3"/>
      <c r="K18" s="3"/>
      <c r="L18" s="3"/>
      <c r="M18" s="3">
        <f>SUM(表2_478[[#This Row],[吃饭]:[学习阅读]])</f>
        <v>102.96800000000002</v>
      </c>
      <c r="N18" s="3">
        <f>表2_478[[#This Row],[合计]]-表2_478[[#This Row],[房租]]-表2_478[[#This Row],[水电话费]]</f>
        <v>13.900000000000006</v>
      </c>
    </row>
    <row r="19" spans="1:14" x14ac:dyDescent="0.3">
      <c r="A19" s="1">
        <v>45491</v>
      </c>
      <c r="B19" s="3">
        <f>21.3+3.99+4.5</f>
        <v>29.79</v>
      </c>
      <c r="C19" s="3">
        <v>2</v>
      </c>
      <c r="D19" s="3"/>
      <c r="E19" s="3"/>
      <c r="F19" s="3"/>
      <c r="G19" s="3"/>
      <c r="H19" s="3">
        <f t="shared" ref="H19:H26" si="1">1101.7/25+2700/60</f>
        <v>89.068000000000012</v>
      </c>
      <c r="I19" s="3"/>
      <c r="J19" s="3"/>
      <c r="K19" s="3"/>
      <c r="L19" s="3"/>
      <c r="M19" s="3">
        <f>SUM(表2_478[[#This Row],[吃饭]:[学习阅读]])</f>
        <v>120.858</v>
      </c>
      <c r="N19" s="3">
        <f>表2_478[[#This Row],[合计]]-表2_478[[#This Row],[房租]]-表2_478[[#This Row],[水电话费]]</f>
        <v>31.789999999999992</v>
      </c>
    </row>
    <row r="20" spans="1:14" x14ac:dyDescent="0.3">
      <c r="A20" s="1">
        <v>45492</v>
      </c>
      <c r="B20" s="3">
        <v>8.6</v>
      </c>
      <c r="C20" s="3"/>
      <c r="D20" s="3"/>
      <c r="E20" s="3"/>
      <c r="F20" s="3"/>
      <c r="G20" s="3"/>
      <c r="H20" s="3">
        <f t="shared" si="1"/>
        <v>89.068000000000012</v>
      </c>
      <c r="I20" s="3"/>
      <c r="J20" s="3"/>
      <c r="K20" s="3"/>
      <c r="L20" s="3"/>
      <c r="M20" s="3">
        <f>SUM(表2_478[[#This Row],[吃饭]:[学习阅读]])</f>
        <v>97.668000000000006</v>
      </c>
      <c r="N20" s="3">
        <f>表2_478[[#This Row],[合计]]-表2_478[[#This Row],[房租]]-表2_478[[#This Row],[水电话费]]</f>
        <v>8.5999999999999943</v>
      </c>
    </row>
    <row r="21" spans="1:14" x14ac:dyDescent="0.3">
      <c r="A21" s="1">
        <v>45493</v>
      </c>
      <c r="B21" s="3">
        <f>25.7+17.2</f>
        <v>42.9</v>
      </c>
      <c r="C21" s="3">
        <v>19.3</v>
      </c>
      <c r="D21" s="3"/>
      <c r="E21" s="3">
        <v>21</v>
      </c>
      <c r="F21" s="3"/>
      <c r="G21" s="3"/>
      <c r="H21" s="3">
        <f t="shared" si="1"/>
        <v>89.068000000000012</v>
      </c>
      <c r="I21" s="3"/>
      <c r="J21" s="3"/>
      <c r="K21" s="3"/>
      <c r="L21" s="3"/>
      <c r="M21" s="3">
        <f>SUM(表2_478[[#This Row],[吃饭]:[学习阅读]])</f>
        <v>172.26800000000003</v>
      </c>
      <c r="N21" s="3">
        <f>表2_478[[#This Row],[合计]]-表2_478[[#This Row],[房租]]-表2_478[[#This Row],[水电话费]]</f>
        <v>83.200000000000017</v>
      </c>
    </row>
    <row r="22" spans="1:14" x14ac:dyDescent="0.3">
      <c r="A22" s="1">
        <v>45494</v>
      </c>
      <c r="B22" s="3">
        <v>25</v>
      </c>
      <c r="C22" s="3"/>
      <c r="D22" s="3"/>
      <c r="E22" s="3"/>
      <c r="F22" s="3"/>
      <c r="G22" s="3"/>
      <c r="H22" s="3">
        <f t="shared" si="1"/>
        <v>89.068000000000012</v>
      </c>
      <c r="I22" s="3"/>
      <c r="J22" s="3"/>
      <c r="K22" s="3"/>
      <c r="L22" s="3"/>
      <c r="M22" s="3">
        <f>SUM(表2_478[[#This Row],[吃饭]:[学习阅读]])</f>
        <v>114.06800000000001</v>
      </c>
      <c r="N22" s="3">
        <f>表2_478[[#This Row],[合计]]-表2_478[[#This Row],[房租]]-表2_478[[#This Row],[水电话费]]</f>
        <v>25</v>
      </c>
    </row>
    <row r="23" spans="1:14" s="8" customFormat="1" x14ac:dyDescent="0.3">
      <c r="A23" s="6">
        <v>45495</v>
      </c>
      <c r="B23" s="7">
        <v>9.1999999999999993</v>
      </c>
      <c r="C23" s="7">
        <v>9</v>
      </c>
      <c r="D23" s="7"/>
      <c r="E23" s="7"/>
      <c r="F23" s="7">
        <v>15</v>
      </c>
      <c r="G23" s="7"/>
      <c r="H23" s="7">
        <f t="shared" si="1"/>
        <v>89.068000000000012</v>
      </c>
      <c r="I23" s="7"/>
      <c r="J23" s="7"/>
      <c r="K23" s="7"/>
      <c r="L23" s="7"/>
      <c r="M23" s="7">
        <f>SUM(表2_478[[#This Row],[吃饭]:[学习阅读]])</f>
        <v>122.26800000000001</v>
      </c>
      <c r="N23" s="7">
        <f>表2_478[[#This Row],[合计]]-表2_478[[#This Row],[房租]]-表2_478[[#This Row],[水电话费]]</f>
        <v>33.200000000000003</v>
      </c>
    </row>
    <row r="24" spans="1:14" x14ac:dyDescent="0.3">
      <c r="A24" s="1">
        <v>45496</v>
      </c>
      <c r="B24" s="3">
        <v>15</v>
      </c>
      <c r="C24" s="3"/>
      <c r="D24" s="3"/>
      <c r="E24" s="3"/>
      <c r="F24" s="3"/>
      <c r="G24" s="3">
        <v>79</v>
      </c>
      <c r="H24" s="3">
        <f t="shared" si="1"/>
        <v>89.068000000000012</v>
      </c>
      <c r="I24" s="3"/>
      <c r="J24" s="3"/>
      <c r="K24" s="3"/>
      <c r="L24" s="3">
        <v>22.3</v>
      </c>
      <c r="M24" s="3">
        <f>SUM(表2_478[[#This Row],[吃饭]:[学习阅读]])</f>
        <v>205.36800000000002</v>
      </c>
      <c r="N24" s="3">
        <f>表2_478[[#This Row],[合计]]-表2_478[[#This Row],[房租]]-表2_478[[#This Row],[水电话费]]</f>
        <v>116.30000000000001</v>
      </c>
    </row>
    <row r="25" spans="1:14" x14ac:dyDescent="0.3">
      <c r="A25" s="1">
        <v>45497</v>
      </c>
      <c r="B25" s="3"/>
      <c r="C25" s="3"/>
      <c r="D25" s="3"/>
      <c r="E25" s="3"/>
      <c r="F25" s="3"/>
      <c r="G25" s="3"/>
      <c r="H25" s="3">
        <f t="shared" si="1"/>
        <v>89.068000000000012</v>
      </c>
      <c r="I25" s="3"/>
      <c r="J25" s="3"/>
      <c r="K25" s="3"/>
      <c r="L25" s="3"/>
      <c r="M25" s="3">
        <f>SUM(表2_478[[#This Row],[吃饭]:[学习阅读]])</f>
        <v>89.068000000000012</v>
      </c>
      <c r="N25" s="3">
        <f>表2_478[[#This Row],[合计]]-表2_478[[#This Row],[房租]]-表2_478[[#This Row],[水电话费]]</f>
        <v>0</v>
      </c>
    </row>
    <row r="26" spans="1:14" x14ac:dyDescent="0.3">
      <c r="A26" s="1">
        <v>45498</v>
      </c>
      <c r="B26" s="3">
        <f>37.33+9.9</f>
        <v>47.23</v>
      </c>
      <c r="C26" s="3"/>
      <c r="D26" s="3"/>
      <c r="E26" s="3"/>
      <c r="F26" s="3"/>
      <c r="G26" s="3"/>
      <c r="H26" s="3">
        <f t="shared" si="1"/>
        <v>89.068000000000012</v>
      </c>
      <c r="I26" s="3"/>
      <c r="J26" s="3"/>
      <c r="K26" s="3"/>
      <c r="L26" s="3"/>
      <c r="M26" s="3">
        <f>SUM(表2_478[[#This Row],[吃饭]:[学习阅读]])</f>
        <v>136.298</v>
      </c>
      <c r="N26" s="3">
        <f>表2_478[[#This Row],[合计]]-表2_478[[#This Row],[房租]]-表2_478[[#This Row],[水电话费]]</f>
        <v>47.22999999999999</v>
      </c>
    </row>
    <row r="27" spans="1:14" x14ac:dyDescent="0.3">
      <c r="A27" s="1">
        <v>45499</v>
      </c>
      <c r="B27" s="3"/>
      <c r="C27" s="3"/>
      <c r="D27" s="3"/>
      <c r="E27" s="3"/>
      <c r="F27" s="3"/>
      <c r="G27" s="3"/>
      <c r="H27" s="3">
        <f>2700/60</f>
        <v>45</v>
      </c>
      <c r="I27" s="3"/>
      <c r="J27" s="3"/>
      <c r="K27" s="3"/>
      <c r="L27" s="3"/>
      <c r="M27" s="3">
        <f>SUM(表2_478[[#This Row],[吃饭]:[学习阅读]])</f>
        <v>45</v>
      </c>
      <c r="N27" s="3">
        <f>表2_478[[#This Row],[合计]]-表2_478[[#This Row],[房租]]-表2_478[[#This Row],[水电话费]]</f>
        <v>0</v>
      </c>
    </row>
    <row r="28" spans="1:14" x14ac:dyDescent="0.3">
      <c r="A28" s="1">
        <v>45500</v>
      </c>
      <c r="B28" s="3">
        <v>4.9000000000000004</v>
      </c>
      <c r="C28" s="3">
        <v>10</v>
      </c>
      <c r="D28" s="3"/>
      <c r="E28" s="3">
        <v>6</v>
      </c>
      <c r="F28" s="3">
        <v>23</v>
      </c>
      <c r="G28" s="3"/>
      <c r="H28" s="3">
        <f t="shared" ref="H28:H32" si="2">2700/60</f>
        <v>45</v>
      </c>
      <c r="I28" s="3"/>
      <c r="J28" s="3"/>
      <c r="K28" s="3"/>
      <c r="L28" s="3"/>
      <c r="M28" s="3">
        <f>SUM(表2_478[[#This Row],[吃饭]:[学习阅读]])</f>
        <v>88.9</v>
      </c>
      <c r="N28" s="3">
        <f>表2_478[[#This Row],[合计]]-表2_478[[#This Row],[房租]]-表2_478[[#This Row],[水电话费]]</f>
        <v>43.900000000000006</v>
      </c>
    </row>
    <row r="29" spans="1:14" x14ac:dyDescent="0.3">
      <c r="A29" s="1">
        <v>45501</v>
      </c>
      <c r="B29" s="3">
        <v>54.71</v>
      </c>
      <c r="C29" s="3">
        <v>20</v>
      </c>
      <c r="D29" s="3"/>
      <c r="E29" s="3"/>
      <c r="F29" s="3"/>
      <c r="G29" s="3"/>
      <c r="H29" s="3">
        <f t="shared" si="2"/>
        <v>45</v>
      </c>
      <c r="I29" s="3"/>
      <c r="J29" s="3"/>
      <c r="K29" s="3"/>
      <c r="L29" s="3"/>
      <c r="M29" s="3">
        <f>SUM(表2_478[[#This Row],[吃饭]:[学习阅读]])</f>
        <v>119.71000000000001</v>
      </c>
      <c r="N29" s="3">
        <f>表2_478[[#This Row],[合计]]-表2_478[[#This Row],[房租]]-表2_478[[#This Row],[水电话费]]</f>
        <v>74.710000000000008</v>
      </c>
    </row>
    <row r="30" spans="1:14" x14ac:dyDescent="0.3">
      <c r="A30" s="1">
        <v>45502</v>
      </c>
      <c r="B30" s="3">
        <f>11.3+2+2.8+11.9</f>
        <v>28</v>
      </c>
      <c r="C30" s="3">
        <v>8</v>
      </c>
      <c r="D30" s="3">
        <v>26.8</v>
      </c>
      <c r="E30" s="3"/>
      <c r="F30" s="3"/>
      <c r="G30" s="3"/>
      <c r="H30" s="3">
        <f t="shared" si="2"/>
        <v>45</v>
      </c>
      <c r="I30" s="3"/>
      <c r="J30" s="3"/>
      <c r="K30" s="3"/>
      <c r="L30" s="3"/>
      <c r="M30" s="3">
        <f>SUM(表2_478[[#This Row],[吃饭]:[学习阅读]])</f>
        <v>107.8</v>
      </c>
      <c r="N30" s="3">
        <f>表2_478[[#This Row],[合计]]-表2_478[[#This Row],[房租]]-表2_478[[#This Row],[水电话费]]</f>
        <v>62.8</v>
      </c>
    </row>
    <row r="31" spans="1:14" x14ac:dyDescent="0.3">
      <c r="A31" s="1">
        <v>45503</v>
      </c>
      <c r="B31" s="3">
        <v>13.9</v>
      </c>
      <c r="C31" s="3"/>
      <c r="D31" s="3"/>
      <c r="E31" s="3">
        <v>121</v>
      </c>
      <c r="F31" s="3"/>
      <c r="G31" s="3"/>
      <c r="H31" s="3">
        <f t="shared" si="2"/>
        <v>45</v>
      </c>
      <c r="I31" s="3">
        <v>39.25</v>
      </c>
      <c r="J31" s="3"/>
      <c r="K31" s="3"/>
      <c r="L31" s="3"/>
      <c r="M31" s="3">
        <f>SUM(表2_478[[#This Row],[吃饭]:[学习阅读]])</f>
        <v>219.15</v>
      </c>
      <c r="N31" s="3">
        <f>表2_478[[#This Row],[合计]]-表2_478[[#This Row],[房租]]-表2_478[[#This Row],[水电话费]]</f>
        <v>134.9</v>
      </c>
    </row>
    <row r="32" spans="1:14" x14ac:dyDescent="0.3">
      <c r="A32" s="1">
        <v>45504</v>
      </c>
      <c r="B32" s="3">
        <v>10</v>
      </c>
      <c r="C32" s="3"/>
      <c r="D32" s="3">
        <v>29</v>
      </c>
      <c r="E32" s="3"/>
      <c r="F32" s="3"/>
      <c r="G32" s="3"/>
      <c r="H32" s="3">
        <f t="shared" si="2"/>
        <v>45</v>
      </c>
      <c r="I32" s="3"/>
      <c r="J32" s="3"/>
      <c r="K32" s="3"/>
      <c r="L32" s="3"/>
      <c r="M32" s="3">
        <f>SUM(表2_478[[#This Row],[吃饭]:[学习阅读]])</f>
        <v>84</v>
      </c>
      <c r="N32" s="3">
        <f>表2_478[[#This Row],[合计]]-表2_478[[#This Row],[房租]]-表2_478[[#This Row],[水电话费]]</f>
        <v>39</v>
      </c>
    </row>
    <row r="33" spans="1:14" ht="37.25" customHeight="1" x14ac:dyDescent="0.3">
      <c r="A33" s="4" t="s">
        <v>11</v>
      </c>
      <c r="B33" s="3">
        <f>SUM(B2:B32)</f>
        <v>983.89</v>
      </c>
      <c r="C33" s="3">
        <f t="shared" ref="C33:I33" si="3">SUM(C2:C32)</f>
        <v>92.8</v>
      </c>
      <c r="D33" s="3">
        <f>SUM(D2:D32)</f>
        <v>155.80000000000001</v>
      </c>
      <c r="E33" s="3">
        <f t="shared" si="3"/>
        <v>806.1</v>
      </c>
      <c r="F33" s="3">
        <f>SUM(F2:F32)</f>
        <v>171.75</v>
      </c>
      <c r="G33" s="3">
        <f t="shared" si="3"/>
        <v>79</v>
      </c>
      <c r="H33" s="3">
        <f t="shared" si="3"/>
        <v>1776.6999999999998</v>
      </c>
      <c r="I33" s="3">
        <f t="shared" si="3"/>
        <v>196.05</v>
      </c>
      <c r="J33" s="3">
        <f>SUM(J2:J32)</f>
        <v>0</v>
      </c>
      <c r="K33" s="3">
        <f>SUM(K2:K32)</f>
        <v>0</v>
      </c>
      <c r="L33" s="3">
        <f>SUM(L2:L32)</f>
        <v>22.3</v>
      </c>
      <c r="M33" s="5">
        <f>SUM(M2:M32)</f>
        <v>4284.3900000000012</v>
      </c>
      <c r="N33" s="3">
        <f>表2_478[[#This Row],[合计]]-表2_478[[#This Row],[房租]]-表2_478[[#This Row],[水电话费]]</f>
        <v>2311.6400000000012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4284.3900000000003</v>
      </c>
      <c r="M34" s="3"/>
    </row>
  </sheetData>
  <phoneticPr fontId="1" type="noConversion"/>
  <conditionalFormatting sqref="N2:N32">
    <cfRule type="cellIs" dxfId="154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AA8B-E0A1-4EC5-9279-2CF1187929C1}">
  <dimension ref="A1:P34"/>
  <sheetViews>
    <sheetView workbookViewId="0">
      <selection activeCell="G5" sqref="G5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45505</v>
      </c>
      <c r="B2" s="3">
        <v>6</v>
      </c>
      <c r="C2" s="3">
        <v>4</v>
      </c>
      <c r="D2" s="3">
        <v>200</v>
      </c>
      <c r="E2" s="3">
        <v>15</v>
      </c>
      <c r="F2" s="3"/>
      <c r="G2" s="3">
        <v>290</v>
      </c>
      <c r="H2" s="3">
        <f t="shared" ref="H2:H32" si="0">2700/60</f>
        <v>45</v>
      </c>
      <c r="I2" s="3">
        <v>100</v>
      </c>
      <c r="J2" s="3"/>
      <c r="K2" s="3"/>
      <c r="L2" s="3"/>
      <c r="M2" s="3">
        <f>SUM(表2_4789[[#This Row],[吃饭]:[学习阅读]])</f>
        <v>660</v>
      </c>
      <c r="N2" s="3">
        <f>表2_4789[[#This Row],[合计]]-表2_4789[[#This Row],[房租]]-表2_4789[[#This Row],[水电话费]]</f>
        <v>515</v>
      </c>
    </row>
    <row r="3" spans="1:14" x14ac:dyDescent="0.3">
      <c r="A3" s="1">
        <v>45506</v>
      </c>
      <c r="B3" s="3">
        <v>18.899999999999999</v>
      </c>
      <c r="C3" s="3">
        <v>2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SUM(表2_4789[[#This Row],[吃饭]:[学习阅读]])</f>
        <v>65.900000000000006</v>
      </c>
      <c r="N3" s="3">
        <f>表2_4789[[#This Row],[合计]]-表2_4789[[#This Row],[房租]]-表2_4789[[#This Row],[水电话费]]</f>
        <v>20.900000000000006</v>
      </c>
    </row>
    <row r="4" spans="1:14" x14ac:dyDescent="0.3">
      <c r="A4" s="1">
        <v>45507</v>
      </c>
      <c r="B4" s="3">
        <v>6</v>
      </c>
      <c r="C4" s="3"/>
      <c r="D4" s="3"/>
      <c r="E4" s="3"/>
      <c r="F4" s="3"/>
      <c r="G4" s="3">
        <v>306</v>
      </c>
      <c r="H4" s="3">
        <f t="shared" si="0"/>
        <v>45</v>
      </c>
      <c r="I4" s="3"/>
      <c r="J4" s="3"/>
      <c r="K4" s="3"/>
      <c r="L4" s="3"/>
      <c r="M4" s="3">
        <f>SUM(表2_4789[[#This Row],[吃饭]:[学习阅读]])</f>
        <v>357</v>
      </c>
      <c r="N4" s="3">
        <f>表2_4789[[#This Row],[合计]]-表2_4789[[#This Row],[房租]]-表2_4789[[#This Row],[水电话费]]</f>
        <v>312</v>
      </c>
    </row>
    <row r="5" spans="1:14" x14ac:dyDescent="0.3">
      <c r="A5" s="1">
        <v>45508</v>
      </c>
      <c r="B5" s="3">
        <f>15+11.9</f>
        <v>26.9</v>
      </c>
      <c r="C5" s="3">
        <v>4</v>
      </c>
      <c r="D5" s="3"/>
      <c r="E5" s="3">
        <v>3</v>
      </c>
      <c r="F5" s="3">
        <v>11</v>
      </c>
      <c r="G5" s="3">
        <v>650</v>
      </c>
      <c r="H5" s="3">
        <f t="shared" si="0"/>
        <v>45</v>
      </c>
      <c r="I5" s="3"/>
      <c r="J5" s="3"/>
      <c r="K5" s="3"/>
      <c r="L5" s="3"/>
      <c r="M5" s="3">
        <f>SUM(表2_4789[[#This Row],[吃饭]:[学习阅读]])</f>
        <v>739.9</v>
      </c>
      <c r="N5" s="3">
        <f>表2_4789[[#This Row],[合计]]-表2_4789[[#This Row],[房租]]-表2_4789[[#This Row],[水电话费]]</f>
        <v>694.9</v>
      </c>
    </row>
    <row r="6" spans="1:14" x14ac:dyDescent="0.3">
      <c r="A6" s="1">
        <v>45509</v>
      </c>
      <c r="B6" s="3">
        <v>17.899999999999999</v>
      </c>
      <c r="C6" s="3">
        <v>3.9</v>
      </c>
      <c r="D6" s="3"/>
      <c r="E6" s="3">
        <v>26</v>
      </c>
      <c r="F6" s="3"/>
      <c r="G6" s="3">
        <f>2142+15</f>
        <v>2157</v>
      </c>
      <c r="H6" s="3">
        <f t="shared" si="0"/>
        <v>45</v>
      </c>
      <c r="I6" s="3"/>
      <c r="J6" s="3"/>
      <c r="K6" s="3"/>
      <c r="L6" s="3"/>
      <c r="M6" s="3">
        <f>SUM(表2_4789[[#This Row],[吃饭]:[学习阅读]])</f>
        <v>2249.8000000000002</v>
      </c>
      <c r="N6" s="3">
        <f>表2_4789[[#This Row],[合计]]-表2_4789[[#This Row],[房租]]-表2_4789[[#This Row],[水电话费]]</f>
        <v>2204.8000000000002</v>
      </c>
    </row>
    <row r="7" spans="1:14" x14ac:dyDescent="0.3">
      <c r="A7" s="1">
        <v>45510</v>
      </c>
      <c r="B7" s="3">
        <v>52.52</v>
      </c>
      <c r="C7" s="3">
        <v>2</v>
      </c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SUM(表2_4789[[#This Row],[吃饭]:[学习阅读]])</f>
        <v>99.52000000000001</v>
      </c>
      <c r="N7" s="3">
        <f>表2_4789[[#This Row],[合计]]-表2_4789[[#This Row],[房租]]-表2_4789[[#This Row],[水电话费]]</f>
        <v>54.52000000000001</v>
      </c>
    </row>
    <row r="8" spans="1:14" x14ac:dyDescent="0.3">
      <c r="A8" s="1">
        <v>45511</v>
      </c>
      <c r="B8" s="3">
        <v>6</v>
      </c>
      <c r="C8" s="3">
        <v>11.33</v>
      </c>
      <c r="D8" s="3"/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SUM(表2_4789[[#This Row],[吃饭]:[学习阅读]])</f>
        <v>62.33</v>
      </c>
      <c r="N8" s="3">
        <f>表2_4789[[#This Row],[合计]]-表2_4789[[#This Row],[房租]]-表2_4789[[#This Row],[水电话费]]</f>
        <v>17.329999999999998</v>
      </c>
    </row>
    <row r="9" spans="1:14" x14ac:dyDescent="0.3">
      <c r="A9" s="1">
        <v>45512</v>
      </c>
      <c r="B9" s="3">
        <v>6.6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SUM(表2_4789[[#This Row],[吃饭]:[学习阅读]])</f>
        <v>51.6</v>
      </c>
      <c r="N9" s="3">
        <f>表2_4789[[#This Row],[合计]]-表2_4789[[#This Row],[房租]]-表2_4789[[#This Row],[水电话费]]</f>
        <v>6.6000000000000014</v>
      </c>
    </row>
    <row r="10" spans="1:14" x14ac:dyDescent="0.3">
      <c r="A10" s="1">
        <v>45513</v>
      </c>
      <c r="B10" s="3">
        <v>31.58</v>
      </c>
      <c r="C10" s="3"/>
      <c r="D10" s="3"/>
      <c r="E10" s="3"/>
      <c r="F10" s="3"/>
      <c r="G10" s="3">
        <v>49</v>
      </c>
      <c r="H10" s="3">
        <f t="shared" si="0"/>
        <v>45</v>
      </c>
      <c r="I10" s="3"/>
      <c r="J10" s="3"/>
      <c r="K10" s="3"/>
      <c r="L10" s="3"/>
      <c r="M10" s="3">
        <f>SUM(表2_4789[[#This Row],[吃饭]:[学习阅读]])</f>
        <v>125.58</v>
      </c>
      <c r="N10" s="3">
        <f>表2_4789[[#This Row],[合计]]-表2_4789[[#This Row],[房租]]-表2_4789[[#This Row],[水电话费]]</f>
        <v>80.58</v>
      </c>
    </row>
    <row r="11" spans="1:14" x14ac:dyDescent="0.3">
      <c r="A11" s="1">
        <v>45514</v>
      </c>
      <c r="B11" s="3">
        <v>9.8000000000000007</v>
      </c>
      <c r="C11" s="3">
        <v>29</v>
      </c>
      <c r="D11" s="3">
        <v>125</v>
      </c>
      <c r="E11" s="3">
        <v>60</v>
      </c>
      <c r="F11" s="3"/>
      <c r="G11" s="3"/>
      <c r="H11" s="3">
        <f t="shared" si="0"/>
        <v>45</v>
      </c>
      <c r="I11" s="3">
        <v>85.83</v>
      </c>
      <c r="J11" s="3"/>
      <c r="K11" s="3"/>
      <c r="L11" s="3"/>
      <c r="M11" s="3">
        <f>SUM(表2_4789[[#This Row],[吃饭]:[学习阅读]])</f>
        <v>354.63</v>
      </c>
      <c r="N11" s="3">
        <f>表2_4789[[#This Row],[合计]]-表2_4789[[#This Row],[房租]]-表2_4789[[#This Row],[水电话费]]</f>
        <v>223.8</v>
      </c>
    </row>
    <row r="12" spans="1:14" x14ac:dyDescent="0.3">
      <c r="A12" s="1">
        <v>45515</v>
      </c>
      <c r="B12" s="3">
        <v>7.8</v>
      </c>
      <c r="C12" s="3"/>
      <c r="D12" s="3"/>
      <c r="E12" s="3"/>
      <c r="F12" s="3">
        <v>16</v>
      </c>
      <c r="G12" s="3"/>
      <c r="H12" s="3">
        <f t="shared" si="0"/>
        <v>45</v>
      </c>
      <c r="I12" s="3"/>
      <c r="J12" s="3"/>
      <c r="K12" s="3"/>
      <c r="L12" s="3"/>
      <c r="M12" s="3">
        <f>SUM(表2_4789[[#This Row],[吃饭]:[学习阅读]])</f>
        <v>68.8</v>
      </c>
      <c r="N12" s="3">
        <f>表2_4789[[#This Row],[合计]]-表2_4789[[#This Row],[房租]]-表2_4789[[#This Row],[水电话费]]</f>
        <v>23.799999999999997</v>
      </c>
    </row>
    <row r="13" spans="1:14" x14ac:dyDescent="0.3">
      <c r="A13" s="1">
        <v>45516</v>
      </c>
      <c r="B13" s="3">
        <v>10</v>
      </c>
      <c r="C13" s="3">
        <v>2</v>
      </c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SUM(表2_4789[[#This Row],[吃饭]:[学习阅读]])</f>
        <v>57</v>
      </c>
      <c r="N13" s="3">
        <f>表2_4789[[#This Row],[合计]]-表2_4789[[#This Row],[房租]]-表2_4789[[#This Row],[水电话费]]</f>
        <v>12</v>
      </c>
    </row>
    <row r="14" spans="1:14" x14ac:dyDescent="0.3">
      <c r="A14" s="1">
        <v>45517</v>
      </c>
      <c r="B14" s="3"/>
      <c r="C14" s="3">
        <v>2.8</v>
      </c>
      <c r="D14" s="3"/>
      <c r="E14" s="3">
        <v>89</v>
      </c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SUM(表2_4789[[#This Row],[吃饭]:[学习阅读]])</f>
        <v>136.80000000000001</v>
      </c>
      <c r="N14" s="3">
        <f>表2_4789[[#This Row],[合计]]-表2_4789[[#This Row],[房租]]-表2_4789[[#This Row],[水电话费]]</f>
        <v>91.800000000000011</v>
      </c>
    </row>
    <row r="15" spans="1:14" x14ac:dyDescent="0.3">
      <c r="A15" s="1">
        <v>45518</v>
      </c>
      <c r="B15" s="3">
        <v>38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SUM(表2_4789[[#This Row],[吃饭]:[学习阅读]])</f>
        <v>83</v>
      </c>
      <c r="N15" s="3">
        <f>表2_4789[[#This Row],[合计]]-表2_4789[[#This Row],[房租]]-表2_4789[[#This Row],[水电话费]]</f>
        <v>38</v>
      </c>
    </row>
    <row r="16" spans="1:14" x14ac:dyDescent="0.3">
      <c r="A16" s="1">
        <v>45519</v>
      </c>
      <c r="B16" s="3">
        <v>13.9</v>
      </c>
      <c r="C16" s="3">
        <v>3</v>
      </c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SUM(表2_4789[[#This Row],[吃饭]:[学习阅读]])</f>
        <v>61.9</v>
      </c>
      <c r="N16" s="3">
        <f>表2_4789[[#This Row],[合计]]-表2_4789[[#This Row],[房租]]-表2_4789[[#This Row],[水电话费]]</f>
        <v>16.899999999999999</v>
      </c>
    </row>
    <row r="17" spans="1:16" x14ac:dyDescent="0.3">
      <c r="A17" s="1">
        <v>45520</v>
      </c>
      <c r="B17" s="3">
        <v>15</v>
      </c>
      <c r="C17" s="3">
        <v>10</v>
      </c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SUM(表2_4789[[#This Row],[吃饭]:[学习阅读]])</f>
        <v>70</v>
      </c>
      <c r="N17" s="3">
        <f>表2_4789[[#This Row],[合计]]-表2_4789[[#This Row],[房租]]-表2_4789[[#This Row],[水电话费]]</f>
        <v>25</v>
      </c>
    </row>
    <row r="18" spans="1:16" x14ac:dyDescent="0.3">
      <c r="A18" s="1">
        <v>45521</v>
      </c>
      <c r="B18" s="3">
        <v>13</v>
      </c>
      <c r="C18" s="3"/>
      <c r="D18" s="3"/>
      <c r="E18" s="3"/>
      <c r="F18" s="3"/>
      <c r="G18" s="3">
        <v>899</v>
      </c>
      <c r="H18" s="3">
        <f t="shared" si="0"/>
        <v>45</v>
      </c>
      <c r="I18" s="3"/>
      <c r="J18" s="3"/>
      <c r="K18" s="3"/>
      <c r="L18" s="3"/>
      <c r="M18" s="3">
        <f>SUM(表2_4789[[#This Row],[吃饭]:[学习阅读]])</f>
        <v>957</v>
      </c>
      <c r="N18" s="3">
        <f>表2_4789[[#This Row],[合计]]-表2_4789[[#This Row],[房租]]-表2_4789[[#This Row],[水电话费]]</f>
        <v>912</v>
      </c>
    </row>
    <row r="19" spans="1:16" x14ac:dyDescent="0.3">
      <c r="A19" s="1">
        <v>45522</v>
      </c>
      <c r="B19" s="3">
        <v>25</v>
      </c>
      <c r="C19" s="3">
        <v>17</v>
      </c>
      <c r="D19" s="3"/>
      <c r="E19" s="3">
        <v>18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SUM(表2_4789[[#This Row],[吃饭]:[学习阅读]])</f>
        <v>105</v>
      </c>
      <c r="N19" s="3">
        <f>表2_4789[[#This Row],[合计]]-表2_4789[[#This Row],[房租]]-表2_4789[[#This Row],[水电话费]]</f>
        <v>60</v>
      </c>
    </row>
    <row r="20" spans="1:16" x14ac:dyDescent="0.3">
      <c r="A20" s="1">
        <v>45523</v>
      </c>
      <c r="B20" s="3">
        <v>26</v>
      </c>
      <c r="C20" s="3">
        <v>2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SUM(表2_4789[[#This Row],[吃饭]:[学习阅读]])</f>
        <v>73</v>
      </c>
      <c r="N20" s="3">
        <f>表2_4789[[#This Row],[合计]]-表2_4789[[#This Row],[房租]]-表2_4789[[#This Row],[水电话费]]</f>
        <v>28</v>
      </c>
    </row>
    <row r="21" spans="1:16" x14ac:dyDescent="0.3">
      <c r="A21" s="1">
        <v>45524</v>
      </c>
      <c r="B21" s="3">
        <v>20</v>
      </c>
      <c r="C21" s="3">
        <v>5</v>
      </c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SUM(表2_4789[[#This Row],[吃饭]:[学习阅读]])</f>
        <v>70</v>
      </c>
      <c r="N21" s="3">
        <f>表2_4789[[#This Row],[合计]]-表2_4789[[#This Row],[房租]]-表2_4789[[#This Row],[水电话费]]</f>
        <v>25</v>
      </c>
    </row>
    <row r="22" spans="1:16" x14ac:dyDescent="0.3">
      <c r="A22" s="1">
        <v>45525</v>
      </c>
      <c r="B22" s="3">
        <v>51</v>
      </c>
      <c r="C22" s="3">
        <v>5</v>
      </c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SUM(表2_4789[[#This Row],[吃饭]:[学习阅读]])</f>
        <v>101</v>
      </c>
      <c r="N22" s="3">
        <f>表2_4789[[#This Row],[合计]]-表2_4789[[#This Row],[房租]]-表2_4789[[#This Row],[水电话费]]</f>
        <v>56</v>
      </c>
    </row>
    <row r="23" spans="1:16" s="8" customFormat="1" x14ac:dyDescent="0.3">
      <c r="A23" s="1">
        <v>45526</v>
      </c>
      <c r="B23" s="7">
        <v>67</v>
      </c>
      <c r="C23" s="7"/>
      <c r="D23" s="7"/>
      <c r="E23" s="7"/>
      <c r="F23" s="7"/>
      <c r="G23" s="7"/>
      <c r="H23" s="3">
        <f t="shared" si="0"/>
        <v>45</v>
      </c>
      <c r="I23" s="7"/>
      <c r="J23" s="7"/>
      <c r="K23" s="7"/>
      <c r="L23" s="7"/>
      <c r="M23" s="7">
        <f>SUM(表2_4789[[#This Row],[吃饭]:[学习阅读]])</f>
        <v>112</v>
      </c>
      <c r="N23" s="7">
        <f>表2_4789[[#This Row],[合计]]-表2_4789[[#This Row],[房租]]-表2_4789[[#This Row],[水电话费]]</f>
        <v>67</v>
      </c>
    </row>
    <row r="24" spans="1:16" x14ac:dyDescent="0.3">
      <c r="A24" s="1">
        <v>45527</v>
      </c>
      <c r="B24" s="3">
        <v>37</v>
      </c>
      <c r="C24" s="3"/>
      <c r="D24" s="3"/>
      <c r="E24" s="3">
        <v>20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SUM(表2_4789[[#This Row],[吃饭]:[学习阅读]])</f>
        <v>102</v>
      </c>
      <c r="N24" s="3">
        <f>表2_4789[[#This Row],[合计]]-表2_4789[[#This Row],[房租]]-表2_4789[[#This Row],[水电话费]]</f>
        <v>57</v>
      </c>
    </row>
    <row r="25" spans="1:16" x14ac:dyDescent="0.3">
      <c r="A25" s="1">
        <v>45528</v>
      </c>
      <c r="B25" s="3">
        <v>28</v>
      </c>
      <c r="C25" s="3"/>
      <c r="D25" s="3"/>
      <c r="E25" s="3"/>
      <c r="F25" s="3"/>
      <c r="G25" s="3">
        <v>45</v>
      </c>
      <c r="H25" s="3">
        <f t="shared" si="0"/>
        <v>45</v>
      </c>
      <c r="I25" s="3"/>
      <c r="J25" s="3"/>
      <c r="K25" s="3"/>
      <c r="L25" s="3"/>
      <c r="M25" s="3">
        <f>SUM(表2_4789[[#This Row],[吃饭]:[学习阅读]])</f>
        <v>118</v>
      </c>
      <c r="N25" s="3">
        <f>表2_4789[[#This Row],[合计]]-表2_4789[[#This Row],[房租]]-表2_4789[[#This Row],[水电话费]]</f>
        <v>73</v>
      </c>
    </row>
    <row r="26" spans="1:16" x14ac:dyDescent="0.3">
      <c r="A26" s="1">
        <v>45529</v>
      </c>
      <c r="B26" s="3">
        <v>38</v>
      </c>
      <c r="C26" s="3"/>
      <c r="D26" s="3"/>
      <c r="E26" s="3">
        <v>12</v>
      </c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SUM(表2_4789[[#This Row],[吃饭]:[学习阅读]])</f>
        <v>95</v>
      </c>
      <c r="N26" s="3">
        <f>表2_4789[[#This Row],[合计]]-表2_4789[[#This Row],[房租]]-表2_4789[[#This Row],[水电话费]]</f>
        <v>50</v>
      </c>
    </row>
    <row r="27" spans="1:16" x14ac:dyDescent="0.3">
      <c r="A27" s="1">
        <v>45530</v>
      </c>
      <c r="B27" s="3">
        <v>20</v>
      </c>
      <c r="C27" s="3"/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SUM(表2_4789[[#This Row],[吃饭]:[学习阅读]])</f>
        <v>65</v>
      </c>
      <c r="N27" s="3">
        <f>表2_4789[[#This Row],[合计]]-表2_4789[[#This Row],[房租]]-表2_4789[[#This Row],[水电话费]]</f>
        <v>20</v>
      </c>
    </row>
    <row r="28" spans="1:16" x14ac:dyDescent="0.3">
      <c r="A28" s="1">
        <v>45531</v>
      </c>
      <c r="B28" s="3">
        <v>18.899999999999999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>
        <v>550</v>
      </c>
      <c r="M28" s="3">
        <f>SUM(表2_4789[[#This Row],[吃饭]:[学习阅读]])</f>
        <v>613.9</v>
      </c>
      <c r="N28" s="3">
        <f>表2_4789[[#This Row],[合计]]-表2_4789[[#This Row],[房租]]-表2_4789[[#This Row],[水电话费]]</f>
        <v>568.9</v>
      </c>
    </row>
    <row r="29" spans="1:16" x14ac:dyDescent="0.3">
      <c r="A29" s="1">
        <v>45532</v>
      </c>
      <c r="B29" s="3">
        <v>23</v>
      </c>
      <c r="C29" s="3">
        <v>5</v>
      </c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SUM(表2_4789[[#This Row],[吃饭]:[学习阅读]])</f>
        <v>73</v>
      </c>
      <c r="N29" s="3">
        <f>表2_4789[[#This Row],[合计]]-表2_4789[[#This Row],[房租]]-表2_4789[[#This Row],[水电话费]]</f>
        <v>28</v>
      </c>
    </row>
    <row r="30" spans="1:16" x14ac:dyDescent="0.3">
      <c r="A30" s="1">
        <v>45533</v>
      </c>
      <c r="B30" s="3">
        <v>239</v>
      </c>
      <c r="C30" s="3"/>
      <c r="D30" s="3"/>
      <c r="E30" s="3"/>
      <c r="F30" s="3"/>
      <c r="G30" s="3"/>
      <c r="H30" s="3">
        <f t="shared" ref="H30" si="1">2700/60</f>
        <v>45</v>
      </c>
      <c r="I30" s="3"/>
      <c r="J30" s="3"/>
      <c r="K30" s="3"/>
      <c r="L30" s="3"/>
      <c r="M30" s="3">
        <f>SUM(表2_4789[[#This Row],[吃饭]:[学习阅读]])</f>
        <v>284</v>
      </c>
      <c r="N30" s="3">
        <f>表2_4789[[#This Row],[合计]]-表2_4789[[#This Row],[房租]]-表2_4789[[#This Row],[水电话费]]</f>
        <v>239</v>
      </c>
    </row>
    <row r="31" spans="1:16" x14ac:dyDescent="0.3">
      <c r="A31" s="1">
        <v>45534</v>
      </c>
      <c r="B31" s="3">
        <v>32</v>
      </c>
      <c r="C31" s="3"/>
      <c r="D31" s="3">
        <v>100</v>
      </c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SUM(表2_4789[[#This Row],[吃饭]:[学习阅读]])</f>
        <v>177</v>
      </c>
      <c r="N31" s="3">
        <f>表2_4789[[#This Row],[合计]]-表2_4789[[#This Row],[房租]]-表2_4789[[#This Row],[水电话费]]</f>
        <v>132</v>
      </c>
    </row>
    <row r="32" spans="1:16" x14ac:dyDescent="0.3">
      <c r="A32" s="1">
        <v>45535</v>
      </c>
      <c r="B32" s="3">
        <v>136</v>
      </c>
      <c r="C32" s="3">
        <v>13</v>
      </c>
      <c r="D32" s="3"/>
      <c r="E32" s="3">
        <v>260</v>
      </c>
      <c r="F32" s="3">
        <v>16</v>
      </c>
      <c r="G32" s="3">
        <v>45</v>
      </c>
      <c r="H32" s="3">
        <f t="shared" si="0"/>
        <v>45</v>
      </c>
      <c r="I32" s="3"/>
      <c r="J32" s="3"/>
      <c r="K32" s="3"/>
      <c r="L32" s="3"/>
      <c r="M32" s="3">
        <f>SUM(表2_4789[[#This Row],[吃饭]:[学习阅读]])</f>
        <v>515</v>
      </c>
      <c r="N32" s="3">
        <f>表2_4789[[#This Row],[合计]]-表2_4789[[#This Row],[房租]]-表2_4789[[#This Row],[水电话费]]</f>
        <v>470</v>
      </c>
      <c r="O32" s="2" t="s">
        <v>15</v>
      </c>
      <c r="P32" s="2" t="s">
        <v>16</v>
      </c>
    </row>
    <row r="33" spans="1:16" ht="37.25" customHeight="1" x14ac:dyDescent="0.3">
      <c r="A33" s="4" t="s">
        <v>11</v>
      </c>
      <c r="B33" s="3">
        <f>SUM(B2:B32)</f>
        <v>1040.8</v>
      </c>
      <c r="C33" s="3">
        <f t="shared" ref="C33:I33" si="2">SUM(C2:C32)</f>
        <v>121.03</v>
      </c>
      <c r="D33" s="3">
        <f>SUM(D2:D32)</f>
        <v>425</v>
      </c>
      <c r="E33" s="3">
        <f t="shared" si="2"/>
        <v>503</v>
      </c>
      <c r="F33" s="3">
        <f>SUM(F2:F32)</f>
        <v>43</v>
      </c>
      <c r="G33" s="3">
        <f t="shared" si="2"/>
        <v>4441</v>
      </c>
      <c r="H33" s="3">
        <f t="shared" si="2"/>
        <v>1395</v>
      </c>
      <c r="I33" s="3">
        <f t="shared" si="2"/>
        <v>185.82999999999998</v>
      </c>
      <c r="J33" s="3">
        <f>SUM(J2:J32)</f>
        <v>0</v>
      </c>
      <c r="K33" s="3">
        <f>SUM(K2:K32)</f>
        <v>0</v>
      </c>
      <c r="L33" s="3">
        <f>SUM(L2:L32)</f>
        <v>550</v>
      </c>
      <c r="M33" s="5">
        <f>SUM(M2:M32)</f>
        <v>8704.66</v>
      </c>
      <c r="N33" s="3">
        <f>表2_4789[[#This Row],[合计]]-表2_4789[[#This Row],[房租]]-表2_4789[[#This Row],[水电话费]]</f>
        <v>7123.83</v>
      </c>
      <c r="O33" s="2">
        <f>-(2157+290+49)</f>
        <v>-2496</v>
      </c>
      <c r="P33" s="3">
        <f>表2_4789[[#This Row],[合计（）]]+O33</f>
        <v>4627.83</v>
      </c>
    </row>
    <row r="34" spans="1:16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8704.66</v>
      </c>
      <c r="M34" s="3"/>
    </row>
  </sheetData>
  <phoneticPr fontId="1" type="noConversion"/>
  <conditionalFormatting sqref="N2:N32">
    <cfRule type="cellIs" dxfId="123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EA3E-D135-4607-9594-E31CD420F3BB}">
  <dimension ref="A1:N33"/>
  <sheetViews>
    <sheetView workbookViewId="0">
      <selection activeCell="B31" sqref="B31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45536</v>
      </c>
      <c r="B2" s="3">
        <v>26</v>
      </c>
      <c r="C2" s="3"/>
      <c r="D2" s="3"/>
      <c r="E2" s="3"/>
      <c r="F2" s="3"/>
      <c r="G2" s="3"/>
      <c r="H2" s="3">
        <f t="shared" ref="H2:H31" si="0">2700/60</f>
        <v>45</v>
      </c>
      <c r="I2" s="3">
        <v>100</v>
      </c>
      <c r="J2" s="3"/>
      <c r="K2" s="3"/>
      <c r="L2" s="3"/>
      <c r="M2" s="3">
        <f>SUM(表2_45610[[#This Row],[吃饭]:[学习阅读]])</f>
        <v>171</v>
      </c>
      <c r="N2" s="3">
        <f>表2_45610[[#This Row],[合计]]-表2_45610[[#This Row],[房租]]-表2_45610[[#This Row],[水电话费]]</f>
        <v>26</v>
      </c>
    </row>
    <row r="3" spans="1:14" x14ac:dyDescent="0.3">
      <c r="A3" s="1">
        <v>45537</v>
      </c>
      <c r="B3" s="3">
        <v>26</v>
      </c>
      <c r="C3" s="3">
        <v>5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SUM(表2_45610[[#This Row],[吃饭]:[学习阅读]])</f>
        <v>76</v>
      </c>
      <c r="N3" s="3">
        <f>表2_45610[[#This Row],[合计]]-表2_45610[[#This Row],[房租]]-表2_45610[[#This Row],[水电话费]]</f>
        <v>31</v>
      </c>
    </row>
    <row r="4" spans="1:14" x14ac:dyDescent="0.3">
      <c r="A4" s="1">
        <v>45538</v>
      </c>
      <c r="B4" s="3">
        <v>14</v>
      </c>
      <c r="C4" s="3">
        <v>1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SUM(表2_45610[[#This Row],[吃饭]:[学习阅读]])</f>
        <v>60</v>
      </c>
      <c r="N4" s="3">
        <f>表2_45610[[#This Row],[合计]]-表2_45610[[#This Row],[房租]]-表2_45610[[#This Row],[水电话费]]</f>
        <v>15</v>
      </c>
    </row>
    <row r="5" spans="1:14" x14ac:dyDescent="0.3">
      <c r="A5" s="1">
        <v>45539</v>
      </c>
      <c r="B5" s="3">
        <v>4.5</v>
      </c>
      <c r="C5" s="3">
        <v>4.63</v>
      </c>
      <c r="D5" s="3"/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SUM(表2_45610[[#This Row],[吃饭]:[学习阅读]])</f>
        <v>54.129999999999995</v>
      </c>
      <c r="N5" s="3">
        <f>表2_45610[[#This Row],[合计]]-表2_45610[[#This Row],[房租]]-表2_45610[[#This Row],[水电话费]]</f>
        <v>9.1299999999999955</v>
      </c>
    </row>
    <row r="6" spans="1:14" x14ac:dyDescent="0.3">
      <c r="A6" s="1">
        <v>45540</v>
      </c>
      <c r="B6" s="3">
        <v>56</v>
      </c>
      <c r="C6" s="3">
        <v>2.5</v>
      </c>
      <c r="D6" s="3"/>
      <c r="E6" s="3">
        <v>15</v>
      </c>
      <c r="F6" s="3"/>
      <c r="G6" s="3">
        <v>495</v>
      </c>
      <c r="H6" s="3">
        <f t="shared" si="0"/>
        <v>45</v>
      </c>
      <c r="I6" s="3"/>
      <c r="J6" s="3"/>
      <c r="K6" s="3"/>
      <c r="L6" s="3"/>
      <c r="M6" s="3">
        <f>SUM(表2_45610[[#This Row],[吃饭]:[学习阅读]])</f>
        <v>613.5</v>
      </c>
      <c r="N6" s="3">
        <f>表2_45610[[#This Row],[合计]]-表2_45610[[#This Row],[房租]]-表2_45610[[#This Row],[水电话费]]</f>
        <v>568.5</v>
      </c>
    </row>
    <row r="7" spans="1:14" x14ac:dyDescent="0.3">
      <c r="A7" s="1">
        <v>45541</v>
      </c>
      <c r="B7" s="3">
        <v>19.8</v>
      </c>
      <c r="C7" s="3"/>
      <c r="D7" s="3">
        <v>14</v>
      </c>
      <c r="E7" s="3">
        <v>8.9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SUM(表2_45610[[#This Row],[吃饭]:[学习阅读]])</f>
        <v>87.699999999999989</v>
      </c>
      <c r="N7" s="3">
        <f>表2_45610[[#This Row],[合计]]-表2_45610[[#This Row],[房租]]-表2_45610[[#This Row],[水电话费]]</f>
        <v>42.699999999999989</v>
      </c>
    </row>
    <row r="8" spans="1:14" x14ac:dyDescent="0.3">
      <c r="A8" s="1">
        <v>45542</v>
      </c>
      <c r="B8" s="3">
        <v>37</v>
      </c>
      <c r="C8" s="3"/>
      <c r="D8" s="3"/>
      <c r="E8" s="3"/>
      <c r="F8" s="3"/>
      <c r="G8" s="3">
        <v>40</v>
      </c>
      <c r="H8" s="3">
        <f t="shared" si="0"/>
        <v>45</v>
      </c>
      <c r="I8" s="3"/>
      <c r="J8" s="3"/>
      <c r="K8" s="3"/>
      <c r="L8" s="3"/>
      <c r="M8" s="3">
        <f>SUM(表2_45610[[#This Row],[吃饭]:[学习阅读]])</f>
        <v>122</v>
      </c>
      <c r="N8" s="3">
        <f>表2_45610[[#This Row],[合计]]-表2_45610[[#This Row],[房租]]-表2_45610[[#This Row],[水电话费]]</f>
        <v>77</v>
      </c>
    </row>
    <row r="9" spans="1:14" x14ac:dyDescent="0.3">
      <c r="A9" s="1">
        <v>45543</v>
      </c>
      <c r="B9" s="3">
        <v>52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SUM(表2_45610[[#This Row],[吃饭]:[学习阅读]])</f>
        <v>97</v>
      </c>
      <c r="N9" s="3">
        <f>表2_45610[[#This Row],[合计]]-表2_45610[[#This Row],[房租]]-表2_45610[[#This Row],[水电话费]]</f>
        <v>52</v>
      </c>
    </row>
    <row r="10" spans="1:14" x14ac:dyDescent="0.3">
      <c r="A10" s="1">
        <v>45544</v>
      </c>
      <c r="B10" s="3">
        <v>36</v>
      </c>
      <c r="C10" s="3">
        <v>1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SUM(表2_45610[[#This Row],[吃饭]:[学习阅读]])</f>
        <v>82</v>
      </c>
      <c r="N10" s="3">
        <f>表2_45610[[#This Row],[合计]]-表2_45610[[#This Row],[房租]]-表2_45610[[#This Row],[水电话费]]</f>
        <v>37</v>
      </c>
    </row>
    <row r="11" spans="1:14" x14ac:dyDescent="0.3">
      <c r="A11" s="1">
        <v>45545</v>
      </c>
      <c r="B11" s="3">
        <v>6</v>
      </c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SUM(表2_45610[[#This Row],[吃饭]:[学习阅读]])</f>
        <v>51</v>
      </c>
      <c r="N11" s="3">
        <f>表2_45610[[#This Row],[合计]]-表2_45610[[#This Row],[房租]]-表2_45610[[#This Row],[水电话费]]</f>
        <v>6</v>
      </c>
    </row>
    <row r="12" spans="1:14" x14ac:dyDescent="0.3">
      <c r="A12" s="1">
        <v>45546</v>
      </c>
      <c r="B12" s="3">
        <v>4.5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SUM(表2_45610[[#This Row],[吃饭]:[学习阅读]])</f>
        <v>49.5</v>
      </c>
      <c r="N12" s="3">
        <f>表2_45610[[#This Row],[合计]]-表2_45610[[#This Row],[房租]]-表2_45610[[#This Row],[水电话费]]</f>
        <v>4.5</v>
      </c>
    </row>
    <row r="13" spans="1:14" x14ac:dyDescent="0.3">
      <c r="A13" s="1">
        <v>45547</v>
      </c>
      <c r="B13" s="3">
        <v>11.85</v>
      </c>
      <c r="C13" s="3"/>
      <c r="D13" s="3"/>
      <c r="E13" s="3"/>
      <c r="F13" s="3">
        <v>16.38</v>
      </c>
      <c r="G13" s="3">
        <v>224</v>
      </c>
      <c r="H13" s="3">
        <f t="shared" si="0"/>
        <v>45</v>
      </c>
      <c r="I13" s="3"/>
      <c r="J13" s="3"/>
      <c r="K13" s="3"/>
      <c r="L13" s="3"/>
      <c r="M13" s="3">
        <f>SUM(表2_45610[[#This Row],[吃饭]:[学习阅读]])</f>
        <v>297.23</v>
      </c>
      <c r="N13" s="3">
        <f>表2_45610[[#This Row],[合计]]-表2_45610[[#This Row],[房租]]-表2_45610[[#This Row],[水电话费]]</f>
        <v>252.23000000000002</v>
      </c>
    </row>
    <row r="14" spans="1:14" x14ac:dyDescent="0.3">
      <c r="A14" s="1">
        <v>45548</v>
      </c>
      <c r="B14" s="3"/>
      <c r="C14" s="3"/>
      <c r="D14" s="3"/>
      <c r="E14" s="3"/>
      <c r="F14" s="3"/>
      <c r="G14" s="3">
        <f>24.58+6.12+83.41+116.21+49.54+50.56+61.06+109.18</f>
        <v>500.66</v>
      </c>
      <c r="H14" s="3">
        <f t="shared" si="0"/>
        <v>45</v>
      </c>
      <c r="I14" s="3"/>
      <c r="J14" s="3"/>
      <c r="K14" s="3"/>
      <c r="L14" s="3"/>
      <c r="M14" s="3">
        <f>SUM(表2_45610[[#This Row],[吃饭]:[学习阅读]])</f>
        <v>545.66000000000008</v>
      </c>
      <c r="N14" s="3">
        <f>表2_45610[[#This Row],[合计]]-表2_45610[[#This Row],[房租]]-表2_45610[[#This Row],[水电话费]]</f>
        <v>500.66000000000008</v>
      </c>
    </row>
    <row r="15" spans="1:14" x14ac:dyDescent="0.3">
      <c r="A15" s="1">
        <v>45549</v>
      </c>
      <c r="B15" s="3"/>
      <c r="C15" s="3"/>
      <c r="D15" s="3"/>
      <c r="E15" s="3"/>
      <c r="F15" s="3"/>
      <c r="G15" s="3">
        <f>14.36+11.47+101.12+133.95+50.56+96</f>
        <v>407.46</v>
      </c>
      <c r="H15" s="3">
        <f t="shared" si="0"/>
        <v>45</v>
      </c>
      <c r="I15" s="3"/>
      <c r="J15" s="3"/>
      <c r="K15" s="3"/>
      <c r="L15" s="3"/>
      <c r="M15" s="3">
        <f>SUM(表2_45610[[#This Row],[吃饭]:[学习阅读]])</f>
        <v>452.46</v>
      </c>
      <c r="N15" s="3">
        <f>表2_45610[[#This Row],[合计]]-表2_45610[[#This Row],[房租]]-表2_45610[[#This Row],[水电话费]]</f>
        <v>407.46</v>
      </c>
    </row>
    <row r="16" spans="1:14" x14ac:dyDescent="0.3">
      <c r="A16" s="1">
        <v>45550</v>
      </c>
      <c r="B16" s="3"/>
      <c r="C16" s="3"/>
      <c r="D16" s="3"/>
      <c r="E16" s="3"/>
      <c r="F16" s="3"/>
      <c r="G16" s="3">
        <f>119+29.77+101+222.41+35.34+5.69</f>
        <v>513.21</v>
      </c>
      <c r="H16" s="3">
        <f t="shared" si="0"/>
        <v>45</v>
      </c>
      <c r="I16" s="3"/>
      <c r="J16" s="3"/>
      <c r="K16" s="3"/>
      <c r="L16" s="3"/>
      <c r="M16" s="3">
        <f>SUM(表2_45610[[#This Row],[吃饭]:[学习阅读]])</f>
        <v>558.21</v>
      </c>
      <c r="N16" s="3">
        <f>表2_45610[[#This Row],[合计]]-表2_45610[[#This Row],[房租]]-表2_45610[[#This Row],[水电话费]]</f>
        <v>513.21</v>
      </c>
    </row>
    <row r="17" spans="1:14" x14ac:dyDescent="0.3">
      <c r="A17" s="1">
        <v>45551</v>
      </c>
      <c r="B17" s="3"/>
      <c r="C17" s="3"/>
      <c r="D17" s="3"/>
      <c r="E17" s="3"/>
      <c r="F17" s="3"/>
      <c r="G17" s="3">
        <f>7.6+207.38+414.75+23.42</f>
        <v>653.15</v>
      </c>
      <c r="H17" s="3">
        <f t="shared" si="0"/>
        <v>45</v>
      </c>
      <c r="I17" s="3"/>
      <c r="J17" s="3"/>
      <c r="K17" s="3"/>
      <c r="L17" s="3"/>
      <c r="M17" s="3">
        <f>SUM(表2_45610[[#This Row],[吃饭]:[学习阅读]])</f>
        <v>698.15</v>
      </c>
      <c r="N17" s="3">
        <f>表2_45610[[#This Row],[合计]]-表2_45610[[#This Row],[房租]]-表2_45610[[#This Row],[水电话费]]</f>
        <v>653.15</v>
      </c>
    </row>
    <row r="18" spans="1:14" x14ac:dyDescent="0.3">
      <c r="A18" s="1">
        <v>45552</v>
      </c>
      <c r="B18" s="3">
        <v>24.8</v>
      </c>
      <c r="C18" s="3"/>
      <c r="D18" s="3"/>
      <c r="E18" s="3"/>
      <c r="F18" s="3">
        <v>17</v>
      </c>
      <c r="G18" s="3">
        <f>156.89+28.7+40.42+576.86+40.55+33.96+7.6</f>
        <v>884.98</v>
      </c>
      <c r="H18" s="3">
        <f t="shared" si="0"/>
        <v>45</v>
      </c>
      <c r="I18" s="3"/>
      <c r="J18" s="3"/>
      <c r="K18" s="3"/>
      <c r="L18" s="3"/>
      <c r="M18" s="3">
        <f>SUM(表2_45610[[#This Row],[吃饭]:[学习阅读]])</f>
        <v>971.78</v>
      </c>
      <c r="N18" s="3">
        <f>表2_45610[[#This Row],[合计]]-表2_45610[[#This Row],[房租]]-表2_45610[[#This Row],[水电话费]]</f>
        <v>926.78</v>
      </c>
    </row>
    <row r="19" spans="1:14" x14ac:dyDescent="0.3">
      <c r="A19" s="1">
        <v>45553</v>
      </c>
      <c r="B19" s="3">
        <v>56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SUM(表2_45610[[#This Row],[吃饭]:[学习阅读]])</f>
        <v>101</v>
      </c>
      <c r="N19" s="3">
        <f>表2_45610[[#This Row],[合计]]-表2_45610[[#This Row],[房租]]-表2_45610[[#This Row],[水电话费]]</f>
        <v>56</v>
      </c>
    </row>
    <row r="20" spans="1:14" x14ac:dyDescent="0.3">
      <c r="A20" s="1">
        <v>45554</v>
      </c>
      <c r="B20" s="3">
        <v>3.5</v>
      </c>
      <c r="C20" s="3">
        <v>1.82</v>
      </c>
      <c r="D20" s="3">
        <v>13.8</v>
      </c>
      <c r="E20" s="3">
        <v>32</v>
      </c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SUM(表2_45610[[#This Row],[吃饭]:[学习阅读]])</f>
        <v>96.12</v>
      </c>
      <c r="N20" s="3">
        <f>表2_45610[[#This Row],[合计]]-表2_45610[[#This Row],[房租]]-表2_45610[[#This Row],[水电话费]]</f>
        <v>51.120000000000005</v>
      </c>
    </row>
    <row r="21" spans="1:14" x14ac:dyDescent="0.3">
      <c r="A21" s="1">
        <v>45555</v>
      </c>
      <c r="B21" s="3">
        <v>40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SUM(表2_45610[[#This Row],[吃饭]:[学习阅读]])</f>
        <v>85</v>
      </c>
      <c r="N21" s="3">
        <f>表2_45610[[#This Row],[合计]]-表2_45610[[#This Row],[房租]]-表2_45610[[#This Row],[水电话费]]</f>
        <v>40</v>
      </c>
    </row>
    <row r="22" spans="1:14" x14ac:dyDescent="0.3">
      <c r="A22" s="1">
        <v>45556</v>
      </c>
      <c r="B22" s="3">
        <v>249</v>
      </c>
      <c r="C22" s="3"/>
      <c r="D22" s="3"/>
      <c r="E22" s="3">
        <v>377</v>
      </c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SUM(表2_45610[[#This Row],[吃饭]:[学习阅读]])</f>
        <v>671</v>
      </c>
      <c r="N22" s="3">
        <f>表2_45610[[#This Row],[合计]]-表2_45610[[#This Row],[房租]]-表2_45610[[#This Row],[水电话费]]</f>
        <v>626</v>
      </c>
    </row>
    <row r="23" spans="1:14" x14ac:dyDescent="0.3">
      <c r="A23" s="1">
        <v>45557</v>
      </c>
      <c r="B23" s="3"/>
      <c r="C23" s="3">
        <v>29</v>
      </c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SUM(表2_45610[[#This Row],[吃饭]:[学习阅读]])</f>
        <v>74</v>
      </c>
      <c r="N23" s="3">
        <f>表2_45610[[#This Row],[合计]]-表2_45610[[#This Row],[房租]]-表2_45610[[#This Row],[水电话费]]</f>
        <v>29</v>
      </c>
    </row>
    <row r="24" spans="1:14" x14ac:dyDescent="0.3">
      <c r="A24" s="1">
        <v>45558</v>
      </c>
      <c r="B24" s="3">
        <v>16</v>
      </c>
      <c r="C24" s="3"/>
      <c r="D24" s="3"/>
      <c r="E24" s="3">
        <v>59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SUM(表2_45610[[#This Row],[吃饭]:[学习阅读]])</f>
        <v>120</v>
      </c>
      <c r="N24" s="3">
        <f>表2_45610[[#This Row],[合计]]-表2_45610[[#This Row],[房租]]-表2_45610[[#This Row],[水电话费]]</f>
        <v>75</v>
      </c>
    </row>
    <row r="25" spans="1:14" x14ac:dyDescent="0.3">
      <c r="A25" s="1">
        <v>45559</v>
      </c>
      <c r="B25" s="3">
        <v>3.9</v>
      </c>
      <c r="C25" s="3">
        <v>7</v>
      </c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SUM(表2_45610[[#This Row],[吃饭]:[学习阅读]])</f>
        <v>55.9</v>
      </c>
      <c r="N25" s="3">
        <f>表2_45610[[#This Row],[合计]]-表2_45610[[#This Row],[房租]]-表2_45610[[#This Row],[水电话费]]</f>
        <v>10.899999999999999</v>
      </c>
    </row>
    <row r="26" spans="1:14" x14ac:dyDescent="0.3">
      <c r="A26" s="1">
        <v>45560</v>
      </c>
      <c r="B26" s="3">
        <v>62</v>
      </c>
      <c r="C26" s="3"/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SUM(表2_45610[[#This Row],[吃饭]:[学习阅读]])</f>
        <v>107</v>
      </c>
      <c r="N26" s="3">
        <f>表2_45610[[#This Row],[合计]]-表2_45610[[#This Row],[房租]]-表2_45610[[#This Row],[水电话费]]</f>
        <v>62</v>
      </c>
    </row>
    <row r="27" spans="1:14" x14ac:dyDescent="0.3">
      <c r="A27" s="1">
        <v>45561</v>
      </c>
      <c r="B27" s="3">
        <v>3.9</v>
      </c>
      <c r="C27" s="3">
        <v>3.29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SUM(表2_45610[[#This Row],[吃饭]:[学习阅读]])</f>
        <v>52.19</v>
      </c>
      <c r="N27" s="3">
        <f>表2_45610[[#This Row],[合计]]-表2_45610[[#This Row],[房租]]-表2_45610[[#This Row],[水电话费]]</f>
        <v>7.1899999999999977</v>
      </c>
    </row>
    <row r="28" spans="1:14" x14ac:dyDescent="0.3">
      <c r="A28" s="1">
        <v>45562</v>
      </c>
      <c r="B28" s="3">
        <v>39</v>
      </c>
      <c r="C28" s="3">
        <v>2</v>
      </c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SUM(表2_45610[[#This Row],[吃饭]:[学习阅读]])</f>
        <v>86</v>
      </c>
      <c r="N28" s="3">
        <f>表2_45610[[#This Row],[合计]]-表2_45610[[#This Row],[房租]]-表2_45610[[#This Row],[水电话费]]</f>
        <v>41</v>
      </c>
    </row>
    <row r="29" spans="1:14" x14ac:dyDescent="0.3">
      <c r="A29" s="1">
        <v>45563</v>
      </c>
      <c r="B29" s="3">
        <v>6</v>
      </c>
      <c r="C29" s="3"/>
      <c r="D29" s="3"/>
      <c r="E29" s="3">
        <v>27</v>
      </c>
      <c r="F29" s="3">
        <v>16</v>
      </c>
      <c r="G29" s="3"/>
      <c r="H29" s="3">
        <f t="shared" si="0"/>
        <v>45</v>
      </c>
      <c r="I29" s="3"/>
      <c r="J29" s="3"/>
      <c r="K29" s="3"/>
      <c r="L29" s="3"/>
      <c r="M29" s="3">
        <f>SUM(表2_45610[[#This Row],[吃饭]:[学习阅读]])</f>
        <v>94</v>
      </c>
      <c r="N29" s="3">
        <f>表2_45610[[#This Row],[合计]]-表2_45610[[#This Row],[房租]]-表2_45610[[#This Row],[水电话费]]</f>
        <v>49</v>
      </c>
    </row>
    <row r="30" spans="1:14" x14ac:dyDescent="0.3">
      <c r="A30" s="1">
        <v>45564</v>
      </c>
      <c r="B30" s="3">
        <v>32</v>
      </c>
      <c r="C30" s="3"/>
      <c r="D30" s="3">
        <v>20</v>
      </c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SUM(表2_45610[[#This Row],[吃饭]:[学习阅读]])</f>
        <v>97</v>
      </c>
      <c r="N30" s="3">
        <f>表2_45610[[#This Row],[合计]]-表2_45610[[#This Row],[房租]]-表2_45610[[#This Row],[水电话费]]</f>
        <v>52</v>
      </c>
    </row>
    <row r="31" spans="1:14" ht="13.5" customHeight="1" x14ac:dyDescent="0.3">
      <c r="A31" s="1">
        <v>45565</v>
      </c>
      <c r="B31" s="3">
        <v>32</v>
      </c>
      <c r="C31" s="3"/>
      <c r="D31" s="3">
        <v>10</v>
      </c>
      <c r="E31" s="3">
        <v>69</v>
      </c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SUM(表2_45610[[#This Row],[吃饭]:[学习阅读]])</f>
        <v>156</v>
      </c>
      <c r="N31" s="3">
        <f>表2_45610[[#This Row],[合计]]-表2_45610[[#This Row],[房租]]-表2_45610[[#This Row],[水电话费]]</f>
        <v>111</v>
      </c>
    </row>
    <row r="32" spans="1:14" ht="37.25" customHeight="1" x14ac:dyDescent="0.3">
      <c r="A32" s="4" t="s">
        <v>11</v>
      </c>
      <c r="B32" s="3">
        <f t="shared" ref="B32:M32" si="1">SUM(B2:B31)</f>
        <v>861.75</v>
      </c>
      <c r="C32" s="3">
        <f>SUM(C3:C31)</f>
        <v>57.24</v>
      </c>
      <c r="D32" s="3">
        <f t="shared" si="1"/>
        <v>57.8</v>
      </c>
      <c r="E32" s="3">
        <f t="shared" si="1"/>
        <v>587.9</v>
      </c>
      <c r="F32" s="3">
        <f t="shared" si="1"/>
        <v>49.379999999999995</v>
      </c>
      <c r="G32" s="3">
        <f t="shared" si="1"/>
        <v>3718.46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0</v>
      </c>
      <c r="M32" s="5">
        <f t="shared" si="1"/>
        <v>6782.53</v>
      </c>
      <c r="N32" s="3">
        <f>表2_45610[[#This Row],[合计]]-表2_45610[[#This Row],[房租]]-表2_45610[[#This Row],[水电话费]]</f>
        <v>5332.53</v>
      </c>
    </row>
    <row r="33" spans="2:13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6782.5300000000007</v>
      </c>
      <c r="M33" s="3"/>
    </row>
  </sheetData>
  <phoneticPr fontId="1" type="noConversion"/>
  <conditionalFormatting sqref="N2:N31">
    <cfRule type="cellIs" dxfId="92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p a f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6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l p 9 X K I p H u A 4 A A A A R A A A A E w A c A E Z v c m 1 1 b G F z L 1 N l Y 3 R p b 2 4 x L m 0 g o h g A K K A U A A A A A A A A A A A A A A A A A A A A A A A A A A A A K 0 5 N L s n M z 1 M I h t C G 1 g B Q S w E C L Q A U A A I A C A B O l p 9 X f 6 5 d V a U A A A D 1 A A A A E g A A A A A A A A A A A A A A A A A A A A A A Q 2 9 u Z m l n L 1 B h Y 2 t h Z 2 U u e G 1 s U E s B A i 0 A F A A C A A g A T p a f V w / K 6 a u k A A A A 6 Q A A A B M A A A A A A A A A A A A A A A A A 8 Q A A A F t D b 2 5 0 Z W 5 0 X 1 R 5 c G V z X S 5 4 b W x Q S w E C L Q A U A A I A C A B O l p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N 7 T 8 i R A q U y x v 0 S 6 p q E H I A A A A A A C A A A A A A A Q Z g A A A A E A A C A A A A B R G 1 L T V H m v s M g 1 / Z x B L R Q 3 s v L k r I l F p / v 0 x i + P q 3 T 4 q A A A A A A O g A A A A A I A A C A A A A A Z V e D P m k b l e j N Q L h o 0 / l 6 C + f 4 + I U u f e A a 4 y g T u 5 M 6 d n V A A A A B / j + b s l b z b 2 g S u h t E Q Z d b Q a u O 5 f D Z N 8 Q k q w F w J e R 1 e n d B z p J 1 u G r r O v R z 7 + J p s Z v d N O O 8 p f P f O / 1 s 6 q q y 8 c 8 c d D P y I V M o q l e K J h 7 b J r e K B X E A A A A A p j R S F y L 0 f w w y 2 b W 5 p V Y n m z P Y o N A H 4 9 S U S 0 e 4 o x T / 1 k F 3 i v K x o d U 1 T h A 1 s 1 u X a h B h Z R p P N e H a I M T / n V 6 o t C V J M < / D a t a M a s h u p > 
</file>

<file path=customXml/itemProps1.xml><?xml version="1.0" encoding="utf-8"?>
<ds:datastoreItem xmlns:ds="http://schemas.openxmlformats.org/officeDocument/2006/customXml" ds:itemID="{15A2CA5E-7C48-4D49-B4E1-AA6C871AF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年度总结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2015-06-05T18:17:20Z</dcterms:created>
  <dcterms:modified xsi:type="dcterms:W3CDTF">2024-11-10T07:08:10Z</dcterms:modified>
</cp:coreProperties>
</file>