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1\zhubiye\personal space(program)\"/>
    </mc:Choice>
  </mc:AlternateContent>
  <xr:revisionPtr revIDLastSave="0" documentId="13_ncr:1_{63AF79A4-F5A5-48F7-9A53-82F64AFDA66B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2023.07" sheetId="1" r:id="rId1"/>
    <sheet name="2023.08" sheetId="3" r:id="rId2"/>
    <sheet name="年度总结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C23" i="3"/>
  <c r="B24" i="3"/>
  <c r="B23" i="3"/>
  <c r="D22" i="3"/>
  <c r="B22" i="3"/>
  <c r="B21" i="3"/>
  <c r="D21" i="3"/>
  <c r="D20" i="3"/>
  <c r="B20" i="3"/>
  <c r="B19" i="3"/>
  <c r="B17" i="3"/>
  <c r="B15" i="3"/>
  <c r="B12" i="3"/>
  <c r="B10" i="3"/>
  <c r="B9" i="3"/>
  <c r="C7" i="3"/>
  <c r="M7" i="3" s="1"/>
  <c r="N7" i="3" s="1"/>
  <c r="C6" i="3"/>
  <c r="B5" i="3"/>
  <c r="B3" i="3"/>
  <c r="M3" i="3" s="1"/>
  <c r="N3" i="3" s="1"/>
  <c r="B2" i="3"/>
  <c r="B4" i="3"/>
  <c r="M8" i="3"/>
  <c r="N8" i="3" s="1"/>
  <c r="M11" i="3"/>
  <c r="N11" i="3" s="1"/>
  <c r="M17" i="3"/>
  <c r="N17" i="3" s="1"/>
  <c r="M18" i="3"/>
  <c r="N18" i="3" s="1"/>
  <c r="M19" i="3"/>
  <c r="N19" i="3" s="1"/>
  <c r="M25" i="3"/>
  <c r="N25" i="3" s="1"/>
  <c r="M26" i="3"/>
  <c r="N26" i="3" s="1"/>
  <c r="M27" i="3"/>
  <c r="N27" i="3" s="1"/>
  <c r="M2" i="3"/>
  <c r="N2" i="3" s="1"/>
  <c r="B32" i="1"/>
  <c r="B33" i="1"/>
  <c r="D2" i="3"/>
  <c r="B31" i="1"/>
  <c r="H3" i="3"/>
  <c r="H4" i="3"/>
  <c r="M4" i="3" s="1"/>
  <c r="N4" i="3" s="1"/>
  <c r="H5" i="3"/>
  <c r="M5" i="3" s="1"/>
  <c r="N5" i="3" s="1"/>
  <c r="H6" i="3"/>
  <c r="M6" i="3" s="1"/>
  <c r="N6" i="3" s="1"/>
  <c r="H7" i="3"/>
  <c r="H8" i="3"/>
  <c r="H9" i="3"/>
  <c r="H10" i="3"/>
  <c r="M10" i="3" s="1"/>
  <c r="N10" i="3" s="1"/>
  <c r="H11" i="3"/>
  <c r="H12" i="3"/>
  <c r="M12" i="3" s="1"/>
  <c r="N12" i="3" s="1"/>
  <c r="H13" i="3"/>
  <c r="M13" i="3" s="1"/>
  <c r="N13" i="3" s="1"/>
  <c r="H14" i="3"/>
  <c r="M14" i="3" s="1"/>
  <c r="N14" i="3" s="1"/>
  <c r="H15" i="3"/>
  <c r="H16" i="3"/>
  <c r="M16" i="3" s="1"/>
  <c r="N16" i="3" s="1"/>
  <c r="H17" i="3"/>
  <c r="H18" i="3"/>
  <c r="H19" i="3"/>
  <c r="H20" i="3"/>
  <c r="M20" i="3" s="1"/>
  <c r="N20" i="3" s="1"/>
  <c r="H21" i="3"/>
  <c r="M21" i="3" s="1"/>
  <c r="N21" i="3" s="1"/>
  <c r="H22" i="3"/>
  <c r="M22" i="3" s="1"/>
  <c r="N22" i="3" s="1"/>
  <c r="H23" i="3"/>
  <c r="M23" i="3" s="1"/>
  <c r="N23" i="3" s="1"/>
  <c r="H24" i="3"/>
  <c r="M24" i="3" s="1"/>
  <c r="N24" i="3" s="1"/>
  <c r="H25" i="3"/>
  <c r="H26" i="3"/>
  <c r="H27" i="3"/>
  <c r="H28" i="3"/>
  <c r="M28" i="3" s="1"/>
  <c r="N28" i="3" s="1"/>
  <c r="H29" i="3"/>
  <c r="M29" i="3" s="1"/>
  <c r="N29" i="3" s="1"/>
  <c r="H30" i="3"/>
  <c r="M30" i="3" s="1"/>
  <c r="N30" i="3" s="1"/>
  <c r="H31" i="3"/>
  <c r="M31" i="3" s="1"/>
  <c r="N31" i="3" s="1"/>
  <c r="H32" i="3"/>
  <c r="M32" i="3" s="1"/>
  <c r="N32" i="3" s="1"/>
  <c r="H2" i="3"/>
  <c r="B4" i="1"/>
  <c r="E10" i="1"/>
  <c r="L33" i="3"/>
  <c r="K33" i="3"/>
  <c r="J33" i="3"/>
  <c r="G33" i="3"/>
  <c r="F33" i="3"/>
  <c r="D33" i="3"/>
  <c r="E33" i="3"/>
  <c r="I33" i="3"/>
  <c r="C33" i="3"/>
  <c r="B30" i="1"/>
  <c r="C30" i="1"/>
  <c r="B29" i="1"/>
  <c r="B28" i="1"/>
  <c r="B27" i="1"/>
  <c r="E16" i="1"/>
  <c r="B26" i="1"/>
  <c r="B25" i="1"/>
  <c r="B22" i="1"/>
  <c r="I2" i="1"/>
  <c r="C24" i="1"/>
  <c r="B21" i="1"/>
  <c r="D33" i="1"/>
  <c r="B20" i="1"/>
  <c r="M20" i="1" s="1"/>
  <c r="N20" i="1" s="1"/>
  <c r="B8" i="1"/>
  <c r="B18" i="1"/>
  <c r="B19" i="1"/>
  <c r="E18" i="1"/>
  <c r="M18" i="1"/>
  <c r="N18" i="1" s="1"/>
  <c r="K33" i="1"/>
  <c r="C17" i="1"/>
  <c r="B15" i="1"/>
  <c r="C14" i="1"/>
  <c r="B14" i="1"/>
  <c r="L33" i="1"/>
  <c r="J33" i="1"/>
  <c r="C10" i="1"/>
  <c r="E33" i="1"/>
  <c r="B10" i="1"/>
  <c r="M10" i="1" s="1"/>
  <c r="N10" i="1" s="1"/>
  <c r="B7" i="1"/>
  <c r="B6" i="1"/>
  <c r="E5" i="1"/>
  <c r="B5" i="1"/>
  <c r="E4" i="1"/>
  <c r="M4" i="1" s="1"/>
  <c r="N4" i="1" s="1"/>
  <c r="C2" i="1"/>
  <c r="C33" i="1" s="1"/>
  <c r="B2" i="1"/>
  <c r="B13" i="1"/>
  <c r="B12" i="1"/>
  <c r="C12" i="1"/>
  <c r="F33" i="1"/>
  <c r="G33" i="1"/>
  <c r="H33" i="1"/>
  <c r="I33" i="1"/>
  <c r="M3" i="1"/>
  <c r="N3" i="1" s="1"/>
  <c r="M5" i="1"/>
  <c r="N5" i="1" s="1"/>
  <c r="M6" i="1"/>
  <c r="N6" i="1" s="1"/>
  <c r="M7" i="1"/>
  <c r="N7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9" i="1"/>
  <c r="N19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B11" i="1"/>
  <c r="D11" i="1"/>
  <c r="M15" i="3" l="1"/>
  <c r="N15" i="3" s="1"/>
  <c r="M9" i="3"/>
  <c r="N9" i="3" s="1"/>
  <c r="B33" i="3"/>
  <c r="L34" i="1"/>
  <c r="M2" i="1"/>
  <c r="N2" i="1" s="1"/>
  <c r="M11" i="1"/>
  <c r="N11" i="1" s="1"/>
  <c r="M33" i="3" l="1"/>
  <c r="N33" i="3" s="1"/>
  <c r="M33" i="1"/>
  <c r="N33" i="1" s="1"/>
  <c r="H33" i="3"/>
  <c r="L34" i="3" l="1"/>
</calcChain>
</file>

<file path=xl/sharedStrings.xml><?xml version="1.0" encoding="utf-8"?>
<sst xmlns="http://schemas.openxmlformats.org/spreadsheetml/2006/main" count="30" uniqueCount="15">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</sst>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62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60" dataDxfId="59">
  <autoFilter ref="A1:N33" xr:uid="{62DBF428-EA6E-4F16-A2E5-492FB36A65B6}"/>
  <tableColumns count="14">
    <tableColumn id="1" xr3:uid="{59D84569-A8BB-46A5-9CBC-5EF68588EE35}" name="日期" dataDxfId="58" totalsRowDxfId="57"/>
    <tableColumn id="2" xr3:uid="{2C662677-3D8C-4D8B-AE1F-E2248B7ABFF7}" name="吃饭" dataDxfId="56" totalsRowDxfId="55"/>
    <tableColumn id="3" xr3:uid="{AE70D7D4-9857-40D5-8BEB-34BF0C4CCA7A}" name="馋" dataDxfId="54" totalsRowDxfId="53"/>
    <tableColumn id="4" xr3:uid="{F3975E93-63B6-478C-B0F2-56460FBF1A23}" name="小余" dataDxfId="52" totalsRowDxfId="51"/>
    <tableColumn id="5" xr3:uid="{94F8752A-FBB0-4CE8-9D51-6324D8BBC87E}" name="生活" dataDxfId="50" totalsRowDxfId="49"/>
    <tableColumn id="15" xr3:uid="{30FDD512-0876-4E61-969E-6DA35E286B2C}" name="交通" dataDxfId="48" totalsRowDxfId="47"/>
    <tableColumn id="6" xr3:uid="{5C513997-5C16-4839-95D1-22245123DE2F}" name="爱好" dataDxfId="46" totalsRowDxfId="45"/>
    <tableColumn id="7" xr3:uid="{9E859D1E-EC02-49A9-BD03-97B27BCE859E}" name="房租" dataDxfId="44" totalsRowDxfId="43"/>
    <tableColumn id="8" xr3:uid="{EB58BFC7-02DA-46D2-AAFC-A0BA1323BE9D}" name="水电话费" dataDxfId="42" totalsRowDxfId="41"/>
    <tableColumn id="9" xr3:uid="{A2A17D77-95A1-459A-90A9-931CF7EEAF21}" name="懒" dataDxfId="40" totalsRowDxfId="39"/>
    <tableColumn id="11" xr3:uid="{FFABE2C4-74EE-4656-838D-CB10D6D9D4E8}" name="玩" dataDxfId="38" totalsRowDxfId="37"/>
    <tableColumn id="10" xr3:uid="{570141E9-E92B-4C59-AD38-CCA1569BD90C}" name="学习阅读" totalsRowFunction="custom" dataDxfId="36" totalsRowDxfId="35">
      <totalsRowFormula>SUM(B33:L33)</totalsRowFormula>
    </tableColumn>
    <tableColumn id="13" xr3:uid="{39BD7172-0D5C-49D9-87F6-B35B3F5628DB}" name="合计" dataDxfId="34" totalsRowDxfId="33"/>
    <tableColumn id="12" xr3:uid="{D46BD491-9DFD-4738-8C08-9D38C5B47D89}" name="合计（）" dataDxfId="32" totalsRowDxfId="31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79AE8-8FE8-4D5C-A353-102BE1BAAE12}" name="表2_2" displayName="表2_2" ref="A1:N34" totalsRowCount="1" headerRowDxfId="29" dataDxfId="28">
  <autoFilter ref="A1:N33" xr:uid="{62DBF428-EA6E-4F16-A2E5-492FB36A65B6}"/>
  <tableColumns count="14">
    <tableColumn id="1" xr3:uid="{8EFDB2AF-8F71-473F-952D-5B3939994D62}" name="日期" dataDxfId="27" totalsRowDxfId="13"/>
    <tableColumn id="2" xr3:uid="{67957270-9623-4926-BD21-279E13650B9D}" name="吃饭" dataDxfId="26" totalsRowDxfId="12"/>
    <tableColumn id="3" xr3:uid="{CF94BF01-577B-4D56-9718-2A882C67816C}" name="馋" dataDxfId="25" totalsRowDxfId="11"/>
    <tableColumn id="4" xr3:uid="{9AC0B1D1-A18C-408F-B2A5-F84F037716A3}" name="小余" dataDxfId="24" totalsRowDxfId="10"/>
    <tableColumn id="5" xr3:uid="{A686B635-30A8-4007-8CF3-3DB3011DAF77}" name="生活" dataDxfId="23" totalsRowDxfId="9"/>
    <tableColumn id="15" xr3:uid="{6CFBBB07-C37C-4D79-A12C-414587534DA0}" name="交通" dataDxfId="22" totalsRowDxfId="8"/>
    <tableColumn id="6" xr3:uid="{24D9EDA0-727A-46BE-80BC-74C02A3CB95E}" name="爱好" dataDxfId="21" totalsRowDxfId="7"/>
    <tableColumn id="7" xr3:uid="{0E84B44C-BDDA-4215-B9F4-774FF36E7966}" name="房租" dataDxfId="20" totalsRowDxfId="6"/>
    <tableColumn id="8" xr3:uid="{54FCCFC1-3319-44AA-AC44-A145B99BE9C0}" name="水电话费" dataDxfId="19" totalsRowDxfId="5"/>
    <tableColumn id="9" xr3:uid="{8343B566-6FA6-4DE5-83A7-C25582E57B8F}" name="懒" dataDxfId="18" totalsRowDxfId="4"/>
    <tableColumn id="11" xr3:uid="{890B9F61-AE91-4F7B-B12A-0E9647351958}" name="玩" dataDxfId="17" totalsRowDxfId="3"/>
    <tableColumn id="10" xr3:uid="{6351BEBD-EE7C-4CBA-B22C-DB27DC0C3AE5}" name="学习阅读" totalsRowFunction="custom" dataDxfId="16" totalsRowDxfId="2">
      <totalsRowFormula>SUM(B33:L33)</totalsRowFormula>
    </tableColumn>
    <tableColumn id="13" xr3:uid="{CADD3192-7B6B-481D-A759-D50120453C7E}" name="合计" dataDxfId="15" totalsRowDxfId="1"/>
    <tableColumn id="12" xr3:uid="{A2A2A465-6515-47EA-A81E-495686796A22}" name="合计（）" dataDxfId="14" totalsRowDxfId="0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9" zoomScaleNormal="100" workbookViewId="0">
      <selection activeCell="G22" sqref="G22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4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25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49.9+19.96+9.98+1.33</f>
        <v>81.17</v>
      </c>
      <c r="J2" s="3"/>
      <c r="K2" s="3"/>
      <c r="L2" s="3"/>
      <c r="M2" s="3">
        <f>SUM(表2[[#This Row],[吃饭]:[学习阅读]])</f>
        <v>287.43451612903226</v>
      </c>
      <c r="N2" s="3">
        <f>表2[[#This Row],[合计]]-表2[[#This Row],[房租]]-表2[[#This Row],[水电话费]]</f>
        <v>162.19999999999999</v>
      </c>
    </row>
    <row r="3" spans="1:14" x14ac:dyDescent="0.25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  <c r="N3" s="3">
        <f>表2[[#This Row],[合计]]-表2[[#This Row],[房租]]-表2[[#This Row],[水电话费]]</f>
        <v>18</v>
      </c>
    </row>
    <row r="4" spans="1:14" x14ac:dyDescent="0.25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  <c r="N4" s="3">
        <f>表2[[#This Row],[合计]]-表2[[#This Row],[房租]]-表2[[#This Row],[水电话费]]</f>
        <v>171.29</v>
      </c>
    </row>
    <row r="5" spans="1:14" x14ac:dyDescent="0.25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  <c r="N5" s="3">
        <f>表2[[#This Row],[合计]]-表2[[#This Row],[房租]]-表2[[#This Row],[水电话费]]</f>
        <v>73.2</v>
      </c>
    </row>
    <row r="6" spans="1:14" x14ac:dyDescent="0.25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  <c r="N6" s="3">
        <f>表2[[#This Row],[合计]]-表2[[#This Row],[房租]]-表2[[#This Row],[水电话费]]</f>
        <v>29.599999999999994</v>
      </c>
    </row>
    <row r="7" spans="1:14" x14ac:dyDescent="0.25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  <c r="N7" s="3">
        <f>表2[[#This Row],[合计]]-表2[[#This Row],[房租]]-表2[[#This Row],[水电话费]]</f>
        <v>71.7</v>
      </c>
    </row>
    <row r="8" spans="1:14" x14ac:dyDescent="0.25">
      <c r="A8" s="1">
        <v>45114</v>
      </c>
      <c r="B8" s="3">
        <f>3.5+9.9+100</f>
        <v>113.4</v>
      </c>
      <c r="C8" s="3">
        <v>3.5</v>
      </c>
      <c r="D8" s="3">
        <v>200</v>
      </c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362.96451612903223</v>
      </c>
      <c r="N8" s="3">
        <f>表2[[#This Row],[合计]]-表2[[#This Row],[房租]]-表2[[#This Row],[水电话费]]</f>
        <v>318.89999999999998</v>
      </c>
    </row>
    <row r="9" spans="1:14" x14ac:dyDescent="0.25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  <c r="N9" s="3">
        <f>表2[[#This Row],[合计]]-表2[[#This Row],[房租]]-表2[[#This Row],[水电话费]]</f>
        <v>44</v>
      </c>
    </row>
    <row r="10" spans="1:14" x14ac:dyDescent="0.25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  <c r="N10" s="3">
        <f>表2[[#This Row],[合计]]-表2[[#This Row],[房租]]-表2[[#This Row],[水电话费]]</f>
        <v>173.56</v>
      </c>
    </row>
    <row r="11" spans="1:14" x14ac:dyDescent="0.25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  <c r="N11" s="3">
        <f>表2[[#This Row],[合计]]-表2[[#This Row],[房租]]-表2[[#This Row],[水电话费]]</f>
        <v>254.5</v>
      </c>
    </row>
    <row r="12" spans="1:14" x14ac:dyDescent="0.25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  <c r="N12" s="3">
        <f>表2[[#This Row],[合计]]-表2[[#This Row],[房租]]-表2[[#This Row],[水电话费]]</f>
        <v>54.900000000000006</v>
      </c>
    </row>
    <row r="13" spans="1:14" x14ac:dyDescent="0.25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  <c r="N13" s="3">
        <f>表2[[#This Row],[合计]]-表2[[#This Row],[房租]]-表2[[#This Row],[水电话费]]</f>
        <v>22.599999999999994</v>
      </c>
    </row>
    <row r="14" spans="1:14" x14ac:dyDescent="0.25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  <c r="N14" s="3">
        <f>表2[[#This Row],[合计]]-表2[[#This Row],[房租]]-表2[[#This Row],[水电话费]]</f>
        <v>72.650000000000006</v>
      </c>
    </row>
    <row r="15" spans="1:14" x14ac:dyDescent="0.25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  <c r="N15" s="3">
        <f>表2[[#This Row],[合计]]-表2[[#This Row],[房租]]-表2[[#This Row],[水电话费]]</f>
        <v>35.090000000000003</v>
      </c>
    </row>
    <row r="16" spans="1:14" x14ac:dyDescent="0.25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  <c r="N16" s="3">
        <f>表2[[#This Row],[合计]]-表2[[#This Row],[房租]]-表2[[#This Row],[水电话费]]</f>
        <v>1621.88</v>
      </c>
    </row>
    <row r="17" spans="1:14" x14ac:dyDescent="0.25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  <c r="N17" s="3">
        <f>表2[[#This Row],[合计]]-表2[[#This Row],[房租]]-表2[[#This Row],[水电话费]]</f>
        <v>21.599999999999994</v>
      </c>
    </row>
    <row r="18" spans="1:14" x14ac:dyDescent="0.25">
      <c r="A18" s="1">
        <v>45124</v>
      </c>
      <c r="B18" s="3">
        <f>10.3+2.5+21.56</f>
        <v>34.36</v>
      </c>
      <c r="C18" s="3">
        <v>2</v>
      </c>
      <c r="D18" s="3"/>
      <c r="E18" s="3">
        <f>1</f>
        <v>1</v>
      </c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81.424516129032256</v>
      </c>
      <c r="N18" s="3">
        <f>表2[[#This Row],[合计]]-表2[[#This Row],[房租]]-表2[[#This Row],[水电话费]]</f>
        <v>37.36</v>
      </c>
    </row>
    <row r="19" spans="1:14" x14ac:dyDescent="0.25">
      <c r="A19" s="1">
        <v>45125</v>
      </c>
      <c r="B19" s="3">
        <f>3.8+2.5+10.42</f>
        <v>16.72</v>
      </c>
      <c r="C19" s="3">
        <v>3</v>
      </c>
      <c r="D19" s="3"/>
      <c r="E19" s="3">
        <v>3.99</v>
      </c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67.774516129032264</v>
      </c>
      <c r="N19" s="3">
        <f>表2[[#This Row],[合计]]-表2[[#This Row],[房租]]-表2[[#This Row],[水电话费]]</f>
        <v>23.710000000000008</v>
      </c>
    </row>
    <row r="20" spans="1:14" x14ac:dyDescent="0.25">
      <c r="A20" s="1">
        <v>45126</v>
      </c>
      <c r="B20" s="3">
        <f>4.5+2.5+64</f>
        <v>71</v>
      </c>
      <c r="C20" s="3">
        <v>8.5</v>
      </c>
      <c r="D20" s="3">
        <v>30</v>
      </c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153.56451612903226</v>
      </c>
      <c r="N20" s="3">
        <f>表2[[#This Row],[合计]]-表2[[#This Row],[房租]]-表2[[#This Row],[水电话费]]</f>
        <v>109.5</v>
      </c>
    </row>
    <row r="21" spans="1:14" x14ac:dyDescent="0.25">
      <c r="A21" s="1">
        <v>45127</v>
      </c>
      <c r="B21" s="3">
        <f>16.7+14.5+2.9+30</f>
        <v>64.099999999999994</v>
      </c>
      <c r="C21" s="3">
        <v>2</v>
      </c>
      <c r="D21" s="3"/>
      <c r="E21" s="3"/>
      <c r="F21" s="3">
        <v>16</v>
      </c>
      <c r="G21" s="3"/>
      <c r="H21" s="3">
        <v>44.064516129032256</v>
      </c>
      <c r="I21" s="3"/>
      <c r="J21" s="3"/>
      <c r="K21" s="3">
        <v>10</v>
      </c>
      <c r="L21" s="3"/>
      <c r="M21" s="3">
        <f>SUM(表2[[#This Row],[吃饭]:[学习阅读]])</f>
        <v>136.16451612903225</v>
      </c>
      <c r="N21" s="3">
        <f>表2[[#This Row],[合计]]-表2[[#This Row],[房租]]-表2[[#This Row],[水电话费]]</f>
        <v>92.1</v>
      </c>
    </row>
    <row r="22" spans="1:14" x14ac:dyDescent="0.25">
      <c r="A22" s="1">
        <v>45128</v>
      </c>
      <c r="B22" s="3">
        <f>5+12.99+10</f>
        <v>27.990000000000002</v>
      </c>
      <c r="C22" s="3">
        <v>6</v>
      </c>
      <c r="D22" s="3"/>
      <c r="E22" s="3"/>
      <c r="F22" s="3">
        <v>8.8800000000000008</v>
      </c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86.934516129032261</v>
      </c>
      <c r="N22" s="3">
        <f>表2[[#This Row],[合计]]-表2[[#This Row],[房租]]-表2[[#This Row],[水电话费]]</f>
        <v>42.870000000000005</v>
      </c>
    </row>
    <row r="23" spans="1:14" x14ac:dyDescent="0.25">
      <c r="A23" s="1">
        <v>45129</v>
      </c>
      <c r="B23" s="3">
        <v>17.7</v>
      </c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61.764516129032259</v>
      </c>
      <c r="N23" s="3">
        <f>表2[[#This Row],[合计]]-表2[[#This Row],[房租]]-表2[[#This Row],[水电话费]]</f>
        <v>17.700000000000003</v>
      </c>
    </row>
    <row r="24" spans="1:14" x14ac:dyDescent="0.25">
      <c r="A24" s="1">
        <v>45130</v>
      </c>
      <c r="B24" s="3">
        <v>19.100000000000001</v>
      </c>
      <c r="C24" s="3">
        <f>4+17.3</f>
        <v>21.3</v>
      </c>
      <c r="D24" s="3"/>
      <c r="E24" s="3">
        <v>30</v>
      </c>
      <c r="F24" s="3">
        <v>7</v>
      </c>
      <c r="G24" s="3">
        <v>6.5</v>
      </c>
      <c r="H24" s="3">
        <v>44.064516129032256</v>
      </c>
      <c r="I24" s="3"/>
      <c r="J24" s="3"/>
      <c r="K24" s="3"/>
      <c r="L24" s="3"/>
      <c r="M24" s="3">
        <f>SUM(表2[[#This Row],[吃饭]:[学习阅读]])</f>
        <v>127.96451612903226</v>
      </c>
      <c r="N24" s="3">
        <f>表2[[#This Row],[合计]]-表2[[#This Row],[房租]]-表2[[#This Row],[水电话费]]</f>
        <v>83.9</v>
      </c>
    </row>
    <row r="25" spans="1:14" x14ac:dyDescent="0.25">
      <c r="A25" s="1">
        <v>45131</v>
      </c>
      <c r="B25" s="3">
        <f>9.3+2.5+1+25.55</f>
        <v>38.35</v>
      </c>
      <c r="C25" s="3">
        <v>2</v>
      </c>
      <c r="D25" s="3"/>
      <c r="E25" s="3">
        <v>32.799999999999997</v>
      </c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117.21451612903226</v>
      </c>
      <c r="N25" s="3">
        <f>表2[[#This Row],[合计]]-表2[[#This Row],[房租]]-表2[[#This Row],[水电话费]]</f>
        <v>73.150000000000006</v>
      </c>
    </row>
    <row r="26" spans="1:14" x14ac:dyDescent="0.25">
      <c r="A26" s="1">
        <v>45132</v>
      </c>
      <c r="B26" s="3">
        <f>7.5+2.5+5+8.5+7</f>
        <v>30.5</v>
      </c>
      <c r="C26" s="3">
        <v>7</v>
      </c>
      <c r="D26" s="3">
        <v>15</v>
      </c>
      <c r="E26" s="3"/>
      <c r="F26" s="3"/>
      <c r="G26" s="3"/>
      <c r="H26" s="3">
        <v>44.064516129032256</v>
      </c>
      <c r="I26" s="3"/>
      <c r="J26" s="3"/>
      <c r="K26" s="3">
        <v>2</v>
      </c>
      <c r="L26" s="3"/>
      <c r="M26" s="3">
        <f>SUM(表2[[#This Row],[吃饭]:[学习阅读]])</f>
        <v>98.564516129032256</v>
      </c>
      <c r="N26" s="3">
        <f>表2[[#This Row],[合计]]-表2[[#This Row],[房租]]-表2[[#This Row],[水电话费]]</f>
        <v>54.5</v>
      </c>
    </row>
    <row r="27" spans="1:14" x14ac:dyDescent="0.25">
      <c r="A27" s="1">
        <v>45133</v>
      </c>
      <c r="B27" s="3">
        <f>3.8+9.5+14.9+25.99+16.4</f>
        <v>70.59</v>
      </c>
      <c r="C27" s="3">
        <v>3</v>
      </c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117.65451612903226</v>
      </c>
      <c r="N27" s="3">
        <f>表2[[#This Row],[合计]]-表2[[#This Row],[房租]]-表2[[#This Row],[水电话费]]</f>
        <v>73.59</v>
      </c>
    </row>
    <row r="28" spans="1:14" x14ac:dyDescent="0.25">
      <c r="A28" s="1">
        <v>45134</v>
      </c>
      <c r="B28" s="3">
        <f>9.8+25+20+2.5+5</f>
        <v>62.3</v>
      </c>
      <c r="C28" s="3"/>
      <c r="D28" s="3">
        <v>20</v>
      </c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126.36451612903225</v>
      </c>
      <c r="N28" s="3">
        <f>表2[[#This Row],[合计]]-表2[[#This Row],[房租]]-表2[[#This Row],[水电话费]]</f>
        <v>82.3</v>
      </c>
    </row>
    <row r="29" spans="1:14" x14ac:dyDescent="0.25">
      <c r="A29" s="1">
        <v>45135</v>
      </c>
      <c r="B29" s="3">
        <f>3.5+15.9</f>
        <v>19.399999999999999</v>
      </c>
      <c r="C29" s="3"/>
      <c r="D29" s="3"/>
      <c r="E29" s="3">
        <v>2</v>
      </c>
      <c r="F29" s="3">
        <v>16</v>
      </c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81.464516129032262</v>
      </c>
      <c r="N29" s="3">
        <f>表2[[#This Row],[合计]]-表2[[#This Row],[房租]]-表2[[#This Row],[水电话费]]</f>
        <v>37.400000000000006</v>
      </c>
    </row>
    <row r="30" spans="1:14" x14ac:dyDescent="0.25">
      <c r="A30" s="1">
        <v>45136</v>
      </c>
      <c r="B30" s="3">
        <f>15+20+25+4.5+12.5+2+17</f>
        <v>96</v>
      </c>
      <c r="C30" s="3">
        <f>13+15</f>
        <v>28</v>
      </c>
      <c r="D30" s="3">
        <v>12.6</v>
      </c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180.66451612903225</v>
      </c>
      <c r="N30" s="3">
        <f>表2[[#This Row],[合计]]-表2[[#This Row],[房租]]-表2[[#This Row],[水电话费]]</f>
        <v>136.6</v>
      </c>
    </row>
    <row r="31" spans="1:14" x14ac:dyDescent="0.25">
      <c r="A31" s="1">
        <v>45137</v>
      </c>
      <c r="B31" s="3">
        <f>6.67+4</f>
        <v>10.67</v>
      </c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54.734516129032258</v>
      </c>
      <c r="N31" s="3">
        <f>表2[[#This Row],[合计]]-表2[[#This Row],[房租]]-表2[[#This Row],[水电话费]]</f>
        <v>10.670000000000002</v>
      </c>
    </row>
    <row r="32" spans="1:14" x14ac:dyDescent="0.25">
      <c r="A32" s="1">
        <v>45138</v>
      </c>
      <c r="B32" s="3">
        <f>4+2.5+18</f>
        <v>24.5</v>
      </c>
      <c r="C32" s="3">
        <v>7</v>
      </c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75.564516129032256</v>
      </c>
      <c r="N32" s="3">
        <f>表2[[#This Row],[合计]]-表2[[#This Row],[房租]]-表2[[#This Row],[水电话费]]</f>
        <v>31.5</v>
      </c>
    </row>
    <row r="33" spans="1:14" ht="37.200000000000003" customHeight="1" x14ac:dyDescent="0.25">
      <c r="A33" s="4" t="s">
        <v>11</v>
      </c>
      <c r="B33" s="3">
        <f>SUM(B2:B32)</f>
        <v>1150.5300000000002</v>
      </c>
      <c r="C33" s="3">
        <f t="shared" ref="C33:I33" si="0">SUM(C2:C32)</f>
        <v>249</v>
      </c>
      <c r="D33" s="3">
        <f>SUM(D2:D32)</f>
        <v>401.99</v>
      </c>
      <c r="E33" s="3">
        <f t="shared" si="0"/>
        <v>2092.42</v>
      </c>
      <c r="F33" s="3">
        <f>SUM(F2:F32)</f>
        <v>96.88</v>
      </c>
      <c r="G33" s="3">
        <f t="shared" si="0"/>
        <v>33.5</v>
      </c>
      <c r="H33" s="3">
        <f t="shared" si="0"/>
        <v>1365.9999999999989</v>
      </c>
      <c r="I33" s="3">
        <f t="shared" si="0"/>
        <v>116.17</v>
      </c>
      <c r="J33" s="3">
        <f>SUM(J2:J32)</f>
        <v>14.2</v>
      </c>
      <c r="K33" s="3">
        <f>SUM(K2:K32)</f>
        <v>14</v>
      </c>
      <c r="L33" s="3">
        <f>SUM(L2:L32)</f>
        <v>0</v>
      </c>
      <c r="M33" s="5">
        <f>SUM(M2:M32)</f>
        <v>5534.6899999999987</v>
      </c>
      <c r="N33" s="3">
        <f>表2[[#This Row],[合计]]-表2[[#This Row],[房租]]-表2[[#This Row],[水电话费]]</f>
        <v>4052.5199999999995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5534.69</v>
      </c>
      <c r="M34" s="3"/>
    </row>
  </sheetData>
  <phoneticPr fontId="1" type="noConversion"/>
  <conditionalFormatting sqref="N2:N32">
    <cfRule type="cellIs" dxfId="6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41-0545-4E98-A165-FDDA4B913E86}">
  <dimension ref="A1:P34"/>
  <sheetViews>
    <sheetView tabSelected="1" topLeftCell="A10" zoomScaleNormal="100" workbookViewId="0">
      <selection activeCell="I28" sqref="I28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6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25">
      <c r="A2" s="1">
        <v>45139</v>
      </c>
      <c r="B2" s="3">
        <f>9.8+2.25</f>
        <v>12.05</v>
      </c>
      <c r="C2" s="3"/>
      <c r="D2" s="3">
        <f>46.5+194</f>
        <v>240.5</v>
      </c>
      <c r="E2" s="3">
        <v>91.33</v>
      </c>
      <c r="F2" s="3"/>
      <c r="G2" s="3"/>
      <c r="H2" s="3">
        <f>1270/31</f>
        <v>40.967741935483872</v>
      </c>
      <c r="I2" s="3">
        <v>70</v>
      </c>
      <c r="J2" s="3"/>
      <c r="K2" s="3"/>
      <c r="L2" s="3"/>
      <c r="M2" s="3">
        <f>SUM(表2_2[[#This Row],[吃饭]:[学习阅读]])</f>
        <v>454.8477419354839</v>
      </c>
      <c r="N2" s="3">
        <f>表2_2[[#This Row],[合计]]-表2_2[[#This Row],[房租]]-表2_2[[#This Row],[水电话费]]</f>
        <v>343.88</v>
      </c>
    </row>
    <row r="3" spans="1:16" x14ac:dyDescent="0.25">
      <c r="A3" s="1">
        <v>45140</v>
      </c>
      <c r="B3" s="3">
        <f>2.8+6+2.5+23.81</f>
        <v>35.11</v>
      </c>
      <c r="C3" s="3"/>
      <c r="D3" s="3"/>
      <c r="E3" s="3"/>
      <c r="F3" s="3"/>
      <c r="G3" s="3"/>
      <c r="H3" s="3">
        <f t="shared" ref="H3:H32" si="0">1270/31</f>
        <v>40.967741935483872</v>
      </c>
      <c r="I3" s="3"/>
      <c r="J3" s="3"/>
      <c r="K3" s="3"/>
      <c r="L3" s="3"/>
      <c r="M3" s="3">
        <f>SUM(表2_2[[#This Row],[吃饭]:[学习阅读]])</f>
        <v>76.077741935483871</v>
      </c>
      <c r="N3" s="3">
        <f>表2_2[[#This Row],[合计]]-表2_2[[#This Row],[房租]]-表2_2[[#This Row],[水电话费]]</f>
        <v>35.11</v>
      </c>
    </row>
    <row r="4" spans="1:16" x14ac:dyDescent="0.25">
      <c r="A4" s="1">
        <v>45141</v>
      </c>
      <c r="B4" s="3">
        <f>2.8+2.5+5.79</f>
        <v>11.09</v>
      </c>
      <c r="C4" s="3">
        <v>7</v>
      </c>
      <c r="D4" s="3">
        <v>12.6</v>
      </c>
      <c r="E4" s="3"/>
      <c r="F4" s="3"/>
      <c r="G4" s="3"/>
      <c r="H4" s="3">
        <f t="shared" si="0"/>
        <v>40.967741935483872</v>
      </c>
      <c r="I4" s="3"/>
      <c r="J4" s="3"/>
      <c r="K4" s="3"/>
      <c r="L4" s="3"/>
      <c r="M4" s="3">
        <f>SUM(表2_2[[#This Row],[吃饭]:[学习阅读]])</f>
        <v>71.65774193548387</v>
      </c>
      <c r="N4" s="3">
        <f>表2_2[[#This Row],[合计]]-表2_2[[#This Row],[房租]]-表2_2[[#This Row],[水电话费]]</f>
        <v>30.689999999999998</v>
      </c>
    </row>
    <row r="5" spans="1:16" x14ac:dyDescent="0.25">
      <c r="A5" s="1">
        <v>45142</v>
      </c>
      <c r="B5" s="3">
        <f>30+25.82</f>
        <v>55.82</v>
      </c>
      <c r="C5" s="3"/>
      <c r="D5" s="3"/>
      <c r="E5" s="3"/>
      <c r="F5" s="3"/>
      <c r="G5" s="3"/>
      <c r="H5" s="3">
        <f t="shared" si="0"/>
        <v>40.967741935483872</v>
      </c>
      <c r="I5" s="3"/>
      <c r="J5" s="3"/>
      <c r="K5" s="3"/>
      <c r="L5" s="3"/>
      <c r="M5" s="3">
        <f>SUM(表2_2[[#This Row],[吃饭]:[学习阅读]])</f>
        <v>96.787741935483865</v>
      </c>
      <c r="N5" s="3">
        <f>表2_2[[#This Row],[合计]]-表2_2[[#This Row],[房租]]-表2_2[[#This Row],[水电话费]]</f>
        <v>55.819999999999993</v>
      </c>
    </row>
    <row r="6" spans="1:16" x14ac:dyDescent="0.25">
      <c r="A6" s="1">
        <v>45143</v>
      </c>
      <c r="B6" s="3">
        <v>129.69999999999999</v>
      </c>
      <c r="C6" s="3">
        <f>6+12</f>
        <v>18</v>
      </c>
      <c r="D6" s="3"/>
      <c r="E6" s="3">
        <v>15</v>
      </c>
      <c r="F6" s="3">
        <v>16</v>
      </c>
      <c r="G6" s="3"/>
      <c r="H6" s="3">
        <f t="shared" si="0"/>
        <v>40.967741935483872</v>
      </c>
      <c r="I6" s="3"/>
      <c r="J6" s="3"/>
      <c r="K6" s="3"/>
      <c r="L6" s="3"/>
      <c r="M6" s="3">
        <f>SUM(表2_2[[#This Row],[吃饭]:[学习阅读]])</f>
        <v>219.66774193548386</v>
      </c>
      <c r="N6" s="3">
        <f>表2_2[[#This Row],[合计]]-表2_2[[#This Row],[房租]]-表2_2[[#This Row],[水电话费]]</f>
        <v>178.7</v>
      </c>
    </row>
    <row r="7" spans="1:16" x14ac:dyDescent="0.25">
      <c r="A7" s="1">
        <v>45144</v>
      </c>
      <c r="B7" s="3">
        <v>16.23</v>
      </c>
      <c r="C7" s="3">
        <f>15+4+6</f>
        <v>25</v>
      </c>
      <c r="D7" s="3">
        <v>23</v>
      </c>
      <c r="E7" s="3"/>
      <c r="F7" s="3">
        <v>7.66</v>
      </c>
      <c r="G7" s="3"/>
      <c r="H7" s="3">
        <f t="shared" si="0"/>
        <v>40.967741935483872</v>
      </c>
      <c r="I7" s="3"/>
      <c r="J7" s="3"/>
      <c r="K7" s="3"/>
      <c r="L7" s="3"/>
      <c r="M7" s="3">
        <f>SUM(表2_2[[#This Row],[吃饭]:[学习阅读]])</f>
        <v>112.85774193548387</v>
      </c>
      <c r="N7" s="3">
        <f>表2_2[[#This Row],[合计]]-表2_2[[#This Row],[房租]]-表2_2[[#This Row],[水电话费]]</f>
        <v>71.89</v>
      </c>
    </row>
    <row r="8" spans="1:16" x14ac:dyDescent="0.25">
      <c r="A8" s="1">
        <v>45145</v>
      </c>
      <c r="B8" s="3">
        <v>4.5</v>
      </c>
      <c r="C8" s="3"/>
      <c r="D8" s="3">
        <v>33</v>
      </c>
      <c r="E8" s="3">
        <v>18</v>
      </c>
      <c r="F8" s="3"/>
      <c r="G8" s="3"/>
      <c r="H8" s="3">
        <f t="shared" si="0"/>
        <v>40.967741935483872</v>
      </c>
      <c r="I8" s="3"/>
      <c r="J8" s="3"/>
      <c r="K8" s="3"/>
      <c r="L8" s="3"/>
      <c r="M8" s="3">
        <f>SUM(表2_2[[#This Row],[吃饭]:[学习阅读]])</f>
        <v>96.467741935483872</v>
      </c>
      <c r="N8" s="3">
        <f>表2_2[[#This Row],[合计]]-表2_2[[#This Row],[房租]]-表2_2[[#This Row],[水电话费]]</f>
        <v>55.5</v>
      </c>
    </row>
    <row r="9" spans="1:16" x14ac:dyDescent="0.25">
      <c r="A9" s="1">
        <v>45146</v>
      </c>
      <c r="B9" s="3">
        <f>9.8+2.5+5</f>
        <v>17.3</v>
      </c>
      <c r="C9" s="3">
        <v>12</v>
      </c>
      <c r="D9" s="3">
        <v>18</v>
      </c>
      <c r="E9" s="3"/>
      <c r="F9" s="3"/>
      <c r="G9" s="3"/>
      <c r="H9" s="3">
        <f t="shared" si="0"/>
        <v>40.967741935483872</v>
      </c>
      <c r="I9" s="3"/>
      <c r="J9" s="3"/>
      <c r="K9" s="3"/>
      <c r="L9" s="3"/>
      <c r="M9" s="3">
        <f>SUM(表2_2[[#This Row],[吃饭]:[学习阅读]])</f>
        <v>88.267741935483869</v>
      </c>
      <c r="N9" s="3">
        <f>表2_2[[#This Row],[合计]]-表2_2[[#This Row],[房租]]-表2_2[[#This Row],[水电话费]]</f>
        <v>47.3</v>
      </c>
    </row>
    <row r="10" spans="1:16" x14ac:dyDescent="0.25">
      <c r="A10" s="1">
        <v>45147</v>
      </c>
      <c r="B10" s="3">
        <f>22+3.8</f>
        <v>25.8</v>
      </c>
      <c r="C10" s="3">
        <v>12</v>
      </c>
      <c r="D10" s="3"/>
      <c r="E10" s="3"/>
      <c r="F10" s="3"/>
      <c r="G10" s="3"/>
      <c r="H10" s="3">
        <f t="shared" si="0"/>
        <v>40.967741935483872</v>
      </c>
      <c r="I10" s="3"/>
      <c r="J10" s="3"/>
      <c r="K10" s="3"/>
      <c r="L10" s="3"/>
      <c r="M10" s="3">
        <f>SUM(表2_2[[#This Row],[吃饭]:[学习阅读]])</f>
        <v>78.767741935483869</v>
      </c>
      <c r="N10" s="3">
        <f>表2_2[[#This Row],[合计]]-表2_2[[#This Row],[房租]]-表2_2[[#This Row],[水电话费]]</f>
        <v>37.799999999999997</v>
      </c>
    </row>
    <row r="11" spans="1:16" x14ac:dyDescent="0.25">
      <c r="A11" s="1">
        <v>45148</v>
      </c>
      <c r="B11" s="3">
        <v>9.9</v>
      </c>
      <c r="C11" s="3">
        <v>12</v>
      </c>
      <c r="D11" s="3">
        <v>200</v>
      </c>
      <c r="E11" s="3"/>
      <c r="F11" s="3"/>
      <c r="G11" s="3"/>
      <c r="H11" s="3">
        <f t="shared" si="0"/>
        <v>40.967741935483872</v>
      </c>
      <c r="I11" s="3">
        <v>64</v>
      </c>
      <c r="J11" s="3"/>
      <c r="K11" s="3"/>
      <c r="L11" s="3"/>
      <c r="M11" s="3">
        <f>SUM(表2_2[[#This Row],[吃饭]:[学习阅读]])</f>
        <v>326.86774193548388</v>
      </c>
      <c r="N11" s="3">
        <f>表2_2[[#This Row],[合计]]-表2_2[[#This Row],[房租]]-表2_2[[#This Row],[水电话费]]</f>
        <v>221.89999999999998</v>
      </c>
    </row>
    <row r="12" spans="1:16" x14ac:dyDescent="0.25">
      <c r="A12" s="1">
        <v>45149</v>
      </c>
      <c r="B12" s="3">
        <f>3.8+13.36</f>
        <v>17.16</v>
      </c>
      <c r="C12" s="3">
        <v>20.87</v>
      </c>
      <c r="D12" s="3"/>
      <c r="E12" s="3">
        <v>15</v>
      </c>
      <c r="F12" s="3">
        <v>16</v>
      </c>
      <c r="G12" s="3"/>
      <c r="H12" s="3">
        <f t="shared" si="0"/>
        <v>40.967741935483872</v>
      </c>
      <c r="I12" s="3"/>
      <c r="J12" s="3"/>
      <c r="K12" s="3"/>
      <c r="L12" s="3"/>
      <c r="M12" s="3">
        <f>SUM(表2_2[[#This Row],[吃饭]:[学习阅读]])</f>
        <v>109.99774193548387</v>
      </c>
      <c r="N12" s="3">
        <f>表2_2[[#This Row],[合计]]-表2_2[[#This Row],[房租]]-表2_2[[#This Row],[水电话费]]</f>
        <v>69.03</v>
      </c>
      <c r="P12" s="6"/>
    </row>
    <row r="13" spans="1:16" x14ac:dyDescent="0.25">
      <c r="A13" s="1">
        <v>45150</v>
      </c>
      <c r="B13" s="3">
        <v>37.19</v>
      </c>
      <c r="C13" s="3"/>
      <c r="D13" s="3"/>
      <c r="E13" s="3">
        <v>27.98</v>
      </c>
      <c r="F13" s="3"/>
      <c r="G13" s="3"/>
      <c r="H13" s="3">
        <f t="shared" si="0"/>
        <v>40.967741935483872</v>
      </c>
      <c r="I13" s="3"/>
      <c r="J13" s="3"/>
      <c r="K13" s="3"/>
      <c r="L13" s="3"/>
      <c r="M13" s="3">
        <f>SUM(表2_2[[#This Row],[吃饭]:[学习阅读]])</f>
        <v>106.13774193548387</v>
      </c>
      <c r="N13" s="3">
        <f>表2_2[[#This Row],[合计]]-表2_2[[#This Row],[房租]]-表2_2[[#This Row],[水电话费]]</f>
        <v>65.17</v>
      </c>
    </row>
    <row r="14" spans="1:16" x14ac:dyDescent="0.25">
      <c r="A14" s="1">
        <v>45151</v>
      </c>
      <c r="B14" s="3">
        <v>30.7</v>
      </c>
      <c r="C14" s="3"/>
      <c r="D14" s="3"/>
      <c r="E14" s="3">
        <v>47</v>
      </c>
      <c r="F14" s="3"/>
      <c r="G14" s="3"/>
      <c r="H14" s="3">
        <f t="shared" si="0"/>
        <v>40.967741935483872</v>
      </c>
      <c r="I14" s="3"/>
      <c r="J14" s="3"/>
      <c r="K14" s="3"/>
      <c r="L14" s="3"/>
      <c r="M14" s="3">
        <f>SUM(表2_2[[#This Row],[吃饭]:[学习阅读]])</f>
        <v>118.66774193548387</v>
      </c>
      <c r="N14" s="3">
        <f>表2_2[[#This Row],[合计]]-表2_2[[#This Row],[房租]]-表2_2[[#This Row],[水电话费]]</f>
        <v>77.7</v>
      </c>
    </row>
    <row r="15" spans="1:16" x14ac:dyDescent="0.25">
      <c r="A15" s="1">
        <v>45152</v>
      </c>
      <c r="B15" s="3">
        <f>3.8+12.9+41.2+17.89+2</f>
        <v>77.790000000000006</v>
      </c>
      <c r="C15" s="3">
        <v>7.5</v>
      </c>
      <c r="D15" s="3"/>
      <c r="E15" s="3"/>
      <c r="F15" s="3"/>
      <c r="G15" s="3"/>
      <c r="H15" s="3">
        <f t="shared" si="0"/>
        <v>40.967741935483872</v>
      </c>
      <c r="I15" s="3"/>
      <c r="J15" s="3"/>
      <c r="K15" s="3"/>
      <c r="L15" s="3"/>
      <c r="M15" s="3">
        <f>SUM(表2_2[[#This Row],[吃饭]:[学习阅读]])</f>
        <v>126.25774193548388</v>
      </c>
      <c r="N15" s="3">
        <f>表2_2[[#This Row],[合计]]-表2_2[[#This Row],[房租]]-表2_2[[#This Row],[水电话费]]</f>
        <v>85.29</v>
      </c>
    </row>
    <row r="16" spans="1:16" x14ac:dyDescent="0.25">
      <c r="A16" s="1">
        <v>45153</v>
      </c>
      <c r="B16" s="3">
        <v>11.8</v>
      </c>
      <c r="C16" s="3">
        <v>3</v>
      </c>
      <c r="D16" s="3"/>
      <c r="E16" s="3"/>
      <c r="F16" s="3"/>
      <c r="G16" s="3">
        <v>8.5</v>
      </c>
      <c r="H16" s="3">
        <f t="shared" si="0"/>
        <v>40.967741935483872</v>
      </c>
      <c r="I16" s="3"/>
      <c r="J16" s="3"/>
      <c r="K16" s="3"/>
      <c r="L16" s="3"/>
      <c r="M16" s="3">
        <f>SUM(表2_2[[#This Row],[吃饭]:[学习阅读]])</f>
        <v>64.267741935483869</v>
      </c>
      <c r="N16" s="3">
        <f>表2_2[[#This Row],[合计]]-表2_2[[#This Row],[房租]]-表2_2[[#This Row],[水电话费]]</f>
        <v>23.299999999999997</v>
      </c>
    </row>
    <row r="17" spans="1:14" x14ac:dyDescent="0.25">
      <c r="A17" s="1">
        <v>45154</v>
      </c>
      <c r="B17" s="3">
        <f>7.4+21.7+2.5</f>
        <v>31.6</v>
      </c>
      <c r="C17" s="3">
        <v>8</v>
      </c>
      <c r="D17" s="3"/>
      <c r="E17" s="3"/>
      <c r="F17" s="3"/>
      <c r="G17" s="3"/>
      <c r="H17" s="3">
        <f t="shared" si="0"/>
        <v>40.967741935483872</v>
      </c>
      <c r="I17" s="3"/>
      <c r="J17" s="3"/>
      <c r="K17" s="3"/>
      <c r="L17" s="3"/>
      <c r="M17" s="3">
        <f>SUM(表2_2[[#This Row],[吃饭]:[学习阅读]])</f>
        <v>80.567741935483866</v>
      </c>
      <c r="N17" s="3">
        <f>表2_2[[#This Row],[合计]]-表2_2[[#This Row],[房租]]-表2_2[[#This Row],[水电话费]]</f>
        <v>39.599999999999994</v>
      </c>
    </row>
    <row r="18" spans="1:14" x14ac:dyDescent="0.25">
      <c r="A18" s="1">
        <v>45155</v>
      </c>
      <c r="B18" s="3">
        <v>16.8</v>
      </c>
      <c r="C18" s="3">
        <v>5</v>
      </c>
      <c r="D18" s="3"/>
      <c r="E18" s="3"/>
      <c r="F18" s="3"/>
      <c r="G18" s="3"/>
      <c r="H18" s="3">
        <f t="shared" si="0"/>
        <v>40.967741935483872</v>
      </c>
      <c r="I18" s="3"/>
      <c r="J18" s="3"/>
      <c r="K18" s="3"/>
      <c r="L18" s="3"/>
      <c r="M18" s="3">
        <f>SUM(表2_2[[#This Row],[吃饭]:[学习阅读]])</f>
        <v>62.767741935483869</v>
      </c>
      <c r="N18" s="3">
        <f>表2_2[[#This Row],[合计]]-表2_2[[#This Row],[房租]]-表2_2[[#This Row],[水电话费]]</f>
        <v>21.799999999999997</v>
      </c>
    </row>
    <row r="19" spans="1:14" x14ac:dyDescent="0.25">
      <c r="A19" s="1">
        <v>45156</v>
      </c>
      <c r="B19" s="3">
        <f>7.3+27.4+23.9</f>
        <v>58.599999999999994</v>
      </c>
      <c r="C19" s="3">
        <v>5.5</v>
      </c>
      <c r="D19" s="3"/>
      <c r="E19" s="3"/>
      <c r="F19" s="3"/>
      <c r="G19" s="3"/>
      <c r="H19" s="3">
        <f t="shared" si="0"/>
        <v>40.967741935483872</v>
      </c>
      <c r="I19" s="3"/>
      <c r="J19" s="3"/>
      <c r="K19" s="3"/>
      <c r="L19" s="3"/>
      <c r="M19" s="3">
        <f>SUM(表2_2[[#This Row],[吃饭]:[学习阅读]])</f>
        <v>105.06774193548387</v>
      </c>
      <c r="N19" s="3">
        <f>表2_2[[#This Row],[合计]]-表2_2[[#This Row],[房租]]-表2_2[[#This Row],[水电话费]]</f>
        <v>64.099999999999994</v>
      </c>
    </row>
    <row r="20" spans="1:14" x14ac:dyDescent="0.25">
      <c r="A20" s="1">
        <v>45157</v>
      </c>
      <c r="B20" s="3">
        <f>93+10+8+46</f>
        <v>157</v>
      </c>
      <c r="C20" s="3"/>
      <c r="D20" s="3">
        <f>14.9+19+38+93+10+8.9+46</f>
        <v>229.8</v>
      </c>
      <c r="E20" s="3">
        <v>80</v>
      </c>
      <c r="F20" s="3"/>
      <c r="G20" s="3"/>
      <c r="H20" s="3">
        <f t="shared" si="0"/>
        <v>40.967741935483872</v>
      </c>
      <c r="I20" s="3"/>
      <c r="J20" s="3"/>
      <c r="K20" s="3"/>
      <c r="L20" s="3"/>
      <c r="M20" s="3">
        <f>SUM(表2_2[[#This Row],[吃饭]:[学习阅读]])</f>
        <v>507.76774193548385</v>
      </c>
      <c r="N20" s="3">
        <f>表2_2[[#This Row],[合计]]-表2_2[[#This Row],[房租]]-表2_2[[#This Row],[水电话费]]</f>
        <v>466.79999999999995</v>
      </c>
    </row>
    <row r="21" spans="1:14" x14ac:dyDescent="0.25">
      <c r="A21" s="1">
        <v>45158</v>
      </c>
      <c r="B21" s="3">
        <f>9+5+12+15+15</f>
        <v>56</v>
      </c>
      <c r="C21" s="3"/>
      <c r="D21" s="3">
        <f>9+5+12+15+15</f>
        <v>56</v>
      </c>
      <c r="E21" s="3"/>
      <c r="F21" s="3"/>
      <c r="G21" s="3"/>
      <c r="H21" s="3">
        <f t="shared" si="0"/>
        <v>40.967741935483872</v>
      </c>
      <c r="I21" s="3"/>
      <c r="J21" s="3"/>
      <c r="K21" s="3"/>
      <c r="L21" s="3"/>
      <c r="M21" s="3">
        <f>SUM(表2_2[[#This Row],[吃饭]:[学习阅读]])</f>
        <v>152.96774193548387</v>
      </c>
      <c r="N21" s="3">
        <f>表2_2[[#This Row],[合计]]-表2_2[[#This Row],[房租]]-表2_2[[#This Row],[水电话费]]</f>
        <v>112</v>
      </c>
    </row>
    <row r="22" spans="1:14" x14ac:dyDescent="0.25">
      <c r="A22" s="1">
        <v>45159</v>
      </c>
      <c r="B22" s="3">
        <f>6+18+5</f>
        <v>29</v>
      </c>
      <c r="C22" s="3"/>
      <c r="D22" s="3">
        <f>6+18+13</f>
        <v>37</v>
      </c>
      <c r="E22" s="3">
        <v>9</v>
      </c>
      <c r="F22" s="3"/>
      <c r="G22" s="3"/>
      <c r="H22" s="3">
        <f t="shared" si="0"/>
        <v>40.967741935483872</v>
      </c>
      <c r="I22" s="3"/>
      <c r="J22" s="3"/>
      <c r="K22" s="3"/>
      <c r="L22" s="3"/>
      <c r="M22" s="3">
        <f>SUM(表2_2[[#This Row],[吃饭]:[学习阅读]])</f>
        <v>115.96774193548387</v>
      </c>
      <c r="N22" s="3">
        <f>表2_2[[#This Row],[合计]]-表2_2[[#This Row],[房租]]-表2_2[[#This Row],[水电话费]]</f>
        <v>75</v>
      </c>
    </row>
    <row r="23" spans="1:14" x14ac:dyDescent="0.25">
      <c r="A23" s="1">
        <v>45160</v>
      </c>
      <c r="B23" s="3">
        <f>8.3+15</f>
        <v>23.3</v>
      </c>
      <c r="C23" s="3">
        <f>2+3</f>
        <v>5</v>
      </c>
      <c r="D23" s="3">
        <v>18.5</v>
      </c>
      <c r="E23" s="3"/>
      <c r="F23" s="3">
        <v>27.23</v>
      </c>
      <c r="G23" s="3"/>
      <c r="H23" s="3">
        <f t="shared" si="0"/>
        <v>40.967741935483872</v>
      </c>
      <c r="I23" s="3"/>
      <c r="J23" s="3"/>
      <c r="K23" s="3"/>
      <c r="L23" s="3"/>
      <c r="M23" s="3">
        <f>SUM(表2_2[[#This Row],[吃饭]:[学习阅读]])</f>
        <v>114.99774193548387</v>
      </c>
      <c r="N23" s="3">
        <f>表2_2[[#This Row],[合计]]-表2_2[[#This Row],[房租]]-表2_2[[#This Row],[水电话费]]</f>
        <v>74.03</v>
      </c>
    </row>
    <row r="24" spans="1:14" x14ac:dyDescent="0.25">
      <c r="A24" s="1">
        <v>45161</v>
      </c>
      <c r="B24" s="3">
        <f>3.9+23.3+4+3</f>
        <v>34.200000000000003</v>
      </c>
      <c r="C24" s="3">
        <v>5</v>
      </c>
      <c r="D24" s="3"/>
      <c r="E24" s="3"/>
      <c r="F24" s="3"/>
      <c r="G24" s="3"/>
      <c r="H24" s="3">
        <f t="shared" si="0"/>
        <v>40.967741935483872</v>
      </c>
      <c r="I24" s="3"/>
      <c r="J24" s="3"/>
      <c r="K24" s="3"/>
      <c r="L24" s="3"/>
      <c r="M24" s="3">
        <f>SUM(表2_2[[#This Row],[吃饭]:[学习阅读]])</f>
        <v>80.167741935483875</v>
      </c>
      <c r="N24" s="3">
        <f>表2_2[[#This Row],[合计]]-表2_2[[#This Row],[房租]]-表2_2[[#This Row],[水电话费]]</f>
        <v>39.200000000000003</v>
      </c>
    </row>
    <row r="25" spans="1:14" x14ac:dyDescent="0.25">
      <c r="A25" s="1">
        <v>45162</v>
      </c>
      <c r="B25" s="3">
        <f>1.5+4+2+32.3+20</f>
        <v>59.8</v>
      </c>
      <c r="C25" s="3">
        <v>8</v>
      </c>
      <c r="D25" s="3"/>
      <c r="E25" s="3"/>
      <c r="F25" s="3"/>
      <c r="G25" s="3"/>
      <c r="H25" s="3">
        <f t="shared" si="0"/>
        <v>40.967741935483872</v>
      </c>
      <c r="I25" s="3"/>
      <c r="J25" s="3"/>
      <c r="K25" s="3"/>
      <c r="L25" s="3">
        <v>450</v>
      </c>
      <c r="M25" s="3">
        <f>SUM(表2_2[[#This Row],[吃饭]:[学习阅读]])</f>
        <v>558.76774193548385</v>
      </c>
      <c r="N25" s="3">
        <f>表2_2[[#This Row],[合计]]-表2_2[[#This Row],[房租]]-表2_2[[#This Row],[水电话费]]</f>
        <v>517.79999999999995</v>
      </c>
    </row>
    <row r="26" spans="1:14" x14ac:dyDescent="0.25">
      <c r="A26" s="1">
        <v>45163</v>
      </c>
      <c r="B26" s="3">
        <f>2.8+3+13.9</f>
        <v>19.7</v>
      </c>
      <c r="C26" s="3"/>
      <c r="D26" s="3"/>
      <c r="E26" s="3"/>
      <c r="F26" s="3"/>
      <c r="G26" s="3"/>
      <c r="H26" s="3">
        <f t="shared" si="0"/>
        <v>40.967741935483872</v>
      </c>
      <c r="I26" s="3"/>
      <c r="J26" s="3"/>
      <c r="K26" s="3"/>
      <c r="L26" s="3"/>
      <c r="M26" s="3">
        <f>SUM(表2_2[[#This Row],[吃饭]:[学习阅读]])</f>
        <v>60.667741935483875</v>
      </c>
      <c r="N26" s="3">
        <f>表2_2[[#This Row],[合计]]-表2_2[[#This Row],[房租]]-表2_2[[#This Row],[水电话费]]</f>
        <v>19.700000000000003</v>
      </c>
    </row>
    <row r="27" spans="1:14" x14ac:dyDescent="0.25">
      <c r="A27" s="1">
        <v>45164</v>
      </c>
      <c r="B27" s="3">
        <v>20.9</v>
      </c>
      <c r="C27" s="3">
        <v>45</v>
      </c>
      <c r="D27" s="3"/>
      <c r="E27" s="3"/>
      <c r="F27" s="3"/>
      <c r="G27" s="3"/>
      <c r="H27" s="3">
        <f t="shared" si="0"/>
        <v>40.967741935483872</v>
      </c>
      <c r="I27" s="3"/>
      <c r="J27" s="3"/>
      <c r="K27" s="3"/>
      <c r="L27" s="3"/>
      <c r="M27" s="3">
        <f>SUM(表2_2[[#This Row],[吃饭]:[学习阅读]])</f>
        <v>106.86774193548388</v>
      </c>
      <c r="N27" s="3">
        <f>表2_2[[#This Row],[合计]]-表2_2[[#This Row],[房租]]-表2_2[[#This Row],[水电话费]]</f>
        <v>65.900000000000006</v>
      </c>
    </row>
    <row r="28" spans="1:14" x14ac:dyDescent="0.25">
      <c r="A28" s="1">
        <v>45165</v>
      </c>
      <c r="B28" s="3">
        <v>15</v>
      </c>
      <c r="C28" s="3"/>
      <c r="D28" s="3">
        <v>17.12</v>
      </c>
      <c r="E28" s="3"/>
      <c r="F28" s="3"/>
      <c r="G28" s="3"/>
      <c r="H28" s="3">
        <f t="shared" si="0"/>
        <v>40.967741935483872</v>
      </c>
      <c r="I28" s="3"/>
      <c r="J28" s="3"/>
      <c r="K28" s="3"/>
      <c r="L28" s="3"/>
      <c r="M28" s="3">
        <f>SUM(表2_2[[#This Row],[吃饭]:[学习阅读]])</f>
        <v>73.087741935483876</v>
      </c>
      <c r="N28" s="3">
        <f>表2_2[[#This Row],[合计]]-表2_2[[#This Row],[房租]]-表2_2[[#This Row],[水电话费]]</f>
        <v>32.120000000000005</v>
      </c>
    </row>
    <row r="29" spans="1:14" x14ac:dyDescent="0.25">
      <c r="A29" s="1">
        <v>45166</v>
      </c>
      <c r="B29" s="3">
        <v>45</v>
      </c>
      <c r="C29" s="3">
        <v>6</v>
      </c>
      <c r="D29" s="3"/>
      <c r="E29" s="3"/>
      <c r="F29" s="3"/>
      <c r="G29" s="3"/>
      <c r="H29" s="3">
        <f t="shared" si="0"/>
        <v>40.967741935483872</v>
      </c>
      <c r="I29" s="3"/>
      <c r="J29" s="3"/>
      <c r="K29" s="3"/>
      <c r="L29" s="3"/>
      <c r="M29" s="3">
        <f>SUM(表2_2[[#This Row],[吃饭]:[学习阅读]])</f>
        <v>91.967741935483872</v>
      </c>
      <c r="N29" s="3">
        <f>表2_2[[#This Row],[合计]]-表2_2[[#This Row],[房租]]-表2_2[[#This Row],[水电话费]]</f>
        <v>51</v>
      </c>
    </row>
    <row r="30" spans="1:14" x14ac:dyDescent="0.25">
      <c r="A30" s="1">
        <v>45167</v>
      </c>
      <c r="B30" s="3"/>
      <c r="C30" s="3"/>
      <c r="D30" s="3"/>
      <c r="E30" s="3"/>
      <c r="F30" s="3"/>
      <c r="G30" s="3"/>
      <c r="H30" s="3">
        <f t="shared" si="0"/>
        <v>40.967741935483872</v>
      </c>
      <c r="I30" s="3"/>
      <c r="J30" s="3"/>
      <c r="K30" s="3"/>
      <c r="L30" s="3"/>
      <c r="M30" s="3">
        <f>SUM(表2_2[[#This Row],[吃饭]:[学习阅读]])</f>
        <v>40.967741935483872</v>
      </c>
      <c r="N30" s="3">
        <f>表2_2[[#This Row],[合计]]-表2_2[[#This Row],[房租]]-表2_2[[#This Row],[水电话费]]</f>
        <v>0</v>
      </c>
    </row>
    <row r="31" spans="1:14" x14ac:dyDescent="0.25">
      <c r="A31" s="1">
        <v>45168</v>
      </c>
      <c r="B31" s="3"/>
      <c r="C31" s="3"/>
      <c r="D31" s="3"/>
      <c r="E31" s="3"/>
      <c r="F31" s="3"/>
      <c r="G31" s="3"/>
      <c r="H31" s="3">
        <f t="shared" si="0"/>
        <v>40.967741935483872</v>
      </c>
      <c r="I31" s="3"/>
      <c r="J31" s="3"/>
      <c r="K31" s="3"/>
      <c r="L31" s="3"/>
      <c r="M31" s="3">
        <f>SUM(表2_2[[#This Row],[吃饭]:[学习阅读]])</f>
        <v>40.967741935483872</v>
      </c>
      <c r="N31" s="3">
        <f>表2_2[[#This Row],[合计]]-表2_2[[#This Row],[房租]]-表2_2[[#This Row],[水电话费]]</f>
        <v>0</v>
      </c>
    </row>
    <row r="32" spans="1:14" x14ac:dyDescent="0.25">
      <c r="A32" s="1">
        <v>45169</v>
      </c>
      <c r="B32" s="3"/>
      <c r="C32" s="3"/>
      <c r="D32" s="3"/>
      <c r="E32" s="3"/>
      <c r="F32" s="3"/>
      <c r="G32" s="3"/>
      <c r="H32" s="3">
        <f t="shared" si="0"/>
        <v>40.967741935483872</v>
      </c>
      <c r="I32" s="3"/>
      <c r="J32" s="3"/>
      <c r="K32" s="3"/>
      <c r="L32" s="3"/>
      <c r="M32" s="3">
        <f>SUM(表2_2[[#This Row],[吃饭]:[学习阅读]])</f>
        <v>40.967741935483872</v>
      </c>
      <c r="N32" s="3">
        <f>表2_2[[#This Row],[合计]]-表2_2[[#This Row],[房租]]-表2_2[[#This Row],[水电话费]]</f>
        <v>0</v>
      </c>
    </row>
    <row r="33" spans="1:14" ht="37.200000000000003" customHeight="1" x14ac:dyDescent="0.25">
      <c r="A33" s="7" t="s">
        <v>11</v>
      </c>
      <c r="B33" s="3">
        <f>SUM(B2:B32)</f>
        <v>1059.04</v>
      </c>
      <c r="C33" s="3">
        <f t="shared" ref="C33:I33" si="1">SUM(C2:C32)</f>
        <v>204.87</v>
      </c>
      <c r="D33" s="3">
        <f>SUM(D2:D32)</f>
        <v>885.5200000000001</v>
      </c>
      <c r="E33" s="3">
        <f t="shared" si="1"/>
        <v>303.30999999999995</v>
      </c>
      <c r="F33" s="3">
        <f>SUM(F2:F32)</f>
        <v>66.89</v>
      </c>
      <c r="G33" s="3">
        <f t="shared" si="1"/>
        <v>8.5</v>
      </c>
      <c r="H33" s="3">
        <f t="shared" si="1"/>
        <v>1270.0000000000007</v>
      </c>
      <c r="I33" s="3">
        <f t="shared" si="1"/>
        <v>134</v>
      </c>
      <c r="J33" s="3">
        <f>SUM(J2:J32)</f>
        <v>0</v>
      </c>
      <c r="K33" s="3">
        <f>SUM(K2:K32)</f>
        <v>0</v>
      </c>
      <c r="L33" s="3">
        <f>SUM(L2:L32)</f>
        <v>450</v>
      </c>
      <c r="M33" s="5">
        <f>SUM(M2:M32)</f>
        <v>4382.130000000001</v>
      </c>
      <c r="N33" s="3">
        <f>表2_2[[#This Row],[合计]]-表2_2[[#This Row],[房租]]-表2_2[[#This Row],[水电话费]]</f>
        <v>2978.13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4382.13</v>
      </c>
      <c r="M34" s="3"/>
    </row>
  </sheetData>
  <phoneticPr fontId="1" type="noConversion"/>
  <conditionalFormatting sqref="N2:N32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1"/>
  <sheetViews>
    <sheetView workbookViewId="0">
      <selection activeCell="F21" sqref="F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2023.07</vt:lpstr>
      <vt:lpstr>2023.08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2023-08-28T15:02:41Z</dcterms:modified>
</cp:coreProperties>
</file>